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drawings/drawing28.xml" ContentType="application/vnd.openxmlformats-officedocument.drawing+xml"/>
  <Override PartName="/xl/comments19.xml" ContentType="application/vnd.openxmlformats-officedocument.spreadsheetml.comments+xml"/>
  <Override PartName="/xl/drawings/drawing29.xml" ContentType="application/vnd.openxmlformats-officedocument.drawing+xml"/>
  <Override PartName="/xl/comments20.xml" ContentType="application/vnd.openxmlformats-officedocument.spreadsheetml.comments+xml"/>
  <Override PartName="/xl/drawings/drawing30.xml" ContentType="application/vnd.openxmlformats-officedocument.drawing+xml"/>
  <Override PartName="/xl/comments21.xml" ContentType="application/vnd.openxmlformats-officedocument.spreadsheetml.comments+xml"/>
  <Override PartName="/xl/drawings/drawing31.xml" ContentType="application/vnd.openxmlformats-officedocument.drawing+xml"/>
  <Override PartName="/xl/comments22.xml" ContentType="application/vnd.openxmlformats-officedocument.spreadsheetml.comments+xml"/>
  <Override PartName="/xl/drawings/drawing32.xml" ContentType="application/vnd.openxmlformats-officedocument.drawing+xml"/>
  <Override PartName="/xl/comments23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omments24.xml" ContentType="application/vnd.openxmlformats-officedocument.spreadsheetml.comments+xml"/>
  <Override PartName="/xl/drawings/drawing35.xml" ContentType="application/vnd.openxmlformats-officedocument.drawing+xml"/>
  <Override PartName="/xl/comments25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omments26.xml" ContentType="application/vnd.openxmlformats-officedocument.spreadsheetml.comments+xml"/>
  <Override PartName="/xl/drawings/drawing40.xml" ContentType="application/vnd.openxmlformats-officedocument.drawing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nerP\HERZLIYA NEW WEBSITE\PDF\MINHAL CASPI\TAKTZIV\2021\"/>
    </mc:Choice>
  </mc:AlternateContent>
  <bookViews>
    <workbookView xWindow="0" yWindow="0" windowWidth="24000" windowHeight="9110"/>
  </bookViews>
  <sheets>
    <sheet name="תקציב 2021" sheetId="271" r:id="rId1"/>
    <sheet name="תוכן ענינים" sheetId="46" r:id="rId2"/>
    <sheet name="מבוא" sheetId="39" r:id="rId3"/>
    <sheet name="תקציב 2020" sheetId="40" r:id="rId4"/>
    <sheet name="תקציב 2021 " sheetId="41" r:id="rId5"/>
    <sheet name="תקציב 2021 פרקים" sheetId="61" r:id="rId6"/>
    <sheet name="תקציב 2021  אגפים " sheetId="42" r:id="rId7"/>
    <sheet name="תקציב 2021  מקורות " sheetId="100" r:id="rId8"/>
    <sheet name="תקציב 2021 קרנות הרשות" sheetId="38" r:id="rId9"/>
    <sheet name="תקציב 2021 מקורות אחרים" sheetId="43" r:id="rId10"/>
    <sheet name="תרשים אגפים" sheetId="65" r:id="rId11"/>
    <sheet name="ריכוז אגפים" sheetId="12" r:id="rId12"/>
    <sheet name="תרשים פרקים" sheetId="98" r:id="rId13"/>
    <sheet name="ריכוז פרקים" sheetId="97" r:id="rId14"/>
    <sheet name="פרוט מקורות אחרים" sheetId="44" r:id="rId15"/>
    <sheet name="תרשים מקורות מימון" sheetId="66" r:id="rId16"/>
    <sheet name="הנדסה 2021" sheetId="67" r:id="rId17"/>
    <sheet name="הנדסה 2020 (2)" sheetId="163" r:id="rId18"/>
    <sheet name="תקציב הנדסה 2021" sheetId="253" r:id="rId19"/>
    <sheet name="תקציב הנדסה 2021 תאור" sheetId="255" r:id="rId20"/>
    <sheet name="תקציב הנדסה 2021 פרקים" sheetId="254" state="hidden" r:id="rId21"/>
    <sheet name="החברה לפיתוח 2021" sheetId="68" r:id="rId22"/>
    <sheet name="החב. לפיתוח 2021" sheetId="99" r:id="rId23"/>
    <sheet name="תקציב החברה לפיתוח 2021 " sheetId="249" r:id="rId24"/>
    <sheet name="תקציב החברה לפיתוח 2021 תאור" sheetId="256" r:id="rId25"/>
    <sheet name="תקציב החברה לפיתוח 2021 פרקים" sheetId="257" state="hidden" r:id="rId26"/>
    <sheet name="אגף ת.ב.ל 2021" sheetId="69" r:id="rId27"/>
    <sheet name="אגף ת.ב.ל 2021 (2)" sheetId="160" r:id="rId28"/>
    <sheet name="תקציב אגף ת.ב.ל 2021  " sheetId="242" r:id="rId29"/>
    <sheet name="תקציב אגף ת.ב.ל 2021 תאור" sheetId="258" r:id="rId30"/>
    <sheet name="תקציב אגף ת.ב.ל 2021 פרקים" sheetId="259" state="hidden" r:id="rId31"/>
    <sheet name="אגף בטחון פיקוח סד&quot;צ 2021" sheetId="71" r:id="rId32"/>
    <sheet name="תקציב אגף בטחון פיקוח סד&quot;צ 2021" sheetId="239" r:id="rId33"/>
    <sheet name="תקציב אגף בטחון פיקוח סד&quot;צ  פרק" sheetId="260" state="hidden" r:id="rId34"/>
    <sheet name="אגף חינוך 2021" sheetId="72" r:id="rId35"/>
    <sheet name="תקציב אגף חינוך 2021 " sheetId="248" r:id="rId36"/>
    <sheet name="תקציב אגף חינוך 2021  פרקים" sheetId="261" state="hidden" r:id="rId37"/>
    <sheet name="אגף תנוס 2021" sheetId="74" r:id="rId38"/>
    <sheet name="תקציב אגף תנוס 2021 " sheetId="240" r:id="rId39"/>
    <sheet name="תקציב אגף תנוס 2021 פרק" sheetId="262" state="hidden" r:id="rId40"/>
    <sheet name="אגף שאיפה 2021" sheetId="73" r:id="rId41"/>
    <sheet name="אגף שאיפה 2021 (2)" sheetId="161" r:id="rId42"/>
    <sheet name="תקציב אגף שאיפה  2021 " sheetId="246" r:id="rId43"/>
    <sheet name="תקציב אגף שאיפה  2021  תאור" sheetId="263" r:id="rId44"/>
    <sheet name="תקציב אגף שאיפה  2021  פרקים" sheetId="264" state="hidden" r:id="rId45"/>
    <sheet name="רשות החופים 2021" sheetId="75" r:id="rId46"/>
    <sheet name="תקציב רשות החופים 2021 " sheetId="247" r:id="rId47"/>
    <sheet name="תקציב רשות החופים 2021  פרקים" sheetId="265" state="hidden" r:id="rId48"/>
    <sheet name="החברה לתירות 2021" sheetId="77" r:id="rId49"/>
    <sheet name="תקציב החברה לתירות 2021 " sheetId="244" r:id="rId50"/>
    <sheet name="תקציב החברה לתירות 2021 פרקים" sheetId="266" state="hidden" r:id="rId51"/>
    <sheet name="אגף תקשוב ומע. מידע 2021" sheetId="78" r:id="rId52"/>
    <sheet name="אגף תקשוב ומע. מידע 2021 (2)" sheetId="165" r:id="rId53"/>
    <sheet name="תקציב אגף תקשוב 2021 " sheetId="243" r:id="rId54"/>
    <sheet name="תקציב אגף תקשוב 2021 פרקים" sheetId="267" state="hidden" r:id="rId55"/>
    <sheet name="אגף נכסים וביטוח 2021" sheetId="158" r:id="rId56"/>
    <sheet name="תקציב אגף נכסים וביטוח 2021" sheetId="241" r:id="rId57"/>
    <sheet name="תקציב אגף נכסים וביטוח 2021פרק" sheetId="268" state="hidden" r:id="rId58"/>
    <sheet name="מינהל כללי 2021" sheetId="81" r:id="rId59"/>
    <sheet name="תקציב מינהל כללי 2021  " sheetId="245" r:id="rId60"/>
    <sheet name="תקציב מינהל כללי 2021 פרקים" sheetId="269" state="hidden" r:id="rId61"/>
    <sheet name="תקציב 2020 - ביצוע" sheetId="63" r:id="rId62"/>
    <sheet name="ריכוז אגפים 2020" sheetId="237" r:id="rId63"/>
    <sheet name="תקציב הנדסה 2020 " sheetId="236" r:id="rId64"/>
    <sheet name="תקציב החברה לפיתוח 2020" sheetId="235" r:id="rId65"/>
    <sheet name="תקציב אגף ת.ב.ל 2020 " sheetId="234" r:id="rId66"/>
    <sheet name="תקציב אגף בטחון פיקוח סד&quot;צ 20" sheetId="233" r:id="rId67"/>
    <sheet name="תקציב אגף חינוך 2020" sheetId="232" r:id="rId68"/>
    <sheet name="תקציב אגף תנוס 2020 " sheetId="231" r:id="rId69"/>
    <sheet name="תקציב אגף שאיפה  2020  " sheetId="230" r:id="rId70"/>
    <sheet name="תקציב רשות החופים 2020 " sheetId="229" r:id="rId71"/>
    <sheet name="תקציב החברה לתירות 2020 " sheetId="228" r:id="rId72"/>
    <sheet name="תקציב אגף תקשוב 2020 " sheetId="227" r:id="rId73"/>
    <sheet name="תקציב אגף נכסים וביטוח 2020 " sheetId="226" r:id="rId74"/>
    <sheet name="תקציב מינהל כללי 2020 " sheetId="225" r:id="rId75"/>
    <sheet name="ריכוז תקציב מעבר לתוכנית 2020" sheetId="238" r:id="rId76"/>
    <sheet name="פרויקטים החב. לפיתוח " sheetId="176" r:id="rId77"/>
  </sheets>
  <externalReferences>
    <externalReference r:id="rId78"/>
  </externalReferences>
  <definedNames>
    <definedName name="_xlnm._FilterDatabase" localSheetId="66" hidden="1">'תקציב אגף בטחון פיקוח סד"צ 20'!$A$5:$BD$10</definedName>
    <definedName name="_xlnm._FilterDatabase" localSheetId="67" hidden="1">'תקציב אגף חינוך 2020'!$A$6:$BD$29</definedName>
    <definedName name="_xlnm._FilterDatabase" localSheetId="35" hidden="1">'תקציב אגף חינוך 2021 '!$A$4:$AC$18</definedName>
    <definedName name="_xlnm._FilterDatabase" localSheetId="36" hidden="1">'תקציב אגף חינוך 2021  פרקים'!$A$4:$AC$18</definedName>
    <definedName name="_xlnm._FilterDatabase" localSheetId="73" hidden="1">'תקציב אגף נכסים וביטוח 2020 '!$A$5:$BC$24</definedName>
    <definedName name="_xlnm._FilterDatabase" localSheetId="69" hidden="1">'תקציב אגף שאיפה  2020  '!$A$5:$BD$47</definedName>
    <definedName name="_xlnm._FilterDatabase" localSheetId="65" hidden="1">'תקציב אגף ת.ב.ל 2020 '!$A$5:$BD$62</definedName>
    <definedName name="_xlnm._FilterDatabase" localSheetId="68" hidden="1">'תקציב אגף תנוס 2020 '!$A$5:$BD$18</definedName>
    <definedName name="_xlnm._FilterDatabase" localSheetId="72" hidden="1">'תקציב אגף תקשוב 2020 '!$A$5:$BC$16</definedName>
    <definedName name="_xlnm._FilterDatabase" localSheetId="64" hidden="1">'תקציב החברה לפיתוח 2020'!$A$5:$BA$129</definedName>
    <definedName name="_xlnm._FilterDatabase" localSheetId="71" hidden="1">'תקציב החברה לתירות 2020 '!$A$5:$BC$16</definedName>
    <definedName name="_xlnm._FilterDatabase" localSheetId="63" hidden="1">'תקציב הנדסה 2020 '!$A$5:$BA$88</definedName>
    <definedName name="_xlnm._FilterDatabase" localSheetId="18" hidden="1">'תקציב הנדסה 2021'!$A$4:$AE$70</definedName>
    <definedName name="_xlnm._FilterDatabase" localSheetId="20" hidden="1">'תקציב הנדסה 2021 פרקים'!$A$4:$AE$71</definedName>
    <definedName name="_xlnm._FilterDatabase" localSheetId="19" hidden="1">'תקציב הנדסה 2021 תאור'!$A$4:$AE$70</definedName>
    <definedName name="_xlnm._FilterDatabase" localSheetId="74" hidden="1">'תקציב מינהל כללי 2020 '!$A$5:$BD$16</definedName>
    <definedName name="_xlnm._FilterDatabase" localSheetId="70" hidden="1">'תקציב רשות החופים 2020 '!$A$5:$BD$24</definedName>
    <definedName name="_xlchart.v1.0" hidden="1">'תקציב 2021  אגפים '!$C$8:$C$20</definedName>
    <definedName name="_xlchart.v1.1" hidden="1">'תקציב 2021  אגפים '!$F$8:$F$20</definedName>
    <definedName name="_xlchart.v1.2" hidden="1">'תקציב 2021 פרקים'!$C$8:$C$20</definedName>
    <definedName name="_xlchart.v1.3" hidden="1">'תקציב 2021 פרקים'!$E$8:$E$20</definedName>
    <definedName name="_xlchart.v1.4" hidden="1">'תקציב 2021  מקורות '!$C$8:$C$13</definedName>
    <definedName name="_xlchart.v1.5" hidden="1">'תקציב 2021  מקורות '!$F$8:$F$13</definedName>
    <definedName name="_xlnm.Print_Area" localSheetId="14">'פרוט מקורות אחרים'!$A$1:$O$16</definedName>
    <definedName name="_xlnm.Print_Area" localSheetId="11">'ריכוז אגפים'!$A$1:$Y$25</definedName>
    <definedName name="_xlnm.Print_Area" localSheetId="13">'ריכוז פרקים'!$A$1:$Y$20</definedName>
    <definedName name="_xlnm.Print_Area" localSheetId="75">'ריכוז תקציב מעבר לתוכנית 2020'!$C$4:$AE$86</definedName>
    <definedName name="_xlnm.Print_Area" localSheetId="8">'תקציב 2021 קרנות הרשות'!$A$1:$H$22</definedName>
    <definedName name="_xlnm.Print_Area" localSheetId="33">'תקציב אגף בטחון פיקוח סד"צ  פרק'!$A$1:$AC$7</definedName>
    <definedName name="_xlnm.Print_Area" localSheetId="32">'תקציב אגף בטחון פיקוח סד"צ 2021'!$A$1:$AC$7</definedName>
    <definedName name="_xlnm.Print_Area" localSheetId="35">'תקציב אגף חינוך 2021 '!$A$1:$AC$26</definedName>
    <definedName name="_xlnm.Print_Area" localSheetId="36">'תקציב אגף חינוך 2021  פרקים'!$A$1:$AC$26</definedName>
    <definedName name="_xlnm.Print_Area" localSheetId="42">'תקציב אגף שאיפה  2021 '!$A$1:$AC$42</definedName>
    <definedName name="_xlnm.Print_Area" localSheetId="44">'תקציב אגף שאיפה  2021  פרקים'!$A$1:$AC$51</definedName>
    <definedName name="_xlnm.Print_Area" localSheetId="43">'תקציב אגף שאיפה  2021  תאור'!$A$1:$AC$42</definedName>
    <definedName name="_xlnm.Print_Area" localSheetId="28">'תקציב אגף ת.ב.ל 2021  '!$A$1:$AC$65</definedName>
    <definedName name="_xlnm.Print_Area" localSheetId="30">'תקציב אגף ת.ב.ל 2021 פרקים'!$A$1:$AC$76</definedName>
    <definedName name="_xlnm.Print_Area" localSheetId="29">'תקציב אגף ת.ב.ל 2021 תאור'!$A$1:$AC$65</definedName>
    <definedName name="_xlnm.Print_Area" localSheetId="38">'תקציב אגף תנוס 2021 '!$A$1:$AC$16</definedName>
    <definedName name="_xlnm.Print_Area" localSheetId="39">'תקציב אגף תנוס 2021 פרק'!$A$1:$AC$18</definedName>
    <definedName name="_xlnm.Print_Area" localSheetId="53">'תקציב אגף תקשוב 2021 '!$A$1:$AC$15</definedName>
    <definedName name="_xlnm.Print_Area" localSheetId="54">'תקציב אגף תקשוב 2021 פרקים'!$A$1:$AC$19</definedName>
    <definedName name="_xlnm.Print_Area" localSheetId="49">'תקציב החברה לתירות 2021 '!$A$1:$AC$11</definedName>
    <definedName name="_xlnm.Print_Area" localSheetId="50">'תקציב החברה לתירות 2021 פרקים'!$A$1:$AC$13</definedName>
    <definedName name="_xlnm.Print_Area" localSheetId="18">'תקציב הנדסה 2021'!$A$1:$AC$83</definedName>
    <definedName name="_xlnm.Print_Area" localSheetId="20">'תקציב הנדסה 2021 פרקים'!$A$1:$AC$86</definedName>
    <definedName name="_xlnm.Print_Area" localSheetId="19">'תקציב הנדסה 2021 תאור'!$A$1:$AC$83</definedName>
    <definedName name="_xlnm.Print_Area" localSheetId="46">'תקציב רשות החופים 2021 '!$A$1:$AC$19</definedName>
    <definedName name="_xlnm.Print_Area" localSheetId="47">'תקציב רשות החופים 2021  פרקים'!$A$1:$AC$19</definedName>
    <definedName name="_xlnm.Print_Titles" localSheetId="76">'פרויקטים החב. לפיתוח '!$2:$5</definedName>
    <definedName name="_xlnm.Print_Titles" localSheetId="11">'ריכוז אגפים'!$2:$5</definedName>
    <definedName name="_xlnm.Print_Titles" localSheetId="62">'ריכוז אגפים 2020'!$2:$5</definedName>
    <definedName name="_xlnm.Print_Titles" localSheetId="13">'ריכוז פרקים'!$2:$5</definedName>
    <definedName name="_xlnm.Print_Titles" localSheetId="75">'ריכוז תקציב מעבר לתוכנית 2020'!$2:$5</definedName>
    <definedName name="_xlnm.Print_Titles" localSheetId="33">'תקציב אגף בטחון פיקוח סד"צ  פרק'!$1:$4</definedName>
    <definedName name="_xlnm.Print_Titles" localSheetId="66">'תקציב אגף בטחון פיקוח סד"צ 20'!$1:$5</definedName>
    <definedName name="_xlnm.Print_Titles" localSheetId="32">'תקציב אגף בטחון פיקוח סד"צ 2021'!$1:$4</definedName>
    <definedName name="_xlnm.Print_Titles" localSheetId="67">'תקציב אגף חינוך 2020'!$1:$5</definedName>
    <definedName name="_xlnm.Print_Titles" localSheetId="35">'תקציב אגף חינוך 2021 '!$1:$4</definedName>
    <definedName name="_xlnm.Print_Titles" localSheetId="36">'תקציב אגף חינוך 2021  פרקים'!$1:$4</definedName>
    <definedName name="_xlnm.Print_Titles" localSheetId="73">'תקציב אגף נכסים וביטוח 2020 '!$1:$5</definedName>
    <definedName name="_xlnm.Print_Titles" localSheetId="56">'תקציב אגף נכסים וביטוח 2021'!$1:$4</definedName>
    <definedName name="_xlnm.Print_Titles" localSheetId="57">'תקציב אגף נכסים וביטוח 2021פרק'!$1:$4</definedName>
    <definedName name="_xlnm.Print_Titles" localSheetId="69">'תקציב אגף שאיפה  2020  '!$1:$5</definedName>
    <definedName name="_xlnm.Print_Titles" localSheetId="42">'תקציב אגף שאיפה  2021 '!$1:$4</definedName>
    <definedName name="_xlnm.Print_Titles" localSheetId="44">'תקציב אגף שאיפה  2021  פרקים'!$1:$4</definedName>
    <definedName name="_xlnm.Print_Titles" localSheetId="43">'תקציב אגף שאיפה  2021  תאור'!$1:$4</definedName>
    <definedName name="_xlnm.Print_Titles" localSheetId="65">'תקציב אגף ת.ב.ל 2020 '!$1:$5</definedName>
    <definedName name="_xlnm.Print_Titles" localSheetId="28">'תקציב אגף ת.ב.ל 2021  '!$1:$4</definedName>
    <definedName name="_xlnm.Print_Titles" localSheetId="30">'תקציב אגף ת.ב.ל 2021 פרקים'!$1:$4</definedName>
    <definedName name="_xlnm.Print_Titles" localSheetId="29">'תקציב אגף ת.ב.ל 2021 תאור'!$1:$4</definedName>
    <definedName name="_xlnm.Print_Titles" localSheetId="68">'תקציב אגף תנוס 2020 '!$1:$5</definedName>
    <definedName name="_xlnm.Print_Titles" localSheetId="38">'תקציב אגף תנוס 2021 '!$1:$4</definedName>
    <definedName name="_xlnm.Print_Titles" localSheetId="39">'תקציב אגף תנוס 2021 פרק'!$1:$4</definedName>
    <definedName name="_xlnm.Print_Titles" localSheetId="72">'תקציב אגף תקשוב 2020 '!$1:$5</definedName>
    <definedName name="_xlnm.Print_Titles" localSheetId="53">'תקציב אגף תקשוב 2021 '!$2:$4</definedName>
    <definedName name="_xlnm.Print_Titles" localSheetId="54">'תקציב אגף תקשוב 2021 פרקים'!$2:$4</definedName>
    <definedName name="_xlnm.Print_Titles" localSheetId="64">'תקציב החברה לפיתוח 2020'!$1:$5</definedName>
    <definedName name="_xlnm.Print_Titles" localSheetId="23">'תקציב החברה לפיתוח 2021 '!$1:$4</definedName>
    <definedName name="_xlnm.Print_Titles" localSheetId="25">'תקציב החברה לפיתוח 2021 פרקים'!$1:$4</definedName>
    <definedName name="_xlnm.Print_Titles" localSheetId="24">'תקציב החברה לפיתוח 2021 תאור'!$1:$4</definedName>
    <definedName name="_xlnm.Print_Titles" localSheetId="71">'תקציב החברה לתירות 2020 '!$1:$5</definedName>
    <definedName name="_xlnm.Print_Titles" localSheetId="49">'תקציב החברה לתירות 2021 '!$1:$4</definedName>
    <definedName name="_xlnm.Print_Titles" localSheetId="50">'תקציב החברה לתירות 2021 פרקים'!$1:$4</definedName>
    <definedName name="_xlnm.Print_Titles" localSheetId="63">'תקציב הנדסה 2020 '!$1:$5</definedName>
    <definedName name="_xlnm.Print_Titles" localSheetId="18">'תקציב הנדסה 2021'!$1:$4</definedName>
    <definedName name="_xlnm.Print_Titles" localSheetId="20">'תקציב הנדסה 2021 פרקים'!$1:$4</definedName>
    <definedName name="_xlnm.Print_Titles" localSheetId="19">'תקציב הנדסה 2021 תאור'!$1:$4</definedName>
    <definedName name="_xlnm.Print_Titles" localSheetId="74">'תקציב מינהל כללי 2020 '!$1:$5</definedName>
    <definedName name="_xlnm.Print_Titles" localSheetId="59">'תקציב מינהל כללי 2021  '!$1:$4</definedName>
    <definedName name="_xlnm.Print_Titles" localSheetId="60">'תקציב מינהל כללי 2021 פרקים'!$1:$4</definedName>
    <definedName name="_xlnm.Print_Titles" localSheetId="70">'תקציב רשות החופים 2020 '!$1:$5</definedName>
    <definedName name="_xlnm.Print_Titles" localSheetId="46">'תקציב רשות החופים 2021 '!$1:$4</definedName>
    <definedName name="_xlnm.Print_Titles" localSheetId="47">'תקציב רשות החופים 2021  פרקים'!$1:$4</definedName>
  </definedNames>
  <calcPr calcId="162913"/>
</workbook>
</file>

<file path=xl/calcChain.xml><?xml version="1.0" encoding="utf-8"?>
<calcChain xmlns="http://schemas.openxmlformats.org/spreadsheetml/2006/main">
  <c r="W13" i="245" l="1"/>
  <c r="V12" i="245"/>
  <c r="W12" i="245" s="1"/>
  <c r="W6" i="245"/>
  <c r="D82" i="253" l="1"/>
  <c r="C19" i="38" l="1"/>
  <c r="C9" i="38"/>
  <c r="C118" i="176" l="1"/>
  <c r="B6" i="265" l="1"/>
  <c r="C6" i="265"/>
  <c r="D6" i="265"/>
  <c r="E6" i="265"/>
  <c r="F6" i="265"/>
  <c r="G6" i="265"/>
  <c r="H6" i="265"/>
  <c r="I6" i="265"/>
  <c r="J6" i="265"/>
  <c r="K6" i="265"/>
  <c r="L6" i="265"/>
  <c r="M6" i="265"/>
  <c r="N6" i="265"/>
  <c r="O6" i="265"/>
  <c r="P6" i="265"/>
  <c r="Q6" i="265"/>
  <c r="R6" i="265"/>
  <c r="S6" i="265"/>
  <c r="T6" i="265"/>
  <c r="U6" i="265"/>
  <c r="V6" i="265"/>
  <c r="W6" i="265"/>
  <c r="X6" i="265"/>
  <c r="Y6" i="265"/>
  <c r="Z6" i="265"/>
  <c r="AA6" i="265"/>
  <c r="AB6" i="265"/>
  <c r="AC6" i="265"/>
  <c r="B7" i="265"/>
  <c r="C7" i="265"/>
  <c r="D7" i="265"/>
  <c r="E7" i="265"/>
  <c r="F7" i="265"/>
  <c r="G7" i="265"/>
  <c r="H7" i="265"/>
  <c r="I7" i="265"/>
  <c r="J7" i="265"/>
  <c r="K7" i="265"/>
  <c r="L7" i="265"/>
  <c r="M7" i="265"/>
  <c r="N7" i="265"/>
  <c r="O7" i="265"/>
  <c r="P7" i="265"/>
  <c r="Q7" i="265"/>
  <c r="R7" i="265"/>
  <c r="S7" i="265"/>
  <c r="T7" i="265"/>
  <c r="U7" i="265"/>
  <c r="V7" i="265"/>
  <c r="W7" i="265"/>
  <c r="X7" i="265"/>
  <c r="Y7" i="265"/>
  <c r="Z7" i="265"/>
  <c r="AA7" i="265"/>
  <c r="AB7" i="265"/>
  <c r="AC7" i="265"/>
  <c r="B8" i="265"/>
  <c r="C8" i="265"/>
  <c r="D8" i="265"/>
  <c r="E8" i="265"/>
  <c r="F8" i="265"/>
  <c r="G8" i="265"/>
  <c r="H8" i="265"/>
  <c r="I8" i="265"/>
  <c r="J8" i="265"/>
  <c r="K8" i="265"/>
  <c r="L8" i="265"/>
  <c r="M8" i="265"/>
  <c r="N8" i="265"/>
  <c r="O8" i="265"/>
  <c r="P8" i="265"/>
  <c r="Q8" i="265"/>
  <c r="R8" i="265"/>
  <c r="S8" i="265"/>
  <c r="T8" i="265"/>
  <c r="U8" i="265"/>
  <c r="V8" i="265"/>
  <c r="W8" i="265"/>
  <c r="X8" i="265"/>
  <c r="Y8" i="265"/>
  <c r="Z8" i="265"/>
  <c r="AA8" i="265"/>
  <c r="AB8" i="265"/>
  <c r="AC8" i="265"/>
  <c r="B9" i="265"/>
  <c r="C9" i="265"/>
  <c r="D9" i="265"/>
  <c r="E9" i="265"/>
  <c r="F9" i="265"/>
  <c r="G9" i="265"/>
  <c r="H9" i="265"/>
  <c r="I9" i="265"/>
  <c r="J9" i="265"/>
  <c r="K9" i="265"/>
  <c r="L9" i="265"/>
  <c r="M9" i="265"/>
  <c r="N9" i="265"/>
  <c r="O9" i="265"/>
  <c r="P9" i="265"/>
  <c r="Q9" i="265"/>
  <c r="R9" i="265"/>
  <c r="S9" i="265"/>
  <c r="T9" i="265"/>
  <c r="U9" i="265"/>
  <c r="V9" i="265"/>
  <c r="W9" i="265"/>
  <c r="X9" i="265"/>
  <c r="Y9" i="265"/>
  <c r="Z9" i="265"/>
  <c r="AA9" i="265"/>
  <c r="AB9" i="265"/>
  <c r="AC9" i="265"/>
  <c r="B10" i="265"/>
  <c r="C10" i="265"/>
  <c r="D10" i="265"/>
  <c r="E10" i="265"/>
  <c r="F10" i="265"/>
  <c r="G10" i="265"/>
  <c r="H10" i="265"/>
  <c r="I10" i="265"/>
  <c r="J10" i="265"/>
  <c r="K10" i="265"/>
  <c r="L10" i="265"/>
  <c r="M10" i="265"/>
  <c r="N10" i="265"/>
  <c r="O10" i="265"/>
  <c r="P10" i="265"/>
  <c r="Q10" i="265"/>
  <c r="R10" i="265"/>
  <c r="S10" i="265"/>
  <c r="T10" i="265"/>
  <c r="U10" i="265"/>
  <c r="V10" i="265"/>
  <c r="W10" i="265"/>
  <c r="X10" i="265"/>
  <c r="Y10" i="265"/>
  <c r="Z10" i="265"/>
  <c r="AA10" i="265"/>
  <c r="AB10" i="265"/>
  <c r="AC10" i="265"/>
  <c r="B11" i="265"/>
  <c r="C11" i="265"/>
  <c r="D11" i="265"/>
  <c r="E11" i="265"/>
  <c r="F11" i="265"/>
  <c r="G11" i="265"/>
  <c r="H11" i="265"/>
  <c r="I11" i="265"/>
  <c r="J11" i="265"/>
  <c r="K11" i="265"/>
  <c r="L11" i="265"/>
  <c r="M11" i="265"/>
  <c r="N11" i="265"/>
  <c r="O11" i="265"/>
  <c r="P11" i="265"/>
  <c r="Q11" i="265"/>
  <c r="R11" i="265"/>
  <c r="S11" i="265"/>
  <c r="T11" i="265"/>
  <c r="U11" i="265"/>
  <c r="V11" i="265"/>
  <c r="W11" i="265"/>
  <c r="X11" i="265"/>
  <c r="Y11" i="265"/>
  <c r="Z11" i="265"/>
  <c r="AA11" i="265"/>
  <c r="AB11" i="265"/>
  <c r="AC11" i="265"/>
  <c r="B12" i="265"/>
  <c r="C12" i="265"/>
  <c r="D12" i="265"/>
  <c r="E12" i="265"/>
  <c r="F12" i="265"/>
  <c r="G12" i="265"/>
  <c r="H12" i="265"/>
  <c r="I12" i="265"/>
  <c r="J12" i="265"/>
  <c r="K12" i="265"/>
  <c r="L12" i="265"/>
  <c r="M12" i="265"/>
  <c r="N12" i="265"/>
  <c r="O12" i="265"/>
  <c r="P12" i="265"/>
  <c r="Q12" i="265"/>
  <c r="R12" i="265"/>
  <c r="S12" i="265"/>
  <c r="T12" i="265"/>
  <c r="U12" i="265"/>
  <c r="V12" i="265"/>
  <c r="W12" i="265"/>
  <c r="X12" i="265"/>
  <c r="Y12" i="265"/>
  <c r="Z12" i="265"/>
  <c r="AA12" i="265"/>
  <c r="AB12" i="265"/>
  <c r="AC12" i="265"/>
  <c r="B13" i="265"/>
  <c r="C13" i="265"/>
  <c r="D13" i="265"/>
  <c r="E13" i="265"/>
  <c r="F13" i="265"/>
  <c r="G13" i="265"/>
  <c r="H13" i="265"/>
  <c r="I13" i="265"/>
  <c r="J13" i="265"/>
  <c r="K13" i="265"/>
  <c r="L13" i="265"/>
  <c r="M13" i="265"/>
  <c r="N13" i="265"/>
  <c r="O13" i="265"/>
  <c r="P13" i="265"/>
  <c r="Q13" i="265"/>
  <c r="R13" i="265"/>
  <c r="S13" i="265"/>
  <c r="T13" i="265"/>
  <c r="U13" i="265"/>
  <c r="V13" i="265"/>
  <c r="W13" i="265"/>
  <c r="X13" i="265"/>
  <c r="Y13" i="265"/>
  <c r="Z13" i="265"/>
  <c r="AA13" i="265"/>
  <c r="AB13" i="265"/>
  <c r="AC13" i="265"/>
  <c r="B14" i="265"/>
  <c r="C14" i="265"/>
  <c r="D14" i="265"/>
  <c r="E14" i="265"/>
  <c r="F14" i="265"/>
  <c r="G14" i="265"/>
  <c r="H14" i="265"/>
  <c r="I14" i="265"/>
  <c r="J14" i="265"/>
  <c r="K14" i="265"/>
  <c r="L14" i="265"/>
  <c r="M14" i="265"/>
  <c r="N14" i="265"/>
  <c r="O14" i="265"/>
  <c r="P14" i="265"/>
  <c r="Q14" i="265"/>
  <c r="R14" i="265"/>
  <c r="S14" i="265"/>
  <c r="T14" i="265"/>
  <c r="U14" i="265"/>
  <c r="V14" i="265"/>
  <c r="W14" i="265"/>
  <c r="X14" i="265"/>
  <c r="Y14" i="265"/>
  <c r="Z14" i="265"/>
  <c r="AA14" i="265"/>
  <c r="AB14" i="265"/>
  <c r="AC14" i="265"/>
  <c r="B15" i="265"/>
  <c r="C15" i="265"/>
  <c r="D15" i="265"/>
  <c r="E15" i="265"/>
  <c r="F15" i="265"/>
  <c r="G15" i="265"/>
  <c r="H15" i="265"/>
  <c r="I15" i="265"/>
  <c r="J15" i="265"/>
  <c r="K15" i="265"/>
  <c r="L15" i="265"/>
  <c r="M15" i="265"/>
  <c r="N15" i="265"/>
  <c r="O15" i="265"/>
  <c r="P15" i="265"/>
  <c r="Q15" i="265"/>
  <c r="R15" i="265"/>
  <c r="S15" i="265"/>
  <c r="T15" i="265"/>
  <c r="U15" i="265"/>
  <c r="V15" i="265"/>
  <c r="W15" i="265"/>
  <c r="X15" i="265"/>
  <c r="Y15" i="265"/>
  <c r="Z15" i="265"/>
  <c r="AA15" i="265"/>
  <c r="AB15" i="265"/>
  <c r="AC15" i="265"/>
  <c r="B16" i="265"/>
  <c r="C16" i="265"/>
  <c r="D16" i="265"/>
  <c r="E16" i="265"/>
  <c r="F16" i="265"/>
  <c r="G16" i="265"/>
  <c r="H16" i="265"/>
  <c r="I16" i="265"/>
  <c r="J16" i="265"/>
  <c r="K16" i="265"/>
  <c r="L16" i="265"/>
  <c r="M16" i="265"/>
  <c r="N16" i="265"/>
  <c r="O16" i="265"/>
  <c r="P16" i="265"/>
  <c r="Q16" i="265"/>
  <c r="R16" i="265"/>
  <c r="S16" i="265"/>
  <c r="T16" i="265"/>
  <c r="U16" i="265"/>
  <c r="V16" i="265"/>
  <c r="W16" i="265"/>
  <c r="X16" i="265"/>
  <c r="Y16" i="265"/>
  <c r="Z16" i="265"/>
  <c r="AA16" i="265"/>
  <c r="AB16" i="265"/>
  <c r="AC16" i="265"/>
  <c r="B17" i="265"/>
  <c r="C17" i="265"/>
  <c r="D17" i="265"/>
  <c r="E17" i="265"/>
  <c r="F17" i="265"/>
  <c r="G17" i="265"/>
  <c r="H17" i="265"/>
  <c r="I17" i="265"/>
  <c r="J17" i="265"/>
  <c r="K17" i="265"/>
  <c r="L17" i="265"/>
  <c r="M17" i="265"/>
  <c r="N17" i="265"/>
  <c r="O17" i="265"/>
  <c r="P17" i="265"/>
  <c r="Q17" i="265"/>
  <c r="R17" i="265"/>
  <c r="S17" i="265"/>
  <c r="T17" i="265"/>
  <c r="U17" i="265"/>
  <c r="V17" i="265"/>
  <c r="W17" i="265"/>
  <c r="X17" i="265"/>
  <c r="Y17" i="265"/>
  <c r="Z17" i="265"/>
  <c r="AA17" i="265"/>
  <c r="AB17" i="265"/>
  <c r="AC17" i="265"/>
  <c r="B18" i="265"/>
  <c r="C18" i="265"/>
  <c r="D18" i="265"/>
  <c r="E18" i="265"/>
  <c r="F18" i="265"/>
  <c r="G18" i="265"/>
  <c r="H18" i="265"/>
  <c r="I18" i="265"/>
  <c r="J18" i="265"/>
  <c r="K18" i="265"/>
  <c r="L18" i="265"/>
  <c r="M18" i="265"/>
  <c r="N18" i="265"/>
  <c r="O18" i="265"/>
  <c r="P18" i="265"/>
  <c r="Q18" i="265"/>
  <c r="R18" i="265"/>
  <c r="S18" i="265"/>
  <c r="T18" i="265"/>
  <c r="U18" i="265"/>
  <c r="V18" i="265"/>
  <c r="W18" i="265"/>
  <c r="X18" i="265"/>
  <c r="Y18" i="265"/>
  <c r="Z18" i="265"/>
  <c r="AA18" i="265"/>
  <c r="AB18" i="265"/>
  <c r="AC18" i="265"/>
  <c r="C5" i="265"/>
  <c r="D5" i="265"/>
  <c r="E5" i="265"/>
  <c r="F5" i="265"/>
  <c r="G5" i="265"/>
  <c r="H5" i="265"/>
  <c r="I5" i="265"/>
  <c r="J5" i="265"/>
  <c r="K5" i="265"/>
  <c r="L5" i="265"/>
  <c r="M5" i="265"/>
  <c r="N5" i="265"/>
  <c r="O5" i="265"/>
  <c r="P5" i="265"/>
  <c r="Q5" i="265"/>
  <c r="R5" i="265"/>
  <c r="S5" i="265"/>
  <c r="T5" i="265"/>
  <c r="U5" i="265"/>
  <c r="V5" i="265"/>
  <c r="W5" i="265"/>
  <c r="X5" i="265"/>
  <c r="Y5" i="265"/>
  <c r="Z5" i="265"/>
  <c r="AA5" i="265"/>
  <c r="AB5" i="265"/>
  <c r="AC5" i="265"/>
  <c r="B5" i="265"/>
  <c r="C68" i="259"/>
  <c r="D68" i="259"/>
  <c r="E68" i="259"/>
  <c r="F68" i="259"/>
  <c r="G68" i="259"/>
  <c r="H68" i="259"/>
  <c r="I68" i="259"/>
  <c r="J68" i="259"/>
  <c r="K68" i="259"/>
  <c r="L68" i="259"/>
  <c r="M68" i="259"/>
  <c r="N68" i="259"/>
  <c r="O68" i="259"/>
  <c r="P68" i="259"/>
  <c r="Q68" i="259"/>
  <c r="R68" i="259"/>
  <c r="S68" i="259"/>
  <c r="T68" i="259"/>
  <c r="U68" i="259"/>
  <c r="V68" i="259"/>
  <c r="W68" i="259"/>
  <c r="X68" i="259"/>
  <c r="Y68" i="259"/>
  <c r="Z68" i="259"/>
  <c r="AA68" i="259"/>
  <c r="AB68" i="259"/>
  <c r="AC68" i="259"/>
  <c r="C69" i="259"/>
  <c r="D69" i="259"/>
  <c r="E69" i="259"/>
  <c r="F69" i="259"/>
  <c r="G69" i="259"/>
  <c r="H69" i="259"/>
  <c r="I69" i="259"/>
  <c r="J69" i="259"/>
  <c r="K69" i="259"/>
  <c r="L69" i="259"/>
  <c r="M69" i="259"/>
  <c r="N69" i="259"/>
  <c r="O69" i="259"/>
  <c r="P69" i="259"/>
  <c r="Q69" i="259"/>
  <c r="R69" i="259"/>
  <c r="S69" i="259"/>
  <c r="T69" i="259"/>
  <c r="U69" i="259"/>
  <c r="V69" i="259"/>
  <c r="W69" i="259"/>
  <c r="X69" i="259"/>
  <c r="Y69" i="259"/>
  <c r="Z69" i="259"/>
  <c r="AA69" i="259"/>
  <c r="AB69" i="259"/>
  <c r="AC69" i="259"/>
  <c r="C70" i="259"/>
  <c r="D70" i="259"/>
  <c r="E70" i="259"/>
  <c r="F70" i="259"/>
  <c r="G70" i="259"/>
  <c r="H70" i="259"/>
  <c r="I70" i="259"/>
  <c r="J70" i="259"/>
  <c r="K70" i="259"/>
  <c r="L70" i="259"/>
  <c r="M70" i="259"/>
  <c r="N70" i="259"/>
  <c r="O70" i="259"/>
  <c r="P70" i="259"/>
  <c r="Q70" i="259"/>
  <c r="R70" i="259"/>
  <c r="S70" i="259"/>
  <c r="T70" i="259"/>
  <c r="U70" i="259"/>
  <c r="V70" i="259"/>
  <c r="W70" i="259"/>
  <c r="X70" i="259"/>
  <c r="Y70" i="259"/>
  <c r="Z70" i="259"/>
  <c r="AA70" i="259"/>
  <c r="AB70" i="259"/>
  <c r="AC70" i="259"/>
  <c r="C71" i="259"/>
  <c r="D71" i="259"/>
  <c r="E71" i="259"/>
  <c r="F71" i="259"/>
  <c r="G71" i="259"/>
  <c r="H71" i="259"/>
  <c r="I71" i="259"/>
  <c r="J71" i="259"/>
  <c r="K71" i="259"/>
  <c r="L71" i="259"/>
  <c r="M71" i="259"/>
  <c r="N71" i="259"/>
  <c r="O71" i="259"/>
  <c r="P71" i="259"/>
  <c r="Q71" i="259"/>
  <c r="R71" i="259"/>
  <c r="S71" i="259"/>
  <c r="T71" i="259"/>
  <c r="U71" i="259"/>
  <c r="V71" i="259"/>
  <c r="W71" i="259"/>
  <c r="X71" i="259"/>
  <c r="Y71" i="259"/>
  <c r="Z71" i="259"/>
  <c r="AA71" i="259"/>
  <c r="AB71" i="259"/>
  <c r="AC71" i="259"/>
  <c r="C72" i="259"/>
  <c r="D72" i="259"/>
  <c r="E72" i="259"/>
  <c r="F72" i="259"/>
  <c r="G72" i="259"/>
  <c r="H72" i="259"/>
  <c r="I72" i="259"/>
  <c r="J72" i="259"/>
  <c r="K72" i="259"/>
  <c r="L72" i="259"/>
  <c r="M72" i="259"/>
  <c r="N72" i="259"/>
  <c r="O72" i="259"/>
  <c r="P72" i="259"/>
  <c r="Q72" i="259"/>
  <c r="R72" i="259"/>
  <c r="S72" i="259"/>
  <c r="T72" i="259"/>
  <c r="U72" i="259"/>
  <c r="V72" i="259"/>
  <c r="W72" i="259"/>
  <c r="X72" i="259"/>
  <c r="Y72" i="259"/>
  <c r="Z72" i="259"/>
  <c r="AA72" i="259"/>
  <c r="AB72" i="259"/>
  <c r="AC72" i="259"/>
  <c r="C73" i="259"/>
  <c r="D73" i="259"/>
  <c r="E73" i="259"/>
  <c r="F73" i="259"/>
  <c r="G73" i="259"/>
  <c r="H73" i="259"/>
  <c r="I73" i="259"/>
  <c r="J73" i="259"/>
  <c r="K73" i="259"/>
  <c r="L73" i="259"/>
  <c r="M73" i="259"/>
  <c r="N73" i="259"/>
  <c r="O73" i="259"/>
  <c r="P73" i="259"/>
  <c r="Q73" i="259"/>
  <c r="R73" i="259"/>
  <c r="S73" i="259"/>
  <c r="T73" i="259"/>
  <c r="U73" i="259"/>
  <c r="V73" i="259"/>
  <c r="W73" i="259"/>
  <c r="X73" i="259"/>
  <c r="Y73" i="259"/>
  <c r="Z73" i="259"/>
  <c r="AA73" i="259"/>
  <c r="AB73" i="259"/>
  <c r="AC73" i="259"/>
  <c r="C74" i="259"/>
  <c r="D74" i="259"/>
  <c r="E74" i="259"/>
  <c r="F74" i="259"/>
  <c r="G74" i="259"/>
  <c r="H74" i="259"/>
  <c r="I74" i="259"/>
  <c r="J74" i="259"/>
  <c r="K74" i="259"/>
  <c r="L74" i="259"/>
  <c r="M74" i="259"/>
  <c r="N74" i="259"/>
  <c r="O74" i="259"/>
  <c r="P74" i="259"/>
  <c r="Q74" i="259"/>
  <c r="R74" i="259"/>
  <c r="S74" i="259"/>
  <c r="T74" i="259"/>
  <c r="U74" i="259"/>
  <c r="V74" i="259"/>
  <c r="W74" i="259"/>
  <c r="X74" i="259"/>
  <c r="Y74" i="259"/>
  <c r="Z74" i="259"/>
  <c r="AA74" i="259"/>
  <c r="AB74" i="259"/>
  <c r="AC74" i="259"/>
  <c r="B74" i="259"/>
  <c r="B73" i="259"/>
  <c r="B72" i="259"/>
  <c r="B71" i="259"/>
  <c r="B70" i="259"/>
  <c r="B69" i="259"/>
  <c r="B68" i="259"/>
  <c r="C62" i="259"/>
  <c r="D62" i="259"/>
  <c r="E62" i="259"/>
  <c r="F62" i="259"/>
  <c r="G62" i="259"/>
  <c r="H62" i="259"/>
  <c r="I62" i="259"/>
  <c r="J62" i="259"/>
  <c r="K62" i="259"/>
  <c r="L62" i="259"/>
  <c r="M62" i="259"/>
  <c r="N62" i="259"/>
  <c r="O62" i="259"/>
  <c r="P62" i="259"/>
  <c r="Q62" i="259"/>
  <c r="R62" i="259"/>
  <c r="S62" i="259"/>
  <c r="T62" i="259"/>
  <c r="U62" i="259"/>
  <c r="V62" i="259"/>
  <c r="W62" i="259"/>
  <c r="X62" i="259"/>
  <c r="Y62" i="259"/>
  <c r="Z62" i="259"/>
  <c r="AA62" i="259"/>
  <c r="AB62" i="259"/>
  <c r="AC62" i="259"/>
  <c r="C63" i="259"/>
  <c r="D63" i="259"/>
  <c r="E63" i="259"/>
  <c r="F63" i="259"/>
  <c r="G63" i="259"/>
  <c r="H63" i="259"/>
  <c r="I63" i="259"/>
  <c r="J63" i="259"/>
  <c r="K63" i="259"/>
  <c r="L63" i="259"/>
  <c r="M63" i="259"/>
  <c r="N63" i="259"/>
  <c r="O63" i="259"/>
  <c r="P63" i="259"/>
  <c r="Q63" i="259"/>
  <c r="R63" i="259"/>
  <c r="S63" i="259"/>
  <c r="T63" i="259"/>
  <c r="U63" i="259"/>
  <c r="V63" i="259"/>
  <c r="W63" i="259"/>
  <c r="X63" i="259"/>
  <c r="Y63" i="259"/>
  <c r="Z63" i="259"/>
  <c r="AA63" i="259"/>
  <c r="AB63" i="259"/>
  <c r="AC63" i="259"/>
  <c r="C64" i="259"/>
  <c r="D64" i="259"/>
  <c r="E64" i="259"/>
  <c r="F64" i="259"/>
  <c r="G64" i="259"/>
  <c r="H64" i="259"/>
  <c r="I64" i="259"/>
  <c r="J64" i="259"/>
  <c r="K64" i="259"/>
  <c r="L64" i="259"/>
  <c r="M64" i="259"/>
  <c r="N64" i="259"/>
  <c r="O64" i="259"/>
  <c r="P64" i="259"/>
  <c r="Q64" i="259"/>
  <c r="R64" i="259"/>
  <c r="S64" i="259"/>
  <c r="T64" i="259"/>
  <c r="U64" i="259"/>
  <c r="V64" i="259"/>
  <c r="W64" i="259"/>
  <c r="X64" i="259"/>
  <c r="Y64" i="259"/>
  <c r="Z64" i="259"/>
  <c r="AA64" i="259"/>
  <c r="AB64" i="259"/>
  <c r="AC64" i="259"/>
  <c r="C65" i="259"/>
  <c r="D65" i="259"/>
  <c r="E65" i="259"/>
  <c r="F65" i="259"/>
  <c r="G65" i="259"/>
  <c r="H65" i="259"/>
  <c r="I65" i="259"/>
  <c r="J65" i="259"/>
  <c r="K65" i="259"/>
  <c r="L65" i="259"/>
  <c r="M65" i="259"/>
  <c r="N65" i="259"/>
  <c r="O65" i="259"/>
  <c r="P65" i="259"/>
  <c r="Q65" i="259"/>
  <c r="R65" i="259"/>
  <c r="S65" i="259"/>
  <c r="T65" i="259"/>
  <c r="U65" i="259"/>
  <c r="V65" i="259"/>
  <c r="W65" i="259"/>
  <c r="X65" i="259"/>
  <c r="Y65" i="259"/>
  <c r="Z65" i="259"/>
  <c r="AA65" i="259"/>
  <c r="AB65" i="259"/>
  <c r="AC65" i="259"/>
  <c r="C66" i="259"/>
  <c r="D66" i="259"/>
  <c r="E66" i="259"/>
  <c r="F66" i="259"/>
  <c r="G66" i="259"/>
  <c r="H66" i="259"/>
  <c r="I66" i="259"/>
  <c r="J66" i="259"/>
  <c r="K66" i="259"/>
  <c r="L66" i="259"/>
  <c r="M66" i="259"/>
  <c r="N66" i="259"/>
  <c r="O66" i="259"/>
  <c r="P66" i="259"/>
  <c r="Q66" i="259"/>
  <c r="R66" i="259"/>
  <c r="S66" i="259"/>
  <c r="T66" i="259"/>
  <c r="U66" i="259"/>
  <c r="V66" i="259"/>
  <c r="W66" i="259"/>
  <c r="X66" i="259"/>
  <c r="Y66" i="259"/>
  <c r="Z66" i="259"/>
  <c r="AA66" i="259"/>
  <c r="AB66" i="259"/>
  <c r="AC66" i="259"/>
  <c r="B66" i="259"/>
  <c r="B65" i="259"/>
  <c r="B64" i="259"/>
  <c r="B63" i="259"/>
  <c r="B62" i="259"/>
  <c r="C57" i="259"/>
  <c r="D57" i="259"/>
  <c r="E57" i="259"/>
  <c r="F57" i="259"/>
  <c r="G57" i="259"/>
  <c r="H57" i="259"/>
  <c r="I57" i="259"/>
  <c r="J57" i="259"/>
  <c r="K57" i="259"/>
  <c r="L57" i="259"/>
  <c r="M57" i="259"/>
  <c r="N57" i="259"/>
  <c r="O57" i="259"/>
  <c r="P57" i="259"/>
  <c r="Q57" i="259"/>
  <c r="R57" i="259"/>
  <c r="S57" i="259"/>
  <c r="T57" i="259"/>
  <c r="U57" i="259"/>
  <c r="V57" i="259"/>
  <c r="W57" i="259"/>
  <c r="X57" i="259"/>
  <c r="Y57" i="259"/>
  <c r="Z57" i="259"/>
  <c r="AA57" i="259"/>
  <c r="AB57" i="259"/>
  <c r="AC57" i="259"/>
  <c r="C58" i="259"/>
  <c r="D58" i="259"/>
  <c r="E58" i="259"/>
  <c r="F58" i="259"/>
  <c r="G58" i="259"/>
  <c r="H58" i="259"/>
  <c r="I58" i="259"/>
  <c r="J58" i="259"/>
  <c r="K58" i="259"/>
  <c r="L58" i="259"/>
  <c r="M58" i="259"/>
  <c r="N58" i="259"/>
  <c r="O58" i="259"/>
  <c r="P58" i="259"/>
  <c r="Q58" i="259"/>
  <c r="R58" i="259"/>
  <c r="S58" i="259"/>
  <c r="T58" i="259"/>
  <c r="U58" i="259"/>
  <c r="V58" i="259"/>
  <c r="W58" i="259"/>
  <c r="X58" i="259"/>
  <c r="Y58" i="259"/>
  <c r="Z58" i="259"/>
  <c r="AA58" i="259"/>
  <c r="AB58" i="259"/>
  <c r="AC58" i="259"/>
  <c r="C59" i="259"/>
  <c r="D59" i="259"/>
  <c r="E59" i="259"/>
  <c r="F59" i="259"/>
  <c r="G59" i="259"/>
  <c r="H59" i="259"/>
  <c r="I59" i="259"/>
  <c r="J59" i="259"/>
  <c r="K59" i="259"/>
  <c r="L59" i="259"/>
  <c r="M59" i="259"/>
  <c r="N59" i="259"/>
  <c r="O59" i="259"/>
  <c r="P59" i="259"/>
  <c r="Q59" i="259"/>
  <c r="R59" i="259"/>
  <c r="S59" i="259"/>
  <c r="T59" i="259"/>
  <c r="U59" i="259"/>
  <c r="V59" i="259"/>
  <c r="W59" i="259"/>
  <c r="X59" i="259"/>
  <c r="Y59" i="259"/>
  <c r="Z59" i="259"/>
  <c r="AA59" i="259"/>
  <c r="AB59" i="259"/>
  <c r="AC59" i="259"/>
  <c r="C60" i="259"/>
  <c r="D60" i="259"/>
  <c r="E60" i="259"/>
  <c r="F60" i="259"/>
  <c r="G60" i="259"/>
  <c r="H60" i="259"/>
  <c r="I60" i="259"/>
  <c r="J60" i="259"/>
  <c r="K60" i="259"/>
  <c r="L60" i="259"/>
  <c r="M60" i="259"/>
  <c r="N60" i="259"/>
  <c r="O60" i="259"/>
  <c r="P60" i="259"/>
  <c r="Q60" i="259"/>
  <c r="R60" i="259"/>
  <c r="S60" i="259"/>
  <c r="T60" i="259"/>
  <c r="U60" i="259"/>
  <c r="V60" i="259"/>
  <c r="W60" i="259"/>
  <c r="X60" i="259"/>
  <c r="Y60" i="259"/>
  <c r="Z60" i="259"/>
  <c r="AA60" i="259"/>
  <c r="AB60" i="259"/>
  <c r="AC60" i="259"/>
  <c r="B60" i="259"/>
  <c r="B59" i="259"/>
  <c r="B58" i="259"/>
  <c r="B57" i="259"/>
  <c r="C55" i="259"/>
  <c r="D55" i="259"/>
  <c r="E55" i="259"/>
  <c r="F55" i="259"/>
  <c r="G55" i="259"/>
  <c r="H55" i="259"/>
  <c r="I55" i="259"/>
  <c r="J55" i="259"/>
  <c r="K55" i="259"/>
  <c r="L55" i="259"/>
  <c r="M55" i="259"/>
  <c r="N55" i="259"/>
  <c r="O55" i="259"/>
  <c r="P55" i="259"/>
  <c r="Q55" i="259"/>
  <c r="R55" i="259"/>
  <c r="S55" i="259"/>
  <c r="T55" i="259"/>
  <c r="U55" i="259"/>
  <c r="V55" i="259"/>
  <c r="W55" i="259"/>
  <c r="X55" i="259"/>
  <c r="Y55" i="259"/>
  <c r="Z55" i="259"/>
  <c r="AA55" i="259"/>
  <c r="AB55" i="259"/>
  <c r="AC55" i="259"/>
  <c r="B55" i="259"/>
  <c r="C53" i="259"/>
  <c r="D53" i="259"/>
  <c r="E53" i="259"/>
  <c r="F53" i="259"/>
  <c r="G53" i="259"/>
  <c r="H53" i="259"/>
  <c r="I53" i="259"/>
  <c r="J53" i="259"/>
  <c r="K53" i="259"/>
  <c r="L53" i="259"/>
  <c r="M53" i="259"/>
  <c r="N53" i="259"/>
  <c r="O53" i="259"/>
  <c r="P53" i="259"/>
  <c r="Q53" i="259"/>
  <c r="R53" i="259"/>
  <c r="S53" i="259"/>
  <c r="T53" i="259"/>
  <c r="U53" i="259"/>
  <c r="V53" i="259"/>
  <c r="W53" i="259"/>
  <c r="X53" i="259"/>
  <c r="Y53" i="259"/>
  <c r="Z53" i="259"/>
  <c r="AA53" i="259"/>
  <c r="AB53" i="259"/>
  <c r="AC53" i="259"/>
  <c r="B53" i="259"/>
  <c r="C49" i="259"/>
  <c r="D49" i="259"/>
  <c r="E49" i="259"/>
  <c r="F49" i="259"/>
  <c r="G49" i="259"/>
  <c r="H49" i="259"/>
  <c r="I49" i="259"/>
  <c r="J49" i="259"/>
  <c r="K49" i="259"/>
  <c r="L49" i="259"/>
  <c r="M49" i="259"/>
  <c r="N49" i="259"/>
  <c r="O49" i="259"/>
  <c r="P49" i="259"/>
  <c r="Q49" i="259"/>
  <c r="R49" i="259"/>
  <c r="S49" i="259"/>
  <c r="T49" i="259"/>
  <c r="U49" i="259"/>
  <c r="V49" i="259"/>
  <c r="W49" i="259"/>
  <c r="X49" i="259"/>
  <c r="Y49" i="259"/>
  <c r="Z49" i="259"/>
  <c r="AA49" i="259"/>
  <c r="AB49" i="259"/>
  <c r="AC49" i="259"/>
  <c r="C50" i="259"/>
  <c r="D50" i="259"/>
  <c r="E50" i="259"/>
  <c r="F50" i="259"/>
  <c r="G50" i="259"/>
  <c r="H50" i="259"/>
  <c r="I50" i="259"/>
  <c r="J50" i="259"/>
  <c r="K50" i="259"/>
  <c r="L50" i="259"/>
  <c r="M50" i="259"/>
  <c r="N50" i="259"/>
  <c r="O50" i="259"/>
  <c r="P50" i="259"/>
  <c r="Q50" i="259"/>
  <c r="R50" i="259"/>
  <c r="S50" i="259"/>
  <c r="T50" i="259"/>
  <c r="U50" i="259"/>
  <c r="V50" i="259"/>
  <c r="W50" i="259"/>
  <c r="X50" i="259"/>
  <c r="Y50" i="259"/>
  <c r="Z50" i="259"/>
  <c r="AA50" i="259"/>
  <c r="AB50" i="259"/>
  <c r="AC50" i="259"/>
  <c r="C51" i="259"/>
  <c r="D51" i="259"/>
  <c r="E51" i="259"/>
  <c r="F51" i="259"/>
  <c r="G51" i="259"/>
  <c r="H51" i="259"/>
  <c r="I51" i="259"/>
  <c r="J51" i="259"/>
  <c r="K51" i="259"/>
  <c r="L51" i="259"/>
  <c r="M51" i="259"/>
  <c r="N51" i="259"/>
  <c r="O51" i="259"/>
  <c r="P51" i="259"/>
  <c r="Q51" i="259"/>
  <c r="R51" i="259"/>
  <c r="S51" i="259"/>
  <c r="T51" i="259"/>
  <c r="U51" i="259"/>
  <c r="V51" i="259"/>
  <c r="W51" i="259"/>
  <c r="X51" i="259"/>
  <c r="Y51" i="259"/>
  <c r="Z51" i="259"/>
  <c r="AA51" i="259"/>
  <c r="AB51" i="259"/>
  <c r="AC51" i="259"/>
  <c r="B51" i="259"/>
  <c r="B50" i="259"/>
  <c r="B49" i="259"/>
  <c r="C21" i="259"/>
  <c r="D21" i="259"/>
  <c r="E21" i="259"/>
  <c r="F21" i="259"/>
  <c r="G21" i="259"/>
  <c r="H21" i="259"/>
  <c r="I21" i="259"/>
  <c r="J21" i="259"/>
  <c r="K21" i="259"/>
  <c r="L21" i="259"/>
  <c r="M21" i="259"/>
  <c r="N21" i="259"/>
  <c r="O21" i="259"/>
  <c r="P21" i="259"/>
  <c r="Q21" i="259"/>
  <c r="R21" i="259"/>
  <c r="S21" i="259"/>
  <c r="T21" i="259"/>
  <c r="U21" i="259"/>
  <c r="V21" i="259"/>
  <c r="W21" i="259"/>
  <c r="X21" i="259"/>
  <c r="Y21" i="259"/>
  <c r="Z21" i="259"/>
  <c r="AA21" i="259"/>
  <c r="AB21" i="259"/>
  <c r="AC21" i="259"/>
  <c r="C22" i="259"/>
  <c r="D22" i="259"/>
  <c r="E22" i="259"/>
  <c r="F22" i="259"/>
  <c r="G22" i="259"/>
  <c r="H22" i="259"/>
  <c r="I22" i="259"/>
  <c r="J22" i="259"/>
  <c r="K22" i="259"/>
  <c r="L22" i="259"/>
  <c r="M22" i="259"/>
  <c r="N22" i="259"/>
  <c r="O22" i="259"/>
  <c r="P22" i="259"/>
  <c r="Q22" i="259"/>
  <c r="R22" i="259"/>
  <c r="S22" i="259"/>
  <c r="T22" i="259"/>
  <c r="U22" i="259"/>
  <c r="V22" i="259"/>
  <c r="W22" i="259"/>
  <c r="X22" i="259"/>
  <c r="Y22" i="259"/>
  <c r="Z22" i="259"/>
  <c r="AA22" i="259"/>
  <c r="AB22" i="259"/>
  <c r="AC22" i="259"/>
  <c r="C23" i="259"/>
  <c r="D23" i="259"/>
  <c r="E23" i="259"/>
  <c r="F23" i="259"/>
  <c r="G23" i="259"/>
  <c r="H23" i="259"/>
  <c r="I23" i="259"/>
  <c r="J23" i="259"/>
  <c r="K23" i="259"/>
  <c r="L23" i="259"/>
  <c r="M23" i="259"/>
  <c r="N23" i="259"/>
  <c r="O23" i="259"/>
  <c r="P23" i="259"/>
  <c r="Q23" i="259"/>
  <c r="R23" i="259"/>
  <c r="S23" i="259"/>
  <c r="T23" i="259"/>
  <c r="U23" i="259"/>
  <c r="V23" i="259"/>
  <c r="W23" i="259"/>
  <c r="X23" i="259"/>
  <c r="Y23" i="259"/>
  <c r="Z23" i="259"/>
  <c r="AA23" i="259"/>
  <c r="AB23" i="259"/>
  <c r="AC23" i="259"/>
  <c r="C24" i="259"/>
  <c r="D24" i="259"/>
  <c r="E24" i="259"/>
  <c r="F24" i="259"/>
  <c r="G24" i="259"/>
  <c r="H24" i="259"/>
  <c r="I24" i="259"/>
  <c r="J24" i="259"/>
  <c r="K24" i="259"/>
  <c r="L24" i="259"/>
  <c r="M24" i="259"/>
  <c r="N24" i="259"/>
  <c r="O24" i="259"/>
  <c r="P24" i="259"/>
  <c r="Q24" i="259"/>
  <c r="R24" i="259"/>
  <c r="S24" i="259"/>
  <c r="T24" i="259"/>
  <c r="U24" i="259"/>
  <c r="V24" i="259"/>
  <c r="W24" i="259"/>
  <c r="X24" i="259"/>
  <c r="Y24" i="259"/>
  <c r="Z24" i="259"/>
  <c r="AA24" i="259"/>
  <c r="AB24" i="259"/>
  <c r="AC24" i="259"/>
  <c r="C25" i="259"/>
  <c r="D25" i="259"/>
  <c r="E25" i="259"/>
  <c r="F25" i="259"/>
  <c r="G25" i="259"/>
  <c r="H25" i="259"/>
  <c r="I25" i="259"/>
  <c r="J25" i="259"/>
  <c r="K25" i="259"/>
  <c r="L25" i="259"/>
  <c r="M25" i="259"/>
  <c r="N25" i="259"/>
  <c r="O25" i="259"/>
  <c r="P25" i="259"/>
  <c r="Q25" i="259"/>
  <c r="R25" i="259"/>
  <c r="S25" i="259"/>
  <c r="T25" i="259"/>
  <c r="U25" i="259"/>
  <c r="V25" i="259"/>
  <c r="W25" i="259"/>
  <c r="X25" i="259"/>
  <c r="Y25" i="259"/>
  <c r="Z25" i="259"/>
  <c r="AA25" i="259"/>
  <c r="AB25" i="259"/>
  <c r="AC25" i="259"/>
  <c r="C26" i="259"/>
  <c r="D26" i="259"/>
  <c r="E26" i="259"/>
  <c r="F26" i="259"/>
  <c r="G26" i="259"/>
  <c r="H26" i="259"/>
  <c r="I26" i="259"/>
  <c r="J26" i="259"/>
  <c r="K26" i="259"/>
  <c r="L26" i="259"/>
  <c r="M26" i="259"/>
  <c r="N26" i="259"/>
  <c r="O26" i="259"/>
  <c r="P26" i="259"/>
  <c r="Q26" i="259"/>
  <c r="R26" i="259"/>
  <c r="S26" i="259"/>
  <c r="T26" i="259"/>
  <c r="U26" i="259"/>
  <c r="V26" i="259"/>
  <c r="W26" i="259"/>
  <c r="X26" i="259"/>
  <c r="Y26" i="259"/>
  <c r="Z26" i="259"/>
  <c r="AA26" i="259"/>
  <c r="AB26" i="259"/>
  <c r="AC26" i="259"/>
  <c r="C27" i="259"/>
  <c r="D27" i="259"/>
  <c r="E27" i="259"/>
  <c r="F27" i="259"/>
  <c r="G27" i="259"/>
  <c r="H27" i="259"/>
  <c r="I27" i="259"/>
  <c r="J27" i="259"/>
  <c r="K27" i="259"/>
  <c r="L27" i="259"/>
  <c r="M27" i="259"/>
  <c r="N27" i="259"/>
  <c r="O27" i="259"/>
  <c r="P27" i="259"/>
  <c r="Q27" i="259"/>
  <c r="R27" i="259"/>
  <c r="S27" i="259"/>
  <c r="T27" i="259"/>
  <c r="U27" i="259"/>
  <c r="V27" i="259"/>
  <c r="W27" i="259"/>
  <c r="X27" i="259"/>
  <c r="Y27" i="259"/>
  <c r="Z27" i="259"/>
  <c r="AA27" i="259"/>
  <c r="AB27" i="259"/>
  <c r="AC27" i="259"/>
  <c r="C28" i="259"/>
  <c r="D28" i="259"/>
  <c r="E28" i="259"/>
  <c r="F28" i="259"/>
  <c r="G28" i="259"/>
  <c r="H28" i="259"/>
  <c r="I28" i="259"/>
  <c r="J28" i="259"/>
  <c r="K28" i="259"/>
  <c r="L28" i="259"/>
  <c r="M28" i="259"/>
  <c r="N28" i="259"/>
  <c r="O28" i="259"/>
  <c r="P28" i="259"/>
  <c r="Q28" i="259"/>
  <c r="R28" i="259"/>
  <c r="S28" i="259"/>
  <c r="T28" i="259"/>
  <c r="U28" i="259"/>
  <c r="V28" i="259"/>
  <c r="W28" i="259"/>
  <c r="X28" i="259"/>
  <c r="Y28" i="259"/>
  <c r="Z28" i="259"/>
  <c r="AA28" i="259"/>
  <c r="AB28" i="259"/>
  <c r="AC28" i="259"/>
  <c r="C29" i="259"/>
  <c r="D29" i="259"/>
  <c r="E29" i="259"/>
  <c r="F29" i="259"/>
  <c r="G29" i="259"/>
  <c r="H29" i="259"/>
  <c r="I29" i="259"/>
  <c r="J29" i="259"/>
  <c r="K29" i="259"/>
  <c r="L29" i="259"/>
  <c r="M29" i="259"/>
  <c r="N29" i="259"/>
  <c r="O29" i="259"/>
  <c r="P29" i="259"/>
  <c r="Q29" i="259"/>
  <c r="R29" i="259"/>
  <c r="S29" i="259"/>
  <c r="T29" i="259"/>
  <c r="U29" i="259"/>
  <c r="V29" i="259"/>
  <c r="W29" i="259"/>
  <c r="X29" i="259"/>
  <c r="Y29" i="259"/>
  <c r="Z29" i="259"/>
  <c r="AA29" i="259"/>
  <c r="AB29" i="259"/>
  <c r="AC29" i="259"/>
  <c r="C30" i="259"/>
  <c r="D30" i="259"/>
  <c r="E30" i="259"/>
  <c r="F30" i="259"/>
  <c r="G30" i="259"/>
  <c r="H30" i="259"/>
  <c r="I30" i="259"/>
  <c r="J30" i="259"/>
  <c r="K30" i="259"/>
  <c r="L30" i="259"/>
  <c r="M30" i="259"/>
  <c r="N30" i="259"/>
  <c r="O30" i="259"/>
  <c r="P30" i="259"/>
  <c r="Q30" i="259"/>
  <c r="R30" i="259"/>
  <c r="S30" i="259"/>
  <c r="T30" i="259"/>
  <c r="U30" i="259"/>
  <c r="V30" i="259"/>
  <c r="W30" i="259"/>
  <c r="X30" i="259"/>
  <c r="Y30" i="259"/>
  <c r="Z30" i="259"/>
  <c r="AA30" i="259"/>
  <c r="AB30" i="259"/>
  <c r="AC30" i="259"/>
  <c r="C31" i="259"/>
  <c r="D31" i="259"/>
  <c r="E31" i="259"/>
  <c r="F31" i="259"/>
  <c r="G31" i="259"/>
  <c r="H31" i="259"/>
  <c r="I31" i="259"/>
  <c r="J31" i="259"/>
  <c r="K31" i="259"/>
  <c r="L31" i="259"/>
  <c r="M31" i="259"/>
  <c r="N31" i="259"/>
  <c r="O31" i="259"/>
  <c r="P31" i="259"/>
  <c r="Q31" i="259"/>
  <c r="R31" i="259"/>
  <c r="S31" i="259"/>
  <c r="T31" i="259"/>
  <c r="U31" i="259"/>
  <c r="V31" i="259"/>
  <c r="W31" i="259"/>
  <c r="X31" i="259"/>
  <c r="Y31" i="259"/>
  <c r="Z31" i="259"/>
  <c r="AA31" i="259"/>
  <c r="AB31" i="259"/>
  <c r="AC31" i="259"/>
  <c r="C32" i="259"/>
  <c r="D32" i="259"/>
  <c r="E32" i="259"/>
  <c r="F32" i="259"/>
  <c r="G32" i="259"/>
  <c r="H32" i="259"/>
  <c r="I32" i="259"/>
  <c r="J32" i="259"/>
  <c r="K32" i="259"/>
  <c r="L32" i="259"/>
  <c r="M32" i="259"/>
  <c r="N32" i="259"/>
  <c r="O32" i="259"/>
  <c r="P32" i="259"/>
  <c r="Q32" i="259"/>
  <c r="R32" i="259"/>
  <c r="S32" i="259"/>
  <c r="T32" i="259"/>
  <c r="U32" i="259"/>
  <c r="V32" i="259"/>
  <c r="W32" i="259"/>
  <c r="X32" i="259"/>
  <c r="Y32" i="259"/>
  <c r="Z32" i="259"/>
  <c r="AA32" i="259"/>
  <c r="AB32" i="259"/>
  <c r="AC32" i="259"/>
  <c r="C33" i="259"/>
  <c r="D33" i="259"/>
  <c r="E33" i="259"/>
  <c r="F33" i="259"/>
  <c r="G33" i="259"/>
  <c r="H33" i="259"/>
  <c r="I33" i="259"/>
  <c r="J33" i="259"/>
  <c r="K33" i="259"/>
  <c r="L33" i="259"/>
  <c r="M33" i="259"/>
  <c r="N33" i="259"/>
  <c r="O33" i="259"/>
  <c r="P33" i="259"/>
  <c r="Q33" i="259"/>
  <c r="R33" i="259"/>
  <c r="S33" i="259"/>
  <c r="T33" i="259"/>
  <c r="U33" i="259"/>
  <c r="V33" i="259"/>
  <c r="W33" i="259"/>
  <c r="X33" i="259"/>
  <c r="Y33" i="259"/>
  <c r="Z33" i="259"/>
  <c r="AA33" i="259"/>
  <c r="AB33" i="259"/>
  <c r="AC33" i="259"/>
  <c r="C34" i="259"/>
  <c r="D34" i="259"/>
  <c r="E34" i="259"/>
  <c r="F34" i="259"/>
  <c r="G34" i="259"/>
  <c r="H34" i="259"/>
  <c r="I34" i="259"/>
  <c r="J34" i="259"/>
  <c r="K34" i="259"/>
  <c r="L34" i="259"/>
  <c r="M34" i="259"/>
  <c r="N34" i="259"/>
  <c r="O34" i="259"/>
  <c r="P34" i="259"/>
  <c r="Q34" i="259"/>
  <c r="R34" i="259"/>
  <c r="S34" i="259"/>
  <c r="T34" i="259"/>
  <c r="U34" i="259"/>
  <c r="V34" i="259"/>
  <c r="W34" i="259"/>
  <c r="X34" i="259"/>
  <c r="Y34" i="259"/>
  <c r="Z34" i="259"/>
  <c r="AA34" i="259"/>
  <c r="AB34" i="259"/>
  <c r="AC34" i="259"/>
  <c r="C35" i="259"/>
  <c r="D35" i="259"/>
  <c r="E35" i="259"/>
  <c r="F35" i="259"/>
  <c r="G35" i="259"/>
  <c r="H35" i="259"/>
  <c r="I35" i="259"/>
  <c r="J35" i="259"/>
  <c r="K35" i="259"/>
  <c r="L35" i="259"/>
  <c r="M35" i="259"/>
  <c r="N35" i="259"/>
  <c r="O35" i="259"/>
  <c r="P35" i="259"/>
  <c r="Q35" i="259"/>
  <c r="R35" i="259"/>
  <c r="S35" i="259"/>
  <c r="T35" i="259"/>
  <c r="U35" i="259"/>
  <c r="V35" i="259"/>
  <c r="W35" i="259"/>
  <c r="X35" i="259"/>
  <c r="Y35" i="259"/>
  <c r="Z35" i="259"/>
  <c r="AA35" i="259"/>
  <c r="AB35" i="259"/>
  <c r="AC35" i="259"/>
  <c r="C36" i="259"/>
  <c r="D36" i="259"/>
  <c r="E36" i="259"/>
  <c r="F36" i="259"/>
  <c r="G36" i="259"/>
  <c r="H36" i="259"/>
  <c r="I36" i="259"/>
  <c r="J36" i="259"/>
  <c r="K36" i="259"/>
  <c r="L36" i="259"/>
  <c r="M36" i="259"/>
  <c r="N36" i="259"/>
  <c r="O36" i="259"/>
  <c r="P36" i="259"/>
  <c r="Q36" i="259"/>
  <c r="R36" i="259"/>
  <c r="S36" i="259"/>
  <c r="T36" i="259"/>
  <c r="U36" i="259"/>
  <c r="V36" i="259"/>
  <c r="W36" i="259"/>
  <c r="X36" i="259"/>
  <c r="Y36" i="259"/>
  <c r="Z36" i="259"/>
  <c r="AA36" i="259"/>
  <c r="AB36" i="259"/>
  <c r="AC36" i="259"/>
  <c r="C37" i="259"/>
  <c r="D37" i="259"/>
  <c r="E37" i="259"/>
  <c r="F37" i="259"/>
  <c r="G37" i="259"/>
  <c r="H37" i="259"/>
  <c r="I37" i="259"/>
  <c r="J37" i="259"/>
  <c r="K37" i="259"/>
  <c r="L37" i="259"/>
  <c r="M37" i="259"/>
  <c r="N37" i="259"/>
  <c r="O37" i="259"/>
  <c r="P37" i="259"/>
  <c r="Q37" i="259"/>
  <c r="R37" i="259"/>
  <c r="S37" i="259"/>
  <c r="T37" i="259"/>
  <c r="U37" i="259"/>
  <c r="V37" i="259"/>
  <c r="W37" i="259"/>
  <c r="X37" i="259"/>
  <c r="Y37" i="259"/>
  <c r="Z37" i="259"/>
  <c r="AA37" i="259"/>
  <c r="AB37" i="259"/>
  <c r="AC37" i="259"/>
  <c r="C38" i="259"/>
  <c r="D38" i="259"/>
  <c r="E38" i="259"/>
  <c r="F38" i="259"/>
  <c r="G38" i="259"/>
  <c r="H38" i="259"/>
  <c r="I38" i="259"/>
  <c r="J38" i="259"/>
  <c r="K38" i="259"/>
  <c r="L38" i="259"/>
  <c r="M38" i="259"/>
  <c r="N38" i="259"/>
  <c r="O38" i="259"/>
  <c r="P38" i="259"/>
  <c r="Q38" i="259"/>
  <c r="R38" i="259"/>
  <c r="S38" i="259"/>
  <c r="T38" i="259"/>
  <c r="U38" i="259"/>
  <c r="V38" i="259"/>
  <c r="W38" i="259"/>
  <c r="X38" i="259"/>
  <c r="Y38" i="259"/>
  <c r="Z38" i="259"/>
  <c r="AA38" i="259"/>
  <c r="AB38" i="259"/>
  <c r="AC38" i="259"/>
  <c r="C39" i="259"/>
  <c r="D39" i="259"/>
  <c r="E39" i="259"/>
  <c r="F39" i="259"/>
  <c r="G39" i="259"/>
  <c r="H39" i="259"/>
  <c r="I39" i="259"/>
  <c r="J39" i="259"/>
  <c r="K39" i="259"/>
  <c r="L39" i="259"/>
  <c r="M39" i="259"/>
  <c r="N39" i="259"/>
  <c r="O39" i="259"/>
  <c r="P39" i="259"/>
  <c r="Q39" i="259"/>
  <c r="R39" i="259"/>
  <c r="S39" i="259"/>
  <c r="T39" i="259"/>
  <c r="U39" i="259"/>
  <c r="V39" i="259"/>
  <c r="W39" i="259"/>
  <c r="X39" i="259"/>
  <c r="Y39" i="259"/>
  <c r="Z39" i="259"/>
  <c r="AA39" i="259"/>
  <c r="AB39" i="259"/>
  <c r="AC39" i="259"/>
  <c r="C40" i="259"/>
  <c r="D40" i="259"/>
  <c r="E40" i="259"/>
  <c r="F40" i="259"/>
  <c r="G40" i="259"/>
  <c r="H40" i="259"/>
  <c r="I40" i="259"/>
  <c r="J40" i="259"/>
  <c r="K40" i="259"/>
  <c r="L40" i="259"/>
  <c r="M40" i="259"/>
  <c r="N40" i="259"/>
  <c r="O40" i="259"/>
  <c r="P40" i="259"/>
  <c r="Q40" i="259"/>
  <c r="R40" i="259"/>
  <c r="S40" i="259"/>
  <c r="T40" i="259"/>
  <c r="U40" i="259"/>
  <c r="V40" i="259"/>
  <c r="W40" i="259"/>
  <c r="X40" i="259"/>
  <c r="Y40" i="259"/>
  <c r="Z40" i="259"/>
  <c r="AA40" i="259"/>
  <c r="AB40" i="259"/>
  <c r="AC40" i="259"/>
  <c r="C41" i="259"/>
  <c r="D41" i="259"/>
  <c r="E41" i="259"/>
  <c r="F41" i="259"/>
  <c r="G41" i="259"/>
  <c r="H41" i="259"/>
  <c r="I41" i="259"/>
  <c r="J41" i="259"/>
  <c r="K41" i="259"/>
  <c r="L41" i="259"/>
  <c r="M41" i="259"/>
  <c r="N41" i="259"/>
  <c r="O41" i="259"/>
  <c r="P41" i="259"/>
  <c r="Q41" i="259"/>
  <c r="R41" i="259"/>
  <c r="S41" i="259"/>
  <c r="T41" i="259"/>
  <c r="U41" i="259"/>
  <c r="V41" i="259"/>
  <c r="W41" i="259"/>
  <c r="X41" i="259"/>
  <c r="Y41" i="259"/>
  <c r="Z41" i="259"/>
  <c r="AA41" i="259"/>
  <c r="AB41" i="259"/>
  <c r="AC41" i="259"/>
  <c r="C42" i="259"/>
  <c r="D42" i="259"/>
  <c r="E42" i="259"/>
  <c r="F42" i="259"/>
  <c r="G42" i="259"/>
  <c r="H42" i="259"/>
  <c r="I42" i="259"/>
  <c r="J42" i="259"/>
  <c r="K42" i="259"/>
  <c r="L42" i="259"/>
  <c r="M42" i="259"/>
  <c r="N42" i="259"/>
  <c r="O42" i="259"/>
  <c r="P42" i="259"/>
  <c r="Q42" i="259"/>
  <c r="R42" i="259"/>
  <c r="S42" i="259"/>
  <c r="T42" i="259"/>
  <c r="U42" i="259"/>
  <c r="V42" i="259"/>
  <c r="W42" i="259"/>
  <c r="X42" i="259"/>
  <c r="Y42" i="259"/>
  <c r="Z42" i="259"/>
  <c r="AA42" i="259"/>
  <c r="AB42" i="259"/>
  <c r="AC42" i="259"/>
  <c r="C43" i="259"/>
  <c r="D43" i="259"/>
  <c r="E43" i="259"/>
  <c r="F43" i="259"/>
  <c r="G43" i="259"/>
  <c r="H43" i="259"/>
  <c r="I43" i="259"/>
  <c r="J43" i="259"/>
  <c r="K43" i="259"/>
  <c r="L43" i="259"/>
  <c r="M43" i="259"/>
  <c r="N43" i="259"/>
  <c r="O43" i="259"/>
  <c r="P43" i="259"/>
  <c r="Q43" i="259"/>
  <c r="R43" i="259"/>
  <c r="S43" i="259"/>
  <c r="T43" i="259"/>
  <c r="U43" i="259"/>
  <c r="V43" i="259"/>
  <c r="W43" i="259"/>
  <c r="X43" i="259"/>
  <c r="Y43" i="259"/>
  <c r="Z43" i="259"/>
  <c r="AA43" i="259"/>
  <c r="AB43" i="259"/>
  <c r="AC43" i="259"/>
  <c r="C44" i="259"/>
  <c r="D44" i="259"/>
  <c r="E44" i="259"/>
  <c r="F44" i="259"/>
  <c r="G44" i="259"/>
  <c r="H44" i="259"/>
  <c r="I44" i="259"/>
  <c r="J44" i="259"/>
  <c r="K44" i="259"/>
  <c r="L44" i="259"/>
  <c r="M44" i="259"/>
  <c r="N44" i="259"/>
  <c r="O44" i="259"/>
  <c r="P44" i="259"/>
  <c r="Q44" i="259"/>
  <c r="R44" i="259"/>
  <c r="S44" i="259"/>
  <c r="T44" i="259"/>
  <c r="U44" i="259"/>
  <c r="V44" i="259"/>
  <c r="X44" i="259"/>
  <c r="Y44" i="259"/>
  <c r="Z44" i="259"/>
  <c r="AA44" i="259"/>
  <c r="AB44" i="259"/>
  <c r="AC44" i="259"/>
  <c r="C45" i="259"/>
  <c r="D45" i="259"/>
  <c r="E45" i="259"/>
  <c r="F45" i="259"/>
  <c r="G45" i="259"/>
  <c r="H45" i="259"/>
  <c r="I45" i="259"/>
  <c r="J45" i="259"/>
  <c r="K45" i="259"/>
  <c r="L45" i="259"/>
  <c r="M45" i="259"/>
  <c r="N45" i="259"/>
  <c r="O45" i="259"/>
  <c r="P45" i="259"/>
  <c r="Q45" i="259"/>
  <c r="R45" i="259"/>
  <c r="S45" i="259"/>
  <c r="T45" i="259"/>
  <c r="U45" i="259"/>
  <c r="V45" i="259"/>
  <c r="W45" i="259"/>
  <c r="X45" i="259"/>
  <c r="Y45" i="259"/>
  <c r="Z45" i="259"/>
  <c r="AA45" i="259"/>
  <c r="AB45" i="259"/>
  <c r="AC45" i="259"/>
  <c r="C46" i="259"/>
  <c r="D46" i="259"/>
  <c r="E46" i="259"/>
  <c r="F46" i="259"/>
  <c r="G46" i="259"/>
  <c r="H46" i="259"/>
  <c r="I46" i="259"/>
  <c r="J46" i="259"/>
  <c r="K46" i="259"/>
  <c r="L46" i="259"/>
  <c r="M46" i="259"/>
  <c r="N46" i="259"/>
  <c r="O46" i="259"/>
  <c r="P46" i="259"/>
  <c r="Q46" i="259"/>
  <c r="R46" i="259"/>
  <c r="S46" i="259"/>
  <c r="T46" i="259"/>
  <c r="U46" i="259"/>
  <c r="V46" i="259"/>
  <c r="W46" i="259"/>
  <c r="X46" i="259"/>
  <c r="Y46" i="259"/>
  <c r="Z46" i="259"/>
  <c r="AA46" i="259"/>
  <c r="AB46" i="259"/>
  <c r="AC46" i="259"/>
  <c r="C47" i="259"/>
  <c r="D47" i="259"/>
  <c r="E47" i="259"/>
  <c r="F47" i="259"/>
  <c r="G47" i="259"/>
  <c r="H47" i="259"/>
  <c r="I47" i="259"/>
  <c r="J47" i="259"/>
  <c r="K47" i="259"/>
  <c r="L47" i="259"/>
  <c r="M47" i="259"/>
  <c r="N47" i="259"/>
  <c r="O47" i="259"/>
  <c r="P47" i="259"/>
  <c r="Q47" i="259"/>
  <c r="R47" i="259"/>
  <c r="S47" i="259"/>
  <c r="T47" i="259"/>
  <c r="U47" i="259"/>
  <c r="V47" i="259"/>
  <c r="W47" i="259"/>
  <c r="X47" i="259"/>
  <c r="Y47" i="259"/>
  <c r="Z47" i="259"/>
  <c r="AA47" i="259"/>
  <c r="AB47" i="259"/>
  <c r="AC47" i="259"/>
  <c r="B47" i="259"/>
  <c r="B46" i="259"/>
  <c r="B45" i="259"/>
  <c r="B44" i="259"/>
  <c r="B43" i="259"/>
  <c r="B42" i="259"/>
  <c r="B41" i="259"/>
  <c r="B40" i="259"/>
  <c r="B39" i="259"/>
  <c r="B38" i="259"/>
  <c r="B37" i="259"/>
  <c r="B36" i="259"/>
  <c r="B35" i="259"/>
  <c r="B34" i="259"/>
  <c r="B33" i="259"/>
  <c r="B32" i="259"/>
  <c r="B31" i="259"/>
  <c r="B30" i="259"/>
  <c r="B29" i="259"/>
  <c r="B28" i="259"/>
  <c r="B27" i="259"/>
  <c r="B26" i="259"/>
  <c r="B25" i="259"/>
  <c r="B24" i="259"/>
  <c r="B23" i="259"/>
  <c r="B22" i="259"/>
  <c r="B21" i="259"/>
  <c r="C12" i="259"/>
  <c r="D12" i="259"/>
  <c r="E12" i="259"/>
  <c r="F12" i="259"/>
  <c r="G12" i="259"/>
  <c r="H12" i="259"/>
  <c r="I12" i="259"/>
  <c r="J12" i="259"/>
  <c r="K12" i="259"/>
  <c r="L12" i="259"/>
  <c r="M12" i="259"/>
  <c r="N12" i="259"/>
  <c r="O12" i="259"/>
  <c r="P12" i="259"/>
  <c r="Q12" i="259"/>
  <c r="R12" i="259"/>
  <c r="S12" i="259"/>
  <c r="T12" i="259"/>
  <c r="U12" i="259"/>
  <c r="V12" i="259"/>
  <c r="W12" i="259"/>
  <c r="X12" i="259"/>
  <c r="Y12" i="259"/>
  <c r="Z12" i="259"/>
  <c r="AA12" i="259"/>
  <c r="AB12" i="259"/>
  <c r="C13" i="259"/>
  <c r="D13" i="259"/>
  <c r="E13" i="259"/>
  <c r="F13" i="259"/>
  <c r="G13" i="259"/>
  <c r="H13" i="259"/>
  <c r="I13" i="259"/>
  <c r="J13" i="259"/>
  <c r="K13" i="259"/>
  <c r="L13" i="259"/>
  <c r="M13" i="259"/>
  <c r="N13" i="259"/>
  <c r="O13" i="259"/>
  <c r="P13" i="259"/>
  <c r="Q13" i="259"/>
  <c r="R13" i="259"/>
  <c r="S13" i="259"/>
  <c r="T13" i="259"/>
  <c r="U13" i="259"/>
  <c r="V13" i="259"/>
  <c r="W13" i="259"/>
  <c r="X13" i="259"/>
  <c r="Y13" i="259"/>
  <c r="Z13" i="259"/>
  <c r="AA13" i="259"/>
  <c r="AB13" i="259"/>
  <c r="C14" i="259"/>
  <c r="D14" i="259"/>
  <c r="E14" i="259"/>
  <c r="F14" i="259"/>
  <c r="G14" i="259"/>
  <c r="H14" i="259"/>
  <c r="I14" i="259"/>
  <c r="J14" i="259"/>
  <c r="K14" i="259"/>
  <c r="L14" i="259"/>
  <c r="M14" i="259"/>
  <c r="N14" i="259"/>
  <c r="O14" i="259"/>
  <c r="P14" i="259"/>
  <c r="Q14" i="259"/>
  <c r="R14" i="259"/>
  <c r="S14" i="259"/>
  <c r="T14" i="259"/>
  <c r="U14" i="259"/>
  <c r="V14" i="259"/>
  <c r="W14" i="259"/>
  <c r="X14" i="259"/>
  <c r="Y14" i="259"/>
  <c r="Z14" i="259"/>
  <c r="AA14" i="259"/>
  <c r="AB14" i="259"/>
  <c r="C15" i="259"/>
  <c r="D15" i="259"/>
  <c r="E15" i="259"/>
  <c r="F15" i="259"/>
  <c r="G15" i="259"/>
  <c r="H15" i="259"/>
  <c r="I15" i="259"/>
  <c r="J15" i="259"/>
  <c r="K15" i="259"/>
  <c r="L15" i="259"/>
  <c r="M15" i="259"/>
  <c r="N15" i="259"/>
  <c r="O15" i="259"/>
  <c r="P15" i="259"/>
  <c r="Q15" i="259"/>
  <c r="R15" i="259"/>
  <c r="S15" i="259"/>
  <c r="T15" i="259"/>
  <c r="U15" i="259"/>
  <c r="V15" i="259"/>
  <c r="W15" i="259"/>
  <c r="X15" i="259"/>
  <c r="Y15" i="259"/>
  <c r="Z15" i="259"/>
  <c r="AA15" i="259"/>
  <c r="AB15" i="259"/>
  <c r="C16" i="259"/>
  <c r="D16" i="259"/>
  <c r="E16" i="259"/>
  <c r="F16" i="259"/>
  <c r="G16" i="259"/>
  <c r="H16" i="259"/>
  <c r="I16" i="259"/>
  <c r="J16" i="259"/>
  <c r="K16" i="259"/>
  <c r="L16" i="259"/>
  <c r="M16" i="259"/>
  <c r="N16" i="259"/>
  <c r="O16" i="259"/>
  <c r="P16" i="259"/>
  <c r="Q16" i="259"/>
  <c r="R16" i="259"/>
  <c r="S16" i="259"/>
  <c r="T16" i="259"/>
  <c r="U16" i="259"/>
  <c r="V16" i="259"/>
  <c r="W16" i="259"/>
  <c r="X16" i="259"/>
  <c r="Y16" i="259"/>
  <c r="Z16" i="259"/>
  <c r="AA16" i="259"/>
  <c r="AB16" i="259"/>
  <c r="C17" i="259"/>
  <c r="D17" i="259"/>
  <c r="E17" i="259"/>
  <c r="F17" i="259"/>
  <c r="G17" i="259"/>
  <c r="H17" i="259"/>
  <c r="I17" i="259"/>
  <c r="J17" i="259"/>
  <c r="K17" i="259"/>
  <c r="L17" i="259"/>
  <c r="M17" i="259"/>
  <c r="N17" i="259"/>
  <c r="O17" i="259"/>
  <c r="P17" i="259"/>
  <c r="Q17" i="259"/>
  <c r="R17" i="259"/>
  <c r="S17" i="259"/>
  <c r="T17" i="259"/>
  <c r="U17" i="259"/>
  <c r="V17" i="259"/>
  <c r="W17" i="259"/>
  <c r="X17" i="259"/>
  <c r="Y17" i="259"/>
  <c r="Z17" i="259"/>
  <c r="AA17" i="259"/>
  <c r="AB17" i="259"/>
  <c r="C18" i="259"/>
  <c r="D18" i="259"/>
  <c r="E18" i="259"/>
  <c r="F18" i="259"/>
  <c r="G18" i="259"/>
  <c r="H18" i="259"/>
  <c r="I18" i="259"/>
  <c r="J18" i="259"/>
  <c r="K18" i="259"/>
  <c r="L18" i="259"/>
  <c r="M18" i="259"/>
  <c r="N18" i="259"/>
  <c r="O18" i="259"/>
  <c r="P18" i="259"/>
  <c r="Q18" i="259"/>
  <c r="R18" i="259"/>
  <c r="S18" i="259"/>
  <c r="T18" i="259"/>
  <c r="U18" i="259"/>
  <c r="V18" i="259"/>
  <c r="W18" i="259"/>
  <c r="X18" i="259"/>
  <c r="Y18" i="259"/>
  <c r="Z18" i="259"/>
  <c r="AA18" i="259"/>
  <c r="AB18" i="259"/>
  <c r="C19" i="259"/>
  <c r="D19" i="259"/>
  <c r="E19" i="259"/>
  <c r="F19" i="259"/>
  <c r="G19" i="259"/>
  <c r="H19" i="259"/>
  <c r="I19" i="259"/>
  <c r="J19" i="259"/>
  <c r="K19" i="259"/>
  <c r="L19" i="259"/>
  <c r="M19" i="259"/>
  <c r="N19" i="259"/>
  <c r="O19" i="259"/>
  <c r="P19" i="259"/>
  <c r="Q19" i="259"/>
  <c r="R19" i="259"/>
  <c r="S19" i="259"/>
  <c r="T19" i="259"/>
  <c r="U19" i="259"/>
  <c r="V19" i="259"/>
  <c r="W19" i="259"/>
  <c r="X19" i="259"/>
  <c r="Y19" i="259"/>
  <c r="Z19" i="259"/>
  <c r="AA19" i="259"/>
  <c r="AB19" i="259"/>
  <c r="B19" i="259"/>
  <c r="B18" i="259"/>
  <c r="B17" i="259"/>
  <c r="B16" i="259"/>
  <c r="B15" i="259"/>
  <c r="B14" i="259"/>
  <c r="C10" i="259"/>
  <c r="D10" i="259"/>
  <c r="E10" i="259"/>
  <c r="F10" i="259"/>
  <c r="G10" i="259"/>
  <c r="H10" i="259"/>
  <c r="I10" i="259"/>
  <c r="J10" i="259"/>
  <c r="K10" i="259"/>
  <c r="L10" i="259"/>
  <c r="M10" i="259"/>
  <c r="N10" i="259"/>
  <c r="O10" i="259"/>
  <c r="P10" i="259"/>
  <c r="Q10" i="259"/>
  <c r="R10" i="259"/>
  <c r="S10" i="259"/>
  <c r="T10" i="259"/>
  <c r="U10" i="259"/>
  <c r="V10" i="259"/>
  <c r="W10" i="259"/>
  <c r="X10" i="259"/>
  <c r="Y10" i="259"/>
  <c r="Z10" i="259"/>
  <c r="AA10" i="259"/>
  <c r="AB10" i="259"/>
  <c r="AC10" i="259"/>
  <c r="C8" i="259"/>
  <c r="D8" i="259"/>
  <c r="E8" i="259"/>
  <c r="F8" i="259"/>
  <c r="G8" i="259"/>
  <c r="H8" i="259"/>
  <c r="I8" i="259"/>
  <c r="J8" i="259"/>
  <c r="K8" i="259"/>
  <c r="L8" i="259"/>
  <c r="M8" i="259"/>
  <c r="N8" i="259"/>
  <c r="O8" i="259"/>
  <c r="P8" i="259"/>
  <c r="Q8" i="259"/>
  <c r="R8" i="259"/>
  <c r="S8" i="259"/>
  <c r="T8" i="259"/>
  <c r="U8" i="259"/>
  <c r="V8" i="259"/>
  <c r="W8" i="259"/>
  <c r="X8" i="259"/>
  <c r="Y8" i="259"/>
  <c r="Z8" i="259"/>
  <c r="AA8" i="259"/>
  <c r="AB8" i="259"/>
  <c r="AC8" i="259"/>
  <c r="B13" i="259"/>
  <c r="B12" i="259"/>
  <c r="B10" i="259"/>
  <c r="B8" i="259"/>
  <c r="C7" i="259"/>
  <c r="D7" i="259"/>
  <c r="E7" i="259"/>
  <c r="F7" i="259"/>
  <c r="G7" i="259"/>
  <c r="H7" i="259"/>
  <c r="I7" i="259"/>
  <c r="J7" i="259"/>
  <c r="K7" i="259"/>
  <c r="L7" i="259"/>
  <c r="M7" i="259"/>
  <c r="N7" i="259"/>
  <c r="O7" i="259"/>
  <c r="P7" i="259"/>
  <c r="Q7" i="259"/>
  <c r="R7" i="259"/>
  <c r="S7" i="259"/>
  <c r="T7" i="259"/>
  <c r="U7" i="259"/>
  <c r="V7" i="259"/>
  <c r="W7" i="259"/>
  <c r="X7" i="259"/>
  <c r="Y7" i="259"/>
  <c r="Z7" i="259"/>
  <c r="AA7" i="259"/>
  <c r="AB7" i="259"/>
  <c r="AC7" i="259"/>
  <c r="AC5" i="259"/>
  <c r="C5" i="259"/>
  <c r="D5" i="259"/>
  <c r="E5" i="259"/>
  <c r="F5" i="259"/>
  <c r="G5" i="259"/>
  <c r="H5" i="259"/>
  <c r="I5" i="259"/>
  <c r="J5" i="259"/>
  <c r="K5" i="259"/>
  <c r="L5" i="259"/>
  <c r="M5" i="259"/>
  <c r="N5" i="259"/>
  <c r="O5" i="259"/>
  <c r="P5" i="259"/>
  <c r="Q5" i="259"/>
  <c r="R5" i="259"/>
  <c r="S5" i="259"/>
  <c r="T5" i="259"/>
  <c r="U5" i="259"/>
  <c r="V5" i="259"/>
  <c r="W5" i="259"/>
  <c r="X5" i="259"/>
  <c r="Y5" i="259"/>
  <c r="Z5" i="259"/>
  <c r="AA5" i="259"/>
  <c r="AB5" i="259"/>
  <c r="B7" i="259"/>
  <c r="B5" i="259"/>
  <c r="X24" i="97" l="1"/>
  <c r="W24" i="97"/>
  <c r="AA5" i="244" l="1"/>
  <c r="C17" i="97" l="1"/>
  <c r="D17" i="97"/>
  <c r="E17" i="97"/>
  <c r="F17" i="97"/>
  <c r="G17" i="97"/>
  <c r="H17" i="97"/>
  <c r="I17" i="97"/>
  <c r="J17" i="97"/>
  <c r="K17" i="97"/>
  <c r="L17" i="97"/>
  <c r="M17" i="97"/>
  <c r="N17" i="97"/>
  <c r="O17" i="97"/>
  <c r="P17" i="97"/>
  <c r="Q17" i="97"/>
  <c r="R17" i="97"/>
  <c r="S17" i="97"/>
  <c r="T17" i="97"/>
  <c r="U17" i="97"/>
  <c r="V17" i="97"/>
  <c r="W17" i="97"/>
  <c r="X17" i="97"/>
  <c r="Y17" i="97"/>
  <c r="C19" i="97"/>
  <c r="D19" i="97"/>
  <c r="E19" i="97"/>
  <c r="F19" i="97"/>
  <c r="G19" i="97"/>
  <c r="H19" i="97"/>
  <c r="I19" i="97"/>
  <c r="J19" i="97"/>
  <c r="K19" i="97"/>
  <c r="L19" i="97"/>
  <c r="M19" i="97"/>
  <c r="N19" i="97"/>
  <c r="O19" i="97"/>
  <c r="P19" i="97"/>
  <c r="Q19" i="97"/>
  <c r="R19" i="97"/>
  <c r="S19" i="97"/>
  <c r="T19" i="97"/>
  <c r="U19" i="97"/>
  <c r="V19" i="97"/>
  <c r="W19" i="97"/>
  <c r="X19" i="97"/>
  <c r="Y19" i="97"/>
  <c r="B19" i="97"/>
  <c r="B17" i="97"/>
  <c r="E51" i="264"/>
  <c r="F51" i="264"/>
  <c r="G51" i="264"/>
  <c r="H51" i="264"/>
  <c r="I51" i="264"/>
  <c r="J51" i="264"/>
  <c r="K51" i="264"/>
  <c r="L51" i="264"/>
  <c r="M51" i="264"/>
  <c r="N51" i="264"/>
  <c r="O51" i="264"/>
  <c r="P51" i="264"/>
  <c r="Q51" i="264"/>
  <c r="R51" i="264"/>
  <c r="S51" i="264"/>
  <c r="T51" i="264"/>
  <c r="U51" i="264"/>
  <c r="V51" i="264"/>
  <c r="W51" i="264"/>
  <c r="X51" i="264"/>
  <c r="Y51" i="264"/>
  <c r="Z51" i="264"/>
  <c r="AA51" i="264"/>
  <c r="D51" i="264"/>
  <c r="E33" i="264"/>
  <c r="F33" i="264"/>
  <c r="G33" i="264"/>
  <c r="H33" i="264"/>
  <c r="I33" i="264"/>
  <c r="J33" i="264"/>
  <c r="K33" i="264"/>
  <c r="L33" i="264"/>
  <c r="M33" i="264"/>
  <c r="N33" i="264"/>
  <c r="O33" i="264"/>
  <c r="P33" i="264"/>
  <c r="Q33" i="264"/>
  <c r="R33" i="264"/>
  <c r="S33" i="264"/>
  <c r="T33" i="264"/>
  <c r="U33" i="264"/>
  <c r="V33" i="264"/>
  <c r="W33" i="264"/>
  <c r="X33" i="264"/>
  <c r="Y33" i="264"/>
  <c r="Z33" i="264"/>
  <c r="AA33" i="264"/>
  <c r="E31" i="264"/>
  <c r="F31" i="264"/>
  <c r="G31" i="264"/>
  <c r="H31" i="264"/>
  <c r="I31" i="264"/>
  <c r="J31" i="264"/>
  <c r="K31" i="264"/>
  <c r="L31" i="264"/>
  <c r="M31" i="264"/>
  <c r="N31" i="264"/>
  <c r="O31" i="264"/>
  <c r="P31" i="264"/>
  <c r="Q31" i="264"/>
  <c r="R31" i="264"/>
  <c r="S31" i="264"/>
  <c r="T31" i="264"/>
  <c r="U31" i="264"/>
  <c r="V31" i="264"/>
  <c r="W31" i="264"/>
  <c r="X31" i="264"/>
  <c r="Y31" i="264"/>
  <c r="Z31" i="264"/>
  <c r="AA31" i="264"/>
  <c r="D31" i="264"/>
  <c r="E56" i="259"/>
  <c r="C16" i="97" s="1"/>
  <c r="F56" i="259"/>
  <c r="D16" i="97" s="1"/>
  <c r="G56" i="259"/>
  <c r="E16" i="97" s="1"/>
  <c r="H56" i="259"/>
  <c r="F16" i="97" s="1"/>
  <c r="I56" i="259"/>
  <c r="G16" i="97" s="1"/>
  <c r="J56" i="259"/>
  <c r="H16" i="97" s="1"/>
  <c r="K56" i="259"/>
  <c r="I16" i="97" s="1"/>
  <c r="L56" i="259"/>
  <c r="J16" i="97" s="1"/>
  <c r="M56" i="259"/>
  <c r="K16" i="97" s="1"/>
  <c r="N56" i="259"/>
  <c r="L16" i="97" s="1"/>
  <c r="O56" i="259"/>
  <c r="M16" i="97" s="1"/>
  <c r="P56" i="259"/>
  <c r="N16" i="97" s="1"/>
  <c r="Q56" i="259"/>
  <c r="O16" i="97" s="1"/>
  <c r="R56" i="259"/>
  <c r="P16" i="97" s="1"/>
  <c r="S56" i="259"/>
  <c r="Q16" i="97" s="1"/>
  <c r="T56" i="259"/>
  <c r="R16" i="97" s="1"/>
  <c r="U56" i="259"/>
  <c r="S16" i="97" s="1"/>
  <c r="V56" i="259"/>
  <c r="T16" i="97" s="1"/>
  <c r="W56" i="259"/>
  <c r="U16" i="97" s="1"/>
  <c r="X56" i="259"/>
  <c r="V16" i="97" s="1"/>
  <c r="Y56" i="259"/>
  <c r="W16" i="97" s="1"/>
  <c r="Z56" i="259"/>
  <c r="X16" i="97" s="1"/>
  <c r="AA56" i="259"/>
  <c r="Y16" i="97" s="1"/>
  <c r="E54" i="259"/>
  <c r="F54" i="259"/>
  <c r="G54" i="259"/>
  <c r="H54" i="259"/>
  <c r="I54" i="259"/>
  <c r="J54" i="259"/>
  <c r="K54" i="259"/>
  <c r="L54" i="259"/>
  <c r="M54" i="259"/>
  <c r="N54" i="259"/>
  <c r="O54" i="259"/>
  <c r="P54" i="259"/>
  <c r="Q54" i="259"/>
  <c r="R54" i="259"/>
  <c r="S54" i="259"/>
  <c r="T54" i="259"/>
  <c r="U54" i="259"/>
  <c r="V54" i="259"/>
  <c r="W54" i="259"/>
  <c r="X54" i="259"/>
  <c r="Y54" i="259"/>
  <c r="Z54" i="259"/>
  <c r="AA54" i="259"/>
  <c r="D56" i="259"/>
  <c r="B16" i="97" s="1"/>
  <c r="D54" i="259"/>
  <c r="E18" i="269"/>
  <c r="F18" i="269"/>
  <c r="F19" i="269" s="1"/>
  <c r="G18" i="269"/>
  <c r="H18" i="269"/>
  <c r="I18" i="269"/>
  <c r="I19" i="269" s="1"/>
  <c r="J18" i="269"/>
  <c r="J19" i="269" s="1"/>
  <c r="K18" i="269"/>
  <c r="L18" i="269"/>
  <c r="L19" i="269" s="1"/>
  <c r="M18" i="269"/>
  <c r="N18" i="269"/>
  <c r="N19" i="269" s="1"/>
  <c r="O18" i="269"/>
  <c r="P18" i="269"/>
  <c r="Q18" i="269"/>
  <c r="Q19" i="269" s="1"/>
  <c r="R18" i="269"/>
  <c r="R19" i="269" s="1"/>
  <c r="S18" i="269"/>
  <c r="T18" i="269"/>
  <c r="T19" i="269" s="1"/>
  <c r="U18" i="269"/>
  <c r="V18" i="269"/>
  <c r="W18" i="269"/>
  <c r="X18" i="269"/>
  <c r="Y18" i="269"/>
  <c r="Y19" i="269" s="1"/>
  <c r="Z18" i="269"/>
  <c r="Z19" i="269" s="1"/>
  <c r="AA18" i="269"/>
  <c r="E19" i="269"/>
  <c r="G19" i="269"/>
  <c r="H19" i="269"/>
  <c r="K19" i="269"/>
  <c r="M19" i="269"/>
  <c r="O19" i="269"/>
  <c r="P19" i="269"/>
  <c r="S19" i="269"/>
  <c r="U19" i="269"/>
  <c r="X19" i="269"/>
  <c r="AA19" i="269"/>
  <c r="E6" i="269"/>
  <c r="F6" i="269"/>
  <c r="G6" i="269"/>
  <c r="H6" i="269"/>
  <c r="I6" i="269"/>
  <c r="J6" i="269"/>
  <c r="K6" i="269"/>
  <c r="L6" i="269"/>
  <c r="M6" i="269"/>
  <c r="N6" i="269"/>
  <c r="O6" i="269"/>
  <c r="P6" i="269"/>
  <c r="Q6" i="269"/>
  <c r="R6" i="269"/>
  <c r="S6" i="269"/>
  <c r="T6" i="269"/>
  <c r="U6" i="269"/>
  <c r="V6" i="269"/>
  <c r="W6" i="269"/>
  <c r="X6" i="269"/>
  <c r="Y6" i="269"/>
  <c r="Z6" i="269"/>
  <c r="AA6" i="269"/>
  <c r="D6" i="269"/>
  <c r="D19" i="269" s="1"/>
  <c r="D18" i="269"/>
  <c r="E16" i="269"/>
  <c r="F16" i="269"/>
  <c r="G16" i="269"/>
  <c r="H16" i="269"/>
  <c r="I16" i="269"/>
  <c r="J16" i="269"/>
  <c r="K16" i="269"/>
  <c r="L16" i="269"/>
  <c r="M16" i="269"/>
  <c r="N16" i="269"/>
  <c r="O16" i="269"/>
  <c r="P16" i="269"/>
  <c r="Q16" i="269"/>
  <c r="R16" i="269"/>
  <c r="S16" i="269"/>
  <c r="T16" i="269"/>
  <c r="U16" i="269"/>
  <c r="V16" i="269"/>
  <c r="W16" i="269"/>
  <c r="X16" i="269"/>
  <c r="Y16" i="269"/>
  <c r="Z16" i="269"/>
  <c r="AA16" i="269"/>
  <c r="D16" i="269"/>
  <c r="L14" i="269"/>
  <c r="T14" i="269"/>
  <c r="E11" i="269"/>
  <c r="M11" i="269"/>
  <c r="U11" i="269"/>
  <c r="A8" i="269"/>
  <c r="A9" i="269" s="1"/>
  <c r="A10" i="269" s="1"/>
  <c r="A12" i="269" s="1"/>
  <c r="A13" i="269" s="1"/>
  <c r="A15" i="269" s="1"/>
  <c r="A17" i="269" s="1"/>
  <c r="AB7" i="269"/>
  <c r="AC7" i="269"/>
  <c r="AB8" i="269"/>
  <c r="AC8" i="269"/>
  <c r="AB12" i="269"/>
  <c r="AC12" i="269"/>
  <c r="AB13" i="269"/>
  <c r="AC13" i="269"/>
  <c r="AB5" i="269"/>
  <c r="AC5" i="269"/>
  <c r="AB17" i="269"/>
  <c r="AC17" i="269"/>
  <c r="AB9" i="269"/>
  <c r="AC9" i="269"/>
  <c r="AB10" i="269"/>
  <c r="AC10" i="269"/>
  <c r="AC15" i="269"/>
  <c r="AB15" i="269"/>
  <c r="D7" i="269"/>
  <c r="D11" i="269" s="1"/>
  <c r="E7" i="269"/>
  <c r="F7" i="269"/>
  <c r="F11" i="269" s="1"/>
  <c r="G7" i="269"/>
  <c r="G11" i="269" s="1"/>
  <c r="H7" i="269"/>
  <c r="H11" i="269" s="1"/>
  <c r="I7" i="269"/>
  <c r="I11" i="269" s="1"/>
  <c r="J7" i="269"/>
  <c r="J11" i="269" s="1"/>
  <c r="K7" i="269"/>
  <c r="K11" i="269" s="1"/>
  <c r="L7" i="269"/>
  <c r="L11" i="269" s="1"/>
  <c r="M7" i="269"/>
  <c r="N7" i="269"/>
  <c r="N11" i="269" s="1"/>
  <c r="O7" i="269"/>
  <c r="O11" i="269" s="1"/>
  <c r="P7" i="269"/>
  <c r="P11" i="269" s="1"/>
  <c r="Q7" i="269"/>
  <c r="Q11" i="269" s="1"/>
  <c r="R7" i="269"/>
  <c r="R11" i="269" s="1"/>
  <c r="S7" i="269"/>
  <c r="S11" i="269" s="1"/>
  <c r="T7" i="269"/>
  <c r="T11" i="269" s="1"/>
  <c r="U7" i="269"/>
  <c r="V7" i="269"/>
  <c r="W7" i="269"/>
  <c r="X7" i="269"/>
  <c r="X11" i="269" s="1"/>
  <c r="Y7" i="269"/>
  <c r="Y11" i="269" s="1"/>
  <c r="Z7" i="269"/>
  <c r="Z11" i="269" s="1"/>
  <c r="AA7" i="269"/>
  <c r="AA11" i="269" s="1"/>
  <c r="D8" i="269"/>
  <c r="E8" i="269"/>
  <c r="F8" i="269"/>
  <c r="G8" i="269"/>
  <c r="H8" i="269"/>
  <c r="I8" i="269"/>
  <c r="J8" i="269"/>
  <c r="K8" i="269"/>
  <c r="L8" i="269"/>
  <c r="M8" i="269"/>
  <c r="N8" i="269"/>
  <c r="O8" i="269"/>
  <c r="P8" i="269"/>
  <c r="Q8" i="269"/>
  <c r="R8" i="269"/>
  <c r="S8" i="269"/>
  <c r="T8" i="269"/>
  <c r="U8" i="269"/>
  <c r="V8" i="269"/>
  <c r="W8" i="269"/>
  <c r="X8" i="269"/>
  <c r="Y8" i="269"/>
  <c r="Z8" i="269"/>
  <c r="AA8" i="269"/>
  <c r="D12" i="269"/>
  <c r="D14" i="269" s="1"/>
  <c r="E12" i="269"/>
  <c r="E14" i="269" s="1"/>
  <c r="F12" i="269"/>
  <c r="F14" i="269" s="1"/>
  <c r="G12" i="269"/>
  <c r="G14" i="269" s="1"/>
  <c r="H12" i="269"/>
  <c r="H14" i="269" s="1"/>
  <c r="I12" i="269"/>
  <c r="I14" i="269" s="1"/>
  <c r="J12" i="269"/>
  <c r="J14" i="269" s="1"/>
  <c r="K12" i="269"/>
  <c r="K14" i="269" s="1"/>
  <c r="L12" i="269"/>
  <c r="M12" i="269"/>
  <c r="M14" i="269" s="1"/>
  <c r="N12" i="269"/>
  <c r="N14" i="269" s="1"/>
  <c r="O12" i="269"/>
  <c r="O14" i="269" s="1"/>
  <c r="P12" i="269"/>
  <c r="P14" i="269" s="1"/>
  <c r="Q12" i="269"/>
  <c r="Q14" i="269" s="1"/>
  <c r="R12" i="269"/>
  <c r="R14" i="269" s="1"/>
  <c r="S12" i="269"/>
  <c r="S14" i="269" s="1"/>
  <c r="T12" i="269"/>
  <c r="U12" i="269"/>
  <c r="U14" i="269" s="1"/>
  <c r="V12" i="269"/>
  <c r="V14" i="269" s="1"/>
  <c r="W12" i="269"/>
  <c r="W14" i="269" s="1"/>
  <c r="X12" i="269"/>
  <c r="X14" i="269" s="1"/>
  <c r="Y12" i="269"/>
  <c r="Y14" i="269" s="1"/>
  <c r="Z12" i="269"/>
  <c r="Z14" i="269" s="1"/>
  <c r="AA12" i="269"/>
  <c r="D13" i="269"/>
  <c r="E13" i="269"/>
  <c r="F13" i="269"/>
  <c r="G13" i="269"/>
  <c r="H13" i="269"/>
  <c r="I13" i="269"/>
  <c r="J13" i="269"/>
  <c r="K13" i="269"/>
  <c r="L13" i="269"/>
  <c r="M13" i="269"/>
  <c r="N13" i="269"/>
  <c r="O13" i="269"/>
  <c r="P13" i="269"/>
  <c r="Q13" i="269"/>
  <c r="R13" i="269"/>
  <c r="S13" i="269"/>
  <c r="T13" i="269"/>
  <c r="U13" i="269"/>
  <c r="V13" i="269"/>
  <c r="W13" i="269"/>
  <c r="X13" i="269"/>
  <c r="Y13" i="269"/>
  <c r="Z13" i="269"/>
  <c r="AA13" i="269"/>
  <c r="D5" i="269"/>
  <c r="E5" i="269"/>
  <c r="F5" i="269"/>
  <c r="G5" i="269"/>
  <c r="H5" i="269"/>
  <c r="I5" i="269"/>
  <c r="J5" i="269"/>
  <c r="K5" i="269"/>
  <c r="L5" i="269"/>
  <c r="M5" i="269"/>
  <c r="N5" i="269"/>
  <c r="O5" i="269"/>
  <c r="P5" i="269"/>
  <c r="Q5" i="269"/>
  <c r="R5" i="269"/>
  <c r="S5" i="269"/>
  <c r="T5" i="269"/>
  <c r="U5" i="269"/>
  <c r="V5" i="269"/>
  <c r="W5" i="269"/>
  <c r="X5" i="269"/>
  <c r="Y5" i="269"/>
  <c r="Z5" i="269"/>
  <c r="AA5" i="269"/>
  <c r="D17" i="269"/>
  <c r="E17" i="269"/>
  <c r="F17" i="269"/>
  <c r="G17" i="269"/>
  <c r="H17" i="269"/>
  <c r="I17" i="269"/>
  <c r="J17" i="269"/>
  <c r="K17" i="269"/>
  <c r="L17" i="269"/>
  <c r="M17" i="269"/>
  <c r="N17" i="269"/>
  <c r="O17" i="269"/>
  <c r="P17" i="269"/>
  <c r="Q17" i="269"/>
  <c r="R17" i="269"/>
  <c r="S17" i="269"/>
  <c r="T17" i="269"/>
  <c r="U17" i="269"/>
  <c r="V17" i="269"/>
  <c r="W17" i="269"/>
  <c r="X17" i="269"/>
  <c r="Y17" i="269"/>
  <c r="Z17" i="269"/>
  <c r="AA17" i="269"/>
  <c r="D9" i="269"/>
  <c r="E9" i="269"/>
  <c r="F9" i="269"/>
  <c r="G9" i="269"/>
  <c r="H9" i="269"/>
  <c r="I9" i="269"/>
  <c r="J9" i="269"/>
  <c r="K9" i="269"/>
  <c r="L9" i="269"/>
  <c r="M9" i="269"/>
  <c r="N9" i="269"/>
  <c r="O9" i="269"/>
  <c r="P9" i="269"/>
  <c r="Q9" i="269"/>
  <c r="R9" i="269"/>
  <c r="S9" i="269"/>
  <c r="T9" i="269"/>
  <c r="U9" i="269"/>
  <c r="V9" i="269"/>
  <c r="W9" i="269"/>
  <c r="X9" i="269"/>
  <c r="Y9" i="269"/>
  <c r="Z9" i="269"/>
  <c r="AA9" i="269"/>
  <c r="D10" i="269"/>
  <c r="E10" i="269"/>
  <c r="F10" i="269"/>
  <c r="G10" i="269"/>
  <c r="H10" i="269"/>
  <c r="I10" i="269"/>
  <c r="J10" i="269"/>
  <c r="K10" i="269"/>
  <c r="L10" i="269"/>
  <c r="M10" i="269"/>
  <c r="N10" i="269"/>
  <c r="O10" i="269"/>
  <c r="P10" i="269"/>
  <c r="Q10" i="269"/>
  <c r="R10" i="269"/>
  <c r="S10" i="269"/>
  <c r="T10" i="269"/>
  <c r="U10" i="269"/>
  <c r="V10" i="269"/>
  <c r="W10" i="269"/>
  <c r="X10" i="269"/>
  <c r="Y10" i="269"/>
  <c r="Z10" i="269"/>
  <c r="AA10" i="269"/>
  <c r="E15" i="269"/>
  <c r="F15" i="269"/>
  <c r="G15" i="269"/>
  <c r="H15" i="269"/>
  <c r="I15" i="269"/>
  <c r="J15" i="269"/>
  <c r="K15" i="269"/>
  <c r="L15" i="269"/>
  <c r="M15" i="269"/>
  <c r="N15" i="269"/>
  <c r="O15" i="269"/>
  <c r="P15" i="269"/>
  <c r="Q15" i="269"/>
  <c r="R15" i="269"/>
  <c r="S15" i="269"/>
  <c r="T15" i="269"/>
  <c r="U15" i="269"/>
  <c r="V15" i="269"/>
  <c r="W15" i="269"/>
  <c r="X15" i="269"/>
  <c r="Y15" i="269"/>
  <c r="Z15" i="269"/>
  <c r="AA15" i="269"/>
  <c r="D15" i="269"/>
  <c r="C7" i="269"/>
  <c r="C8" i="269"/>
  <c r="C12" i="269"/>
  <c r="C13" i="269"/>
  <c r="C5" i="269"/>
  <c r="C17" i="269"/>
  <c r="C9" i="269"/>
  <c r="C10" i="269"/>
  <c r="C15" i="269"/>
  <c r="B7" i="269"/>
  <c r="B8" i="269"/>
  <c r="B12" i="269"/>
  <c r="B13" i="269"/>
  <c r="B5" i="269"/>
  <c r="B17" i="269"/>
  <c r="B9" i="269"/>
  <c r="B10" i="269"/>
  <c r="B15" i="269"/>
  <c r="E12" i="81"/>
  <c r="F5" i="81"/>
  <c r="AC6" i="268"/>
  <c r="AC7" i="268"/>
  <c r="AC8" i="268"/>
  <c r="AC9" i="268"/>
  <c r="AC10" i="268"/>
  <c r="AC11" i="268"/>
  <c r="AC12" i="268"/>
  <c r="AC13" i="268"/>
  <c r="AC14" i="268"/>
  <c r="AC15" i="268"/>
  <c r="AC16" i="268"/>
  <c r="AC17" i="268"/>
  <c r="AC18" i="268"/>
  <c r="AC19" i="268"/>
  <c r="AC5" i="268"/>
  <c r="AB6" i="268"/>
  <c r="AB7" i="268"/>
  <c r="AB8" i="268"/>
  <c r="AB9" i="268"/>
  <c r="AB10" i="268"/>
  <c r="AB11" i="268"/>
  <c r="AB12" i="268"/>
  <c r="AB13" i="268"/>
  <c r="AB14" i="268"/>
  <c r="AB15" i="268"/>
  <c r="AB16" i="268"/>
  <c r="AB17" i="268"/>
  <c r="AB18" i="268"/>
  <c r="AB19" i="268"/>
  <c r="AB5" i="268"/>
  <c r="D6" i="268"/>
  <c r="E6" i="268"/>
  <c r="F6" i="268"/>
  <c r="G6" i="268"/>
  <c r="H6" i="268"/>
  <c r="I6" i="268"/>
  <c r="J6" i="268"/>
  <c r="K6" i="268"/>
  <c r="K20" i="268" s="1"/>
  <c r="L6" i="268"/>
  <c r="M6" i="268"/>
  <c r="N6" i="268"/>
  <c r="O6" i="268"/>
  <c r="P6" i="268"/>
  <c r="Q6" i="268"/>
  <c r="R6" i="268"/>
  <c r="S6" i="268"/>
  <c r="S20" i="268" s="1"/>
  <c r="T6" i="268"/>
  <c r="U6" i="268"/>
  <c r="V6" i="268"/>
  <c r="D7" i="268"/>
  <c r="E7" i="268"/>
  <c r="F7" i="268"/>
  <c r="G7" i="268"/>
  <c r="H7" i="268"/>
  <c r="H20" i="268" s="1"/>
  <c r="I7" i="268"/>
  <c r="J7" i="268"/>
  <c r="K7" i="268"/>
  <c r="L7" i="268"/>
  <c r="M7" i="268"/>
  <c r="N7" i="268"/>
  <c r="O7" i="268"/>
  <c r="P7" i="268"/>
  <c r="Q7" i="268"/>
  <c r="R7" i="268"/>
  <c r="S7" i="268"/>
  <c r="T7" i="268"/>
  <c r="U7" i="268"/>
  <c r="V7" i="268"/>
  <c r="D8" i="268"/>
  <c r="E8" i="268"/>
  <c r="F8" i="268"/>
  <c r="G8" i="268"/>
  <c r="H8" i="268"/>
  <c r="I8" i="268"/>
  <c r="J8" i="268"/>
  <c r="K8" i="268"/>
  <c r="L8" i="268"/>
  <c r="M8" i="268"/>
  <c r="N8" i="268"/>
  <c r="O8" i="268"/>
  <c r="P8" i="268"/>
  <c r="Q8" i="268"/>
  <c r="R8" i="268"/>
  <c r="S8" i="268"/>
  <c r="T8" i="268"/>
  <c r="U8" i="268"/>
  <c r="V8" i="268"/>
  <c r="D9" i="268"/>
  <c r="E9" i="268"/>
  <c r="F9" i="268"/>
  <c r="G9" i="268"/>
  <c r="H9" i="268"/>
  <c r="I9" i="268"/>
  <c r="J9" i="268"/>
  <c r="J20" i="268" s="1"/>
  <c r="K9" i="268"/>
  <c r="L9" i="268"/>
  <c r="M9" i="268"/>
  <c r="N9" i="268"/>
  <c r="O9" i="268"/>
  <c r="P9" i="268"/>
  <c r="Q9" i="268"/>
  <c r="R9" i="268"/>
  <c r="S9" i="268"/>
  <c r="T9" i="268"/>
  <c r="U9" i="268"/>
  <c r="V9" i="268"/>
  <c r="D10" i="268"/>
  <c r="E10" i="268"/>
  <c r="F10" i="268"/>
  <c r="G10" i="268"/>
  <c r="G20" i="268" s="1"/>
  <c r="H10" i="268"/>
  <c r="I10" i="268"/>
  <c r="J10" i="268"/>
  <c r="K10" i="268"/>
  <c r="L10" i="268"/>
  <c r="M10" i="268"/>
  <c r="N10" i="268"/>
  <c r="O10" i="268"/>
  <c r="P10" i="268"/>
  <c r="Q10" i="268"/>
  <c r="R10" i="268"/>
  <c r="S10" i="268"/>
  <c r="T10" i="268"/>
  <c r="U10" i="268"/>
  <c r="V10" i="268"/>
  <c r="D11" i="268"/>
  <c r="E11" i="268"/>
  <c r="F11" i="268"/>
  <c r="G11" i="268"/>
  <c r="H11" i="268"/>
  <c r="I11" i="268"/>
  <c r="J11" i="268"/>
  <c r="K11" i="268"/>
  <c r="L11" i="268"/>
  <c r="M11" i="268"/>
  <c r="N11" i="268"/>
  <c r="O11" i="268"/>
  <c r="P11" i="268"/>
  <c r="Q11" i="268"/>
  <c r="R11" i="268"/>
  <c r="S11" i="268"/>
  <c r="T11" i="268"/>
  <c r="U11" i="268"/>
  <c r="V11" i="268"/>
  <c r="D12" i="268"/>
  <c r="E12" i="268"/>
  <c r="F12" i="268"/>
  <c r="G12" i="268"/>
  <c r="H12" i="268"/>
  <c r="I12" i="268"/>
  <c r="J12" i="268"/>
  <c r="K12" i="268"/>
  <c r="L12" i="268"/>
  <c r="M12" i="268"/>
  <c r="N12" i="268"/>
  <c r="O12" i="268"/>
  <c r="P12" i="268"/>
  <c r="Q12" i="268"/>
  <c r="Q20" i="268" s="1"/>
  <c r="R12" i="268"/>
  <c r="S12" i="268"/>
  <c r="T12" i="268"/>
  <c r="U12" i="268"/>
  <c r="V12" i="268"/>
  <c r="D13" i="268"/>
  <c r="E13" i="268"/>
  <c r="F13" i="268"/>
  <c r="G13" i="268"/>
  <c r="H13" i="268"/>
  <c r="I13" i="268"/>
  <c r="J13" i="268"/>
  <c r="K13" i="268"/>
  <c r="L13" i="268"/>
  <c r="M13" i="268"/>
  <c r="N13" i="268"/>
  <c r="O13" i="268"/>
  <c r="P13" i="268"/>
  <c r="Q13" i="268"/>
  <c r="R13" i="268"/>
  <c r="S13" i="268"/>
  <c r="T13" i="268"/>
  <c r="U13" i="268"/>
  <c r="V13" i="268"/>
  <c r="D14" i="268"/>
  <c r="E14" i="268"/>
  <c r="F14" i="268"/>
  <c r="G14" i="268"/>
  <c r="H14" i="268"/>
  <c r="I14" i="268"/>
  <c r="J14" i="268"/>
  <c r="K14" i="268"/>
  <c r="L14" i="268"/>
  <c r="M14" i="268"/>
  <c r="N14" i="268"/>
  <c r="O14" i="268"/>
  <c r="P14" i="268"/>
  <c r="Q14" i="268"/>
  <c r="R14" i="268"/>
  <c r="S14" i="268"/>
  <c r="T14" i="268"/>
  <c r="U14" i="268"/>
  <c r="V14" i="268"/>
  <c r="D15" i="268"/>
  <c r="E15" i="268"/>
  <c r="F15" i="268"/>
  <c r="G15" i="268"/>
  <c r="H15" i="268"/>
  <c r="I15" i="268"/>
  <c r="J15" i="268"/>
  <c r="K15" i="268"/>
  <c r="L15" i="268"/>
  <c r="M15" i="268"/>
  <c r="N15" i="268"/>
  <c r="O15" i="268"/>
  <c r="P15" i="268"/>
  <c r="Q15" i="268"/>
  <c r="R15" i="268"/>
  <c r="S15" i="268"/>
  <c r="T15" i="268"/>
  <c r="U15" i="268"/>
  <c r="V15" i="268"/>
  <c r="D16" i="268"/>
  <c r="E16" i="268"/>
  <c r="F16" i="268"/>
  <c r="G16" i="268"/>
  <c r="H16" i="268"/>
  <c r="I16" i="268"/>
  <c r="J16" i="268"/>
  <c r="K16" i="268"/>
  <c r="L16" i="268"/>
  <c r="M16" i="268"/>
  <c r="N16" i="268"/>
  <c r="O16" i="268"/>
  <c r="P16" i="268"/>
  <c r="Q16" i="268"/>
  <c r="R16" i="268"/>
  <c r="S16" i="268"/>
  <c r="T16" i="268"/>
  <c r="U16" i="268"/>
  <c r="V16" i="268"/>
  <c r="D17" i="268"/>
  <c r="E17" i="268"/>
  <c r="F17" i="268"/>
  <c r="G17" i="268"/>
  <c r="H17" i="268"/>
  <c r="I17" i="268"/>
  <c r="J17" i="268"/>
  <c r="K17" i="268"/>
  <c r="L17" i="268"/>
  <c r="M17" i="268"/>
  <c r="N17" i="268"/>
  <c r="O17" i="268"/>
  <c r="P17" i="268"/>
  <c r="Q17" i="268"/>
  <c r="R17" i="268"/>
  <c r="S17" i="268"/>
  <c r="T17" i="268"/>
  <c r="U17" i="268"/>
  <c r="V17" i="268"/>
  <c r="D18" i="268"/>
  <c r="E18" i="268"/>
  <c r="F18" i="268"/>
  <c r="G18" i="268"/>
  <c r="H18" i="268"/>
  <c r="I18" i="268"/>
  <c r="J18" i="268"/>
  <c r="K18" i="268"/>
  <c r="L18" i="268"/>
  <c r="M18" i="268"/>
  <c r="N18" i="268"/>
  <c r="O18" i="268"/>
  <c r="P18" i="268"/>
  <c r="Q18" i="268"/>
  <c r="R18" i="268"/>
  <c r="S18" i="268"/>
  <c r="T18" i="268"/>
  <c r="U18" i="268"/>
  <c r="V18" i="268"/>
  <c r="D19" i="268"/>
  <c r="E19" i="268"/>
  <c r="F19" i="268"/>
  <c r="G19" i="268"/>
  <c r="H19" i="268"/>
  <c r="I19" i="268"/>
  <c r="J19" i="268"/>
  <c r="K19" i="268"/>
  <c r="L19" i="268"/>
  <c r="M19" i="268"/>
  <c r="N19" i="268"/>
  <c r="O19" i="268"/>
  <c r="P19" i="268"/>
  <c r="Q19" i="268"/>
  <c r="R19" i="268"/>
  <c r="S19" i="268"/>
  <c r="T19" i="268"/>
  <c r="U19" i="268"/>
  <c r="V19" i="268"/>
  <c r="E5" i="268"/>
  <c r="F5" i="268"/>
  <c r="G5" i="268"/>
  <c r="H5" i="268"/>
  <c r="I5" i="268"/>
  <c r="J5" i="268"/>
  <c r="K5" i="268"/>
  <c r="L5" i="268"/>
  <c r="M5" i="268"/>
  <c r="N5" i="268"/>
  <c r="O5" i="268"/>
  <c r="P5" i="268"/>
  <c r="Q5" i="268"/>
  <c r="R5" i="268"/>
  <c r="R20" i="268" s="1"/>
  <c r="S5" i="268"/>
  <c r="T5" i="268"/>
  <c r="U5" i="268"/>
  <c r="V5" i="268"/>
  <c r="D5" i="268"/>
  <c r="C6" i="268"/>
  <c r="C7" i="268"/>
  <c r="C8" i="268"/>
  <c r="C9" i="268"/>
  <c r="C10" i="268"/>
  <c r="C11" i="268"/>
  <c r="C12" i="268"/>
  <c r="C13" i="268"/>
  <c r="C14" i="268"/>
  <c r="C15" i="268"/>
  <c r="C16" i="268"/>
  <c r="C17" i="268"/>
  <c r="C18" i="268"/>
  <c r="C19" i="268"/>
  <c r="C5" i="268"/>
  <c r="B6" i="268"/>
  <c r="B7" i="268"/>
  <c r="B8" i="268"/>
  <c r="B9" i="268"/>
  <c r="B10" i="268"/>
  <c r="B11" i="268"/>
  <c r="B12" i="268"/>
  <c r="B13" i="268"/>
  <c r="B14" i="268"/>
  <c r="B15" i="268"/>
  <c r="B16" i="268"/>
  <c r="B17" i="268"/>
  <c r="B18" i="268"/>
  <c r="B19" i="268"/>
  <c r="B5" i="268"/>
  <c r="AA20" i="268"/>
  <c r="Z20" i="268"/>
  <c r="Y20" i="268"/>
  <c r="X20" i="268"/>
  <c r="W20" i="268"/>
  <c r="A6" i="268"/>
  <c r="A7" i="268" s="1"/>
  <c r="A8" i="268" s="1"/>
  <c r="A9" i="268" s="1"/>
  <c r="A10" i="268" s="1"/>
  <c r="A11" i="268" s="1"/>
  <c r="A12" i="268" s="1"/>
  <c r="A13" i="268" s="1"/>
  <c r="A14" i="268" s="1"/>
  <c r="A15" i="268" s="1"/>
  <c r="A16" i="268" s="1"/>
  <c r="A17" i="268" s="1"/>
  <c r="A18" i="268" s="1"/>
  <c r="A19" i="268" s="1"/>
  <c r="A20" i="268" s="1"/>
  <c r="F6" i="158"/>
  <c r="E18" i="267"/>
  <c r="F18" i="267"/>
  <c r="F19" i="267" s="1"/>
  <c r="G18" i="267"/>
  <c r="H18" i="267"/>
  <c r="H19" i="267" s="1"/>
  <c r="I18" i="267"/>
  <c r="J18" i="267"/>
  <c r="K18" i="267"/>
  <c r="L18" i="267"/>
  <c r="L19" i="267" s="1"/>
  <c r="M18" i="267"/>
  <c r="N18" i="267"/>
  <c r="N19" i="267" s="1"/>
  <c r="O18" i="267"/>
  <c r="P18" i="267"/>
  <c r="P19" i="267" s="1"/>
  <c r="Q18" i="267"/>
  <c r="R18" i="267"/>
  <c r="S18" i="267"/>
  <c r="T18" i="267"/>
  <c r="T19" i="267" s="1"/>
  <c r="U18" i="267"/>
  <c r="V18" i="267"/>
  <c r="V19" i="267" s="1"/>
  <c r="W18" i="267"/>
  <c r="X18" i="267"/>
  <c r="X19" i="267" s="1"/>
  <c r="Y18" i="267"/>
  <c r="Z18" i="267"/>
  <c r="AA18" i="267"/>
  <c r="E19" i="267"/>
  <c r="G19" i="267"/>
  <c r="I19" i="267"/>
  <c r="J19" i="267"/>
  <c r="K19" i="267"/>
  <c r="M19" i="267"/>
  <c r="O19" i="267"/>
  <c r="Q19" i="267"/>
  <c r="R19" i="267"/>
  <c r="S19" i="267"/>
  <c r="U19" i="267"/>
  <c r="W19" i="267"/>
  <c r="Y19" i="267"/>
  <c r="Z19" i="267"/>
  <c r="AA19" i="267"/>
  <c r="D19" i="267"/>
  <c r="D18" i="267"/>
  <c r="P14" i="267"/>
  <c r="Q14" i="267"/>
  <c r="R14" i="267"/>
  <c r="S14" i="267"/>
  <c r="T14" i="267"/>
  <c r="U14" i="267"/>
  <c r="V14" i="267"/>
  <c r="W14" i="267"/>
  <c r="X14" i="267"/>
  <c r="Y14" i="267"/>
  <c r="Z14" i="267"/>
  <c r="AA14" i="267"/>
  <c r="E14" i="267"/>
  <c r="F14" i="267"/>
  <c r="G14" i="267"/>
  <c r="H14" i="267"/>
  <c r="I14" i="267"/>
  <c r="J14" i="267"/>
  <c r="K14" i="267"/>
  <c r="L14" i="267"/>
  <c r="M14" i="267"/>
  <c r="N14" i="267"/>
  <c r="O14" i="267"/>
  <c r="D14" i="267"/>
  <c r="E8" i="267"/>
  <c r="F8" i="267"/>
  <c r="G8" i="267"/>
  <c r="H8" i="267"/>
  <c r="I8" i="267"/>
  <c r="J8" i="267"/>
  <c r="K8" i="267"/>
  <c r="L8" i="267"/>
  <c r="M8" i="267"/>
  <c r="N8" i="267"/>
  <c r="O8" i="267"/>
  <c r="P8" i="267"/>
  <c r="Q8" i="267"/>
  <c r="R8" i="267"/>
  <c r="S8" i="267"/>
  <c r="T8" i="267"/>
  <c r="U8" i="267"/>
  <c r="V8" i="267"/>
  <c r="W8" i="267"/>
  <c r="X8" i="267"/>
  <c r="Y8" i="267"/>
  <c r="Z8" i="267"/>
  <c r="AA8" i="267"/>
  <c r="D8" i="267"/>
  <c r="E6" i="267"/>
  <c r="F6" i="267"/>
  <c r="G6" i="267"/>
  <c r="H6" i="267"/>
  <c r="I6" i="267"/>
  <c r="J6" i="267"/>
  <c r="K6" i="267"/>
  <c r="L6" i="267"/>
  <c r="M6" i="267"/>
  <c r="N6" i="267"/>
  <c r="O6" i="267"/>
  <c r="P6" i="267"/>
  <c r="Q6" i="267"/>
  <c r="R6" i="267"/>
  <c r="S6" i="267"/>
  <c r="T6" i="267"/>
  <c r="U6" i="267"/>
  <c r="V6" i="267"/>
  <c r="W6" i="267"/>
  <c r="X6" i="267"/>
  <c r="Y6" i="267"/>
  <c r="Z6" i="267"/>
  <c r="AA6" i="267"/>
  <c r="D6" i="267"/>
  <c r="A9" i="267"/>
  <c r="A10" i="267"/>
  <c r="A11" i="267" s="1"/>
  <c r="A12" i="267" s="1"/>
  <c r="A13" i="267" s="1"/>
  <c r="A15" i="267" s="1"/>
  <c r="A16" i="267" s="1"/>
  <c r="A17" i="267" s="1"/>
  <c r="AB5" i="267"/>
  <c r="AC5" i="267"/>
  <c r="AB15" i="267"/>
  <c r="AC15" i="267"/>
  <c r="AB10" i="267"/>
  <c r="AC10" i="267"/>
  <c r="AB7" i="267"/>
  <c r="AC7" i="267"/>
  <c r="AB11" i="267"/>
  <c r="AC11" i="267"/>
  <c r="AB12" i="267"/>
  <c r="AC12" i="267"/>
  <c r="AB16" i="267"/>
  <c r="AC16" i="267"/>
  <c r="AB13" i="267"/>
  <c r="AC13" i="267"/>
  <c r="AB17" i="267"/>
  <c r="AC17" i="267"/>
  <c r="AC9" i="267"/>
  <c r="AB9" i="267"/>
  <c r="D5" i="267"/>
  <c r="E5" i="267"/>
  <c r="F5" i="267"/>
  <c r="G5" i="267"/>
  <c r="H5" i="267"/>
  <c r="I5" i="267"/>
  <c r="J5" i="267"/>
  <c r="K5" i="267"/>
  <c r="L5" i="267"/>
  <c r="M5" i="267"/>
  <c r="N5" i="267"/>
  <c r="O5" i="267"/>
  <c r="P5" i="267"/>
  <c r="Q5" i="267"/>
  <c r="R5" i="267"/>
  <c r="S5" i="267"/>
  <c r="T5" i="267"/>
  <c r="U5" i="267"/>
  <c r="V5" i="267"/>
  <c r="W5" i="267"/>
  <c r="X5" i="267"/>
  <c r="Y5" i="267"/>
  <c r="Z5" i="267"/>
  <c r="AA5" i="267"/>
  <c r="D15" i="267"/>
  <c r="E15" i="267"/>
  <c r="F15" i="267"/>
  <c r="G15" i="267"/>
  <c r="H15" i="267"/>
  <c r="I15" i="267"/>
  <c r="J15" i="267"/>
  <c r="K15" i="267"/>
  <c r="L15" i="267"/>
  <c r="M15" i="267"/>
  <c r="N15" i="267"/>
  <c r="O15" i="267"/>
  <c r="P15" i="267"/>
  <c r="Q15" i="267"/>
  <c r="R15" i="267"/>
  <c r="S15" i="267"/>
  <c r="T15" i="267"/>
  <c r="U15" i="267"/>
  <c r="V15" i="267"/>
  <c r="W15" i="267"/>
  <c r="X15" i="267"/>
  <c r="Y15" i="267"/>
  <c r="Z15" i="267"/>
  <c r="AA15" i="267"/>
  <c r="D10" i="267"/>
  <c r="E10" i="267"/>
  <c r="F10" i="267"/>
  <c r="G10" i="267"/>
  <c r="H10" i="267"/>
  <c r="I10" i="267"/>
  <c r="J10" i="267"/>
  <c r="K10" i="267"/>
  <c r="L10" i="267"/>
  <c r="M10" i="267"/>
  <c r="N10" i="267"/>
  <c r="O10" i="267"/>
  <c r="P10" i="267"/>
  <c r="Q10" i="267"/>
  <c r="R10" i="267"/>
  <c r="S10" i="267"/>
  <c r="T10" i="267"/>
  <c r="U10" i="267"/>
  <c r="V10" i="267"/>
  <c r="W10" i="267"/>
  <c r="X10" i="267"/>
  <c r="Y10" i="267"/>
  <c r="Z10" i="267"/>
  <c r="AA10" i="267"/>
  <c r="D7" i="267"/>
  <c r="E7" i="267"/>
  <c r="F7" i="267"/>
  <c r="G7" i="267"/>
  <c r="H7" i="267"/>
  <c r="I7" i="267"/>
  <c r="J7" i="267"/>
  <c r="K7" i="267"/>
  <c r="L7" i="267"/>
  <c r="M7" i="267"/>
  <c r="N7" i="267"/>
  <c r="O7" i="267"/>
  <c r="P7" i="267"/>
  <c r="Q7" i="267"/>
  <c r="R7" i="267"/>
  <c r="S7" i="267"/>
  <c r="T7" i="267"/>
  <c r="U7" i="267"/>
  <c r="V7" i="267"/>
  <c r="W7" i="267"/>
  <c r="X7" i="267"/>
  <c r="Y7" i="267"/>
  <c r="Z7" i="267"/>
  <c r="AA7" i="267"/>
  <c r="D11" i="267"/>
  <c r="E11" i="267"/>
  <c r="F11" i="267"/>
  <c r="G11" i="267"/>
  <c r="H11" i="267"/>
  <c r="I11" i="267"/>
  <c r="J11" i="267"/>
  <c r="K11" i="267"/>
  <c r="L11" i="267"/>
  <c r="M11" i="267"/>
  <c r="N11" i="267"/>
  <c r="O11" i="267"/>
  <c r="P11" i="267"/>
  <c r="Q11" i="267"/>
  <c r="R11" i="267"/>
  <c r="S11" i="267"/>
  <c r="T11" i="267"/>
  <c r="U11" i="267"/>
  <c r="V11" i="267"/>
  <c r="W11" i="267"/>
  <c r="X11" i="267"/>
  <c r="Y11" i="267"/>
  <c r="Z11" i="267"/>
  <c r="AA11" i="267"/>
  <c r="D12" i="267"/>
  <c r="E12" i="267"/>
  <c r="F12" i="267"/>
  <c r="G12" i="267"/>
  <c r="H12" i="267"/>
  <c r="I12" i="267"/>
  <c r="J12" i="267"/>
  <c r="K12" i="267"/>
  <c r="L12" i="267"/>
  <c r="M12" i="267"/>
  <c r="N12" i="267"/>
  <c r="O12" i="267"/>
  <c r="P12" i="267"/>
  <c r="Q12" i="267"/>
  <c r="R12" i="267"/>
  <c r="S12" i="267"/>
  <c r="T12" i="267"/>
  <c r="U12" i="267"/>
  <c r="V12" i="267"/>
  <c r="W12" i="267"/>
  <c r="X12" i="267"/>
  <c r="Y12" i="267"/>
  <c r="Z12" i="267"/>
  <c r="AA12" i="267"/>
  <c r="D16" i="267"/>
  <c r="E16" i="267"/>
  <c r="F16" i="267"/>
  <c r="G16" i="267"/>
  <c r="H16" i="267"/>
  <c r="I16" i="267"/>
  <c r="J16" i="267"/>
  <c r="K16" i="267"/>
  <c r="L16" i="267"/>
  <c r="M16" i="267"/>
  <c r="N16" i="267"/>
  <c r="O16" i="267"/>
  <c r="P16" i="267"/>
  <c r="Q16" i="267"/>
  <c r="R16" i="267"/>
  <c r="S16" i="267"/>
  <c r="T16" i="267"/>
  <c r="U16" i="267"/>
  <c r="V16" i="267"/>
  <c r="W16" i="267"/>
  <c r="X16" i="267"/>
  <c r="Y16" i="267"/>
  <c r="Z16" i="267"/>
  <c r="AA16" i="267"/>
  <c r="D13" i="267"/>
  <c r="E13" i="267"/>
  <c r="F13" i="267"/>
  <c r="G13" i="267"/>
  <c r="H13" i="267"/>
  <c r="I13" i="267"/>
  <c r="J13" i="267"/>
  <c r="K13" i="267"/>
  <c r="L13" i="267"/>
  <c r="M13" i="267"/>
  <c r="N13" i="267"/>
  <c r="O13" i="267"/>
  <c r="P13" i="267"/>
  <c r="Q13" i="267"/>
  <c r="R13" i="267"/>
  <c r="S13" i="267"/>
  <c r="T13" i="267"/>
  <c r="U13" i="267"/>
  <c r="V13" i="267"/>
  <c r="W13" i="267"/>
  <c r="X13" i="267"/>
  <c r="Y13" i="267"/>
  <c r="Z13" i="267"/>
  <c r="AA13" i="267"/>
  <c r="D17" i="267"/>
  <c r="E17" i="267"/>
  <c r="F17" i="267"/>
  <c r="G17" i="267"/>
  <c r="H17" i="267"/>
  <c r="I17" i="267"/>
  <c r="J17" i="267"/>
  <c r="K17" i="267"/>
  <c r="L17" i="267"/>
  <c r="M17" i="267"/>
  <c r="N17" i="267"/>
  <c r="O17" i="267"/>
  <c r="P17" i="267"/>
  <c r="Q17" i="267"/>
  <c r="R17" i="267"/>
  <c r="S17" i="267"/>
  <c r="T17" i="267"/>
  <c r="U17" i="267"/>
  <c r="V17" i="267"/>
  <c r="W17" i="267"/>
  <c r="X17" i="267"/>
  <c r="Y17" i="267"/>
  <c r="Z17" i="267"/>
  <c r="AA17" i="267"/>
  <c r="E9" i="267"/>
  <c r="F9" i="267"/>
  <c r="G9" i="267"/>
  <c r="H9" i="267"/>
  <c r="I9" i="267"/>
  <c r="J9" i="267"/>
  <c r="K9" i="267"/>
  <c r="L9" i="267"/>
  <c r="M9" i="267"/>
  <c r="N9" i="267"/>
  <c r="O9" i="267"/>
  <c r="P9" i="267"/>
  <c r="Q9" i="267"/>
  <c r="R9" i="267"/>
  <c r="S9" i="267"/>
  <c r="T9" i="267"/>
  <c r="U9" i="267"/>
  <c r="V9" i="267"/>
  <c r="W9" i="267"/>
  <c r="X9" i="267"/>
  <c r="Y9" i="267"/>
  <c r="Z9" i="267"/>
  <c r="AA9" i="267"/>
  <c r="D9" i="267"/>
  <c r="C5" i="267"/>
  <c r="C15" i="267"/>
  <c r="C10" i="267"/>
  <c r="C7" i="267"/>
  <c r="C11" i="267"/>
  <c r="C12" i="267"/>
  <c r="C16" i="267"/>
  <c r="C13" i="267"/>
  <c r="C17" i="267"/>
  <c r="C9" i="267"/>
  <c r="B5" i="267"/>
  <c r="B15" i="267"/>
  <c r="B10" i="267"/>
  <c r="B7" i="267"/>
  <c r="B11" i="267"/>
  <c r="B12" i="267"/>
  <c r="B16" i="267"/>
  <c r="B13" i="267"/>
  <c r="B17" i="267"/>
  <c r="B9" i="267"/>
  <c r="E17" i="78"/>
  <c r="E16" i="78"/>
  <c r="E15" i="78"/>
  <c r="F9" i="78"/>
  <c r="F7" i="78"/>
  <c r="E12" i="266"/>
  <c r="F12" i="266"/>
  <c r="G12" i="266"/>
  <c r="H12" i="266"/>
  <c r="H13" i="266" s="1"/>
  <c r="I12" i="266"/>
  <c r="I13" i="266" s="1"/>
  <c r="J12" i="266"/>
  <c r="J13" i="266" s="1"/>
  <c r="K12" i="266"/>
  <c r="L12" i="266"/>
  <c r="L13" i="266" s="1"/>
  <c r="M12" i="266"/>
  <c r="N12" i="266"/>
  <c r="O12" i="266"/>
  <c r="P12" i="266"/>
  <c r="P13" i="266" s="1"/>
  <c r="Q12" i="266"/>
  <c r="Q13" i="266" s="1"/>
  <c r="R12" i="266"/>
  <c r="R13" i="266" s="1"/>
  <c r="S12" i="266"/>
  <c r="T12" i="266"/>
  <c r="T13" i="266" s="1"/>
  <c r="U12" i="266"/>
  <c r="V12" i="266"/>
  <c r="W12" i="266"/>
  <c r="X12" i="266"/>
  <c r="X13" i="266" s="1"/>
  <c r="Y12" i="266"/>
  <c r="Y13" i="266" s="1"/>
  <c r="Z12" i="266"/>
  <c r="Z13" i="266" s="1"/>
  <c r="AA12" i="266"/>
  <c r="E13" i="266"/>
  <c r="F13" i="266"/>
  <c r="G13" i="266"/>
  <c r="K13" i="266"/>
  <c r="M13" i="266"/>
  <c r="N13" i="266"/>
  <c r="O13" i="266"/>
  <c r="S13" i="266"/>
  <c r="U13" i="266"/>
  <c r="W13" i="266"/>
  <c r="D13" i="266"/>
  <c r="D12" i="266"/>
  <c r="E10" i="266"/>
  <c r="F10" i="266"/>
  <c r="G10" i="266"/>
  <c r="H10" i="266"/>
  <c r="I10" i="266"/>
  <c r="J10" i="266"/>
  <c r="K10" i="266"/>
  <c r="L10" i="266"/>
  <c r="M10" i="266"/>
  <c r="N10" i="266"/>
  <c r="O10" i="266"/>
  <c r="P10" i="266"/>
  <c r="Q10" i="266"/>
  <c r="R10" i="266"/>
  <c r="S10" i="266"/>
  <c r="T10" i="266"/>
  <c r="U10" i="266"/>
  <c r="W10" i="266"/>
  <c r="X10" i="266"/>
  <c r="Y10" i="266"/>
  <c r="Z10" i="266"/>
  <c r="D10" i="266"/>
  <c r="AC6" i="266"/>
  <c r="AC11" i="266"/>
  <c r="AC7" i="266"/>
  <c r="AC8" i="266"/>
  <c r="AC9" i="266"/>
  <c r="AC5" i="266"/>
  <c r="AB5" i="266"/>
  <c r="D6" i="266"/>
  <c r="E6" i="266"/>
  <c r="F6" i="266"/>
  <c r="G6" i="266"/>
  <c r="H6" i="266"/>
  <c r="I6" i="266"/>
  <c r="J6" i="266"/>
  <c r="K6" i="266"/>
  <c r="L6" i="266"/>
  <c r="M6" i="266"/>
  <c r="N6" i="266"/>
  <c r="O6" i="266"/>
  <c r="P6" i="266"/>
  <c r="Q6" i="266"/>
  <c r="R6" i="266"/>
  <c r="S6" i="266"/>
  <c r="T6" i="266"/>
  <c r="U6" i="266"/>
  <c r="V6" i="266"/>
  <c r="W6" i="266"/>
  <c r="X6" i="266"/>
  <c r="Y6" i="266"/>
  <c r="Z6" i="266"/>
  <c r="AA6" i="266"/>
  <c r="D11" i="266"/>
  <c r="E11" i="266"/>
  <c r="F11" i="266"/>
  <c r="G11" i="266"/>
  <c r="H11" i="266"/>
  <c r="I11" i="266"/>
  <c r="J11" i="266"/>
  <c r="K11" i="266"/>
  <c r="L11" i="266"/>
  <c r="M11" i="266"/>
  <c r="N11" i="266"/>
  <c r="O11" i="266"/>
  <c r="P11" i="266"/>
  <c r="Q11" i="266"/>
  <c r="R11" i="266"/>
  <c r="S11" i="266"/>
  <c r="T11" i="266"/>
  <c r="U11" i="266"/>
  <c r="V11" i="266"/>
  <c r="W11" i="266"/>
  <c r="X11" i="266"/>
  <c r="Y11" i="266"/>
  <c r="Z11" i="266"/>
  <c r="AA11" i="266"/>
  <c r="D7" i="266"/>
  <c r="E7" i="266"/>
  <c r="F7" i="266"/>
  <c r="G7" i="266"/>
  <c r="H7" i="266"/>
  <c r="I7" i="266"/>
  <c r="J7" i="266"/>
  <c r="K7" i="266"/>
  <c r="L7" i="266"/>
  <c r="M7" i="266"/>
  <c r="N7" i="266"/>
  <c r="O7" i="266"/>
  <c r="P7" i="266"/>
  <c r="Q7" i="266"/>
  <c r="R7" i="266"/>
  <c r="S7" i="266"/>
  <c r="T7" i="266"/>
  <c r="U7" i="266"/>
  <c r="V7" i="266"/>
  <c r="W7" i="266"/>
  <c r="X7" i="266"/>
  <c r="Y7" i="266"/>
  <c r="Z7" i="266"/>
  <c r="AA7" i="266"/>
  <c r="D8" i="266"/>
  <c r="E8" i="266"/>
  <c r="F8" i="266"/>
  <c r="G8" i="266"/>
  <c r="H8" i="266"/>
  <c r="I8" i="266"/>
  <c r="J8" i="266"/>
  <c r="K8" i="266"/>
  <c r="L8" i="266"/>
  <c r="M8" i="266"/>
  <c r="N8" i="266"/>
  <c r="O8" i="266"/>
  <c r="P8" i="266"/>
  <c r="Q8" i="266"/>
  <c r="R8" i="266"/>
  <c r="S8" i="266"/>
  <c r="T8" i="266"/>
  <c r="U8" i="266"/>
  <c r="V8" i="266"/>
  <c r="W8" i="266"/>
  <c r="X8" i="266"/>
  <c r="Y8" i="266"/>
  <c r="Z8" i="266"/>
  <c r="AA8" i="266"/>
  <c r="D9" i="266"/>
  <c r="E9" i="266"/>
  <c r="F9" i="266"/>
  <c r="G9" i="266"/>
  <c r="H9" i="266"/>
  <c r="I9" i="266"/>
  <c r="J9" i="266"/>
  <c r="K9" i="266"/>
  <c r="L9" i="266"/>
  <c r="M9" i="266"/>
  <c r="N9" i="266"/>
  <c r="O9" i="266"/>
  <c r="P9" i="266"/>
  <c r="Q9" i="266"/>
  <c r="R9" i="266"/>
  <c r="S9" i="266"/>
  <c r="T9" i="266"/>
  <c r="U9" i="266"/>
  <c r="V9" i="266"/>
  <c r="W9" i="266"/>
  <c r="X9" i="266"/>
  <c r="Y9" i="266"/>
  <c r="Z9" i="266"/>
  <c r="AA9" i="266"/>
  <c r="E5" i="266"/>
  <c r="F5" i="266"/>
  <c r="G5" i="266"/>
  <c r="H5" i="266"/>
  <c r="I5" i="266"/>
  <c r="J5" i="266"/>
  <c r="K5" i="266"/>
  <c r="L5" i="266"/>
  <c r="M5" i="266"/>
  <c r="N5" i="266"/>
  <c r="O5" i="266"/>
  <c r="P5" i="266"/>
  <c r="Q5" i="266"/>
  <c r="R5" i="266"/>
  <c r="S5" i="266"/>
  <c r="T5" i="266"/>
  <c r="U5" i="266"/>
  <c r="W5" i="266"/>
  <c r="X5" i="266"/>
  <c r="Y5" i="266"/>
  <c r="Z5" i="266"/>
  <c r="AA5" i="266"/>
  <c r="AA10" i="266" s="1"/>
  <c r="D5" i="266"/>
  <c r="C6" i="266"/>
  <c r="C11" i="266"/>
  <c r="C7" i="266"/>
  <c r="C8" i="266"/>
  <c r="C5" i="266"/>
  <c r="B6" i="266"/>
  <c r="B11" i="266"/>
  <c r="B7" i="266"/>
  <c r="B8" i="266"/>
  <c r="B9" i="266"/>
  <c r="B5" i="266"/>
  <c r="A6" i="266"/>
  <c r="F9" i="77"/>
  <c r="F7" i="77"/>
  <c r="AA19" i="265"/>
  <c r="Z19" i="265"/>
  <c r="Y19" i="265"/>
  <c r="X19" i="265"/>
  <c r="R19" i="265"/>
  <c r="Q19" i="265"/>
  <c r="N19" i="265"/>
  <c r="J19" i="265"/>
  <c r="I19" i="265"/>
  <c r="H19" i="265"/>
  <c r="G19" i="265"/>
  <c r="E19" i="265"/>
  <c r="F19" i="265"/>
  <c r="D19" i="265"/>
  <c r="A6" i="265"/>
  <c r="A7" i="265" s="1"/>
  <c r="A8" i="265" s="1"/>
  <c r="A9" i="265" s="1"/>
  <c r="A10" i="265" s="1"/>
  <c r="A11" i="265" s="1"/>
  <c r="A12" i="265" s="1"/>
  <c r="A13" i="265" s="1"/>
  <c r="A14" i="265" s="1"/>
  <c r="A15" i="265" s="1"/>
  <c r="A16" i="265" s="1"/>
  <c r="A17" i="265" s="1"/>
  <c r="A18" i="265" s="1"/>
  <c r="A19" i="265" s="1"/>
  <c r="S19" i="265"/>
  <c r="K19" i="265"/>
  <c r="L20" i="265" s="1"/>
  <c r="E16" i="75"/>
  <c r="E15" i="75"/>
  <c r="F9" i="75"/>
  <c r="F7" i="75"/>
  <c r="E6" i="264"/>
  <c r="F6" i="264"/>
  <c r="G6" i="264"/>
  <c r="H6" i="264"/>
  <c r="I6" i="264"/>
  <c r="J6" i="264"/>
  <c r="K6" i="264"/>
  <c r="L6" i="264"/>
  <c r="M6" i="264"/>
  <c r="N6" i="264"/>
  <c r="O6" i="264"/>
  <c r="P6" i="264"/>
  <c r="Q6" i="264"/>
  <c r="R6" i="264"/>
  <c r="S6" i="264"/>
  <c r="T6" i="264"/>
  <c r="U6" i="264"/>
  <c r="V6" i="264"/>
  <c r="W6" i="264"/>
  <c r="X6" i="264"/>
  <c r="Y6" i="264"/>
  <c r="Z6" i="264"/>
  <c r="AA6" i="264"/>
  <c r="D6" i="264"/>
  <c r="E27" i="264"/>
  <c r="F27" i="264"/>
  <c r="G27" i="264"/>
  <c r="H27" i="264"/>
  <c r="I27" i="264"/>
  <c r="J27" i="264"/>
  <c r="K27" i="264"/>
  <c r="L27" i="264"/>
  <c r="M27" i="264"/>
  <c r="N27" i="264"/>
  <c r="O27" i="264"/>
  <c r="P27" i="264"/>
  <c r="Q27" i="264"/>
  <c r="R27" i="264"/>
  <c r="S27" i="264"/>
  <c r="T27" i="264"/>
  <c r="U27" i="264"/>
  <c r="V27" i="264"/>
  <c r="W27" i="264"/>
  <c r="X27" i="264"/>
  <c r="Y27" i="264"/>
  <c r="Z27" i="264"/>
  <c r="AA27" i="264"/>
  <c r="D27" i="264"/>
  <c r="E29" i="264"/>
  <c r="F29" i="264"/>
  <c r="G29" i="264"/>
  <c r="H29" i="264"/>
  <c r="I29" i="264"/>
  <c r="J29" i="264"/>
  <c r="K29" i="264"/>
  <c r="L29" i="264"/>
  <c r="M29" i="264"/>
  <c r="N29" i="264"/>
  <c r="O29" i="264"/>
  <c r="P29" i="264"/>
  <c r="Q29" i="264"/>
  <c r="R29" i="264"/>
  <c r="S29" i="264"/>
  <c r="T29" i="264"/>
  <c r="U29" i="264"/>
  <c r="V29" i="264"/>
  <c r="W29" i="264"/>
  <c r="X29" i="264"/>
  <c r="Y29" i="264"/>
  <c r="Z29" i="264"/>
  <c r="AA29" i="264"/>
  <c r="D29" i="264"/>
  <c r="D33" i="264"/>
  <c r="E37" i="264"/>
  <c r="F37" i="264"/>
  <c r="G37" i="264"/>
  <c r="H37" i="264"/>
  <c r="I37" i="264"/>
  <c r="J37" i="264"/>
  <c r="K37" i="264"/>
  <c r="L37" i="264"/>
  <c r="M37" i="264"/>
  <c r="N37" i="264"/>
  <c r="O37" i="264"/>
  <c r="P37" i="264"/>
  <c r="Q37" i="264"/>
  <c r="R37" i="264"/>
  <c r="S37" i="264"/>
  <c r="T37" i="264"/>
  <c r="U37" i="264"/>
  <c r="V37" i="264"/>
  <c r="W37" i="264"/>
  <c r="X37" i="264"/>
  <c r="Y37" i="264"/>
  <c r="Z37" i="264"/>
  <c r="AA37" i="264"/>
  <c r="D37" i="264"/>
  <c r="E39" i="264"/>
  <c r="F39" i="264"/>
  <c r="G39" i="264"/>
  <c r="H39" i="264"/>
  <c r="I39" i="264"/>
  <c r="J39" i="264"/>
  <c r="K39" i="264"/>
  <c r="L39" i="264"/>
  <c r="M39" i="264"/>
  <c r="N39" i="264"/>
  <c r="O39" i="264"/>
  <c r="P39" i="264"/>
  <c r="Q39" i="264"/>
  <c r="R39" i="264"/>
  <c r="S39" i="264"/>
  <c r="T39" i="264"/>
  <c r="U39" i="264"/>
  <c r="V39" i="264"/>
  <c r="W39" i="264"/>
  <c r="X39" i="264"/>
  <c r="Y39" i="264"/>
  <c r="Z39" i="264"/>
  <c r="AA39" i="264"/>
  <c r="D39" i="264"/>
  <c r="E41" i="264"/>
  <c r="F41" i="264"/>
  <c r="G41" i="264"/>
  <c r="H41" i="264"/>
  <c r="I41" i="264"/>
  <c r="J41" i="264"/>
  <c r="K41" i="264"/>
  <c r="L41" i="264"/>
  <c r="M41" i="264"/>
  <c r="N41" i="264"/>
  <c r="O41" i="264"/>
  <c r="P41" i="264"/>
  <c r="Q41" i="264"/>
  <c r="R41" i="264"/>
  <c r="S41" i="264"/>
  <c r="T41" i="264"/>
  <c r="U41" i="264"/>
  <c r="V41" i="264"/>
  <c r="W41" i="264"/>
  <c r="X41" i="264"/>
  <c r="Y41" i="264"/>
  <c r="Z41" i="264"/>
  <c r="AA41" i="264"/>
  <c r="D41" i="264"/>
  <c r="E50" i="264"/>
  <c r="F50" i="264"/>
  <c r="G50" i="264"/>
  <c r="H50" i="264"/>
  <c r="I50" i="264"/>
  <c r="J50" i="264"/>
  <c r="K50" i="264"/>
  <c r="L50" i="264"/>
  <c r="M50" i="264"/>
  <c r="N50" i="264"/>
  <c r="O50" i="264"/>
  <c r="P50" i="264"/>
  <c r="Q50" i="264"/>
  <c r="R50" i="264"/>
  <c r="S50" i="264"/>
  <c r="T50" i="264"/>
  <c r="U50" i="264"/>
  <c r="V50" i="264"/>
  <c r="W50" i="264"/>
  <c r="X50" i="264"/>
  <c r="Y50" i="264"/>
  <c r="Z50" i="264"/>
  <c r="AA50" i="264"/>
  <c r="D50" i="264"/>
  <c r="A8" i="264"/>
  <c r="A9" i="264" s="1"/>
  <c r="A10" i="264" s="1"/>
  <c r="A11" i="264" s="1"/>
  <c r="A12" i="264" s="1"/>
  <c r="A13" i="264" s="1"/>
  <c r="A14" i="264" s="1"/>
  <c r="A15" i="264" s="1"/>
  <c r="A16" i="264" s="1"/>
  <c r="A17" i="264" s="1"/>
  <c r="A18" i="264" s="1"/>
  <c r="A19" i="264" s="1"/>
  <c r="A20" i="264" s="1"/>
  <c r="A21" i="264" s="1"/>
  <c r="A22" i="264" s="1"/>
  <c r="A23" i="264" s="1"/>
  <c r="A24" i="264" s="1"/>
  <c r="A25" i="264" s="1"/>
  <c r="A26" i="264" s="1"/>
  <c r="A28" i="264" s="1"/>
  <c r="A30" i="264" s="1"/>
  <c r="A32" i="264" s="1"/>
  <c r="A34" i="264" s="1"/>
  <c r="A35" i="264" s="1"/>
  <c r="A36" i="264" s="1"/>
  <c r="A38" i="264" s="1"/>
  <c r="A40" i="264" s="1"/>
  <c r="A42" i="264" s="1"/>
  <c r="A43" i="264" s="1"/>
  <c r="A44" i="264" s="1"/>
  <c r="A45" i="264" s="1"/>
  <c r="A46" i="264" s="1"/>
  <c r="A47" i="264" s="1"/>
  <c r="A48" i="264" s="1"/>
  <c r="A49" i="264" s="1"/>
  <c r="AB11" i="264"/>
  <c r="AC11" i="264"/>
  <c r="AB32" i="264"/>
  <c r="AC32" i="264"/>
  <c r="AB12" i="264"/>
  <c r="AC12" i="264"/>
  <c r="AB13" i="264"/>
  <c r="AC13" i="264"/>
  <c r="AB14" i="264"/>
  <c r="AC14" i="264"/>
  <c r="AB42" i="264"/>
  <c r="AC42" i="264"/>
  <c r="AB40" i="264"/>
  <c r="AC40" i="264"/>
  <c r="AB15" i="264"/>
  <c r="AC15" i="264"/>
  <c r="AB16" i="264"/>
  <c r="AC16" i="264"/>
  <c r="AB43" i="264"/>
  <c r="AC43" i="264"/>
  <c r="AB44" i="264"/>
  <c r="AC44" i="264"/>
  <c r="AB17" i="264"/>
  <c r="AC17" i="264"/>
  <c r="AB34" i="264"/>
  <c r="AC34" i="264"/>
  <c r="AB45" i="264"/>
  <c r="AC45" i="264"/>
  <c r="AB46" i="264"/>
  <c r="AC46" i="264"/>
  <c r="AB47" i="264"/>
  <c r="AC47" i="264"/>
  <c r="AB48" i="264"/>
  <c r="AC48" i="264"/>
  <c r="AB7" i="264"/>
  <c r="AC7" i="264"/>
  <c r="AB18" i="264"/>
  <c r="AC18" i="264"/>
  <c r="AB19" i="264"/>
  <c r="AC19" i="264"/>
  <c r="AB35" i="264"/>
  <c r="AC35" i="264"/>
  <c r="AB49" i="264"/>
  <c r="AC49" i="264"/>
  <c r="AB36" i="264"/>
  <c r="AC36" i="264"/>
  <c r="AB30" i="264"/>
  <c r="AC30" i="264"/>
  <c r="AB38" i="264"/>
  <c r="AC38" i="264"/>
  <c r="AB20" i="264"/>
  <c r="AC20" i="264"/>
  <c r="AB5" i="264"/>
  <c r="AC5" i="264"/>
  <c r="AB21" i="264"/>
  <c r="AC21" i="264"/>
  <c r="AB22" i="264"/>
  <c r="AC22" i="264"/>
  <c r="AB8" i="264"/>
  <c r="AC8" i="264"/>
  <c r="AB23" i="264"/>
  <c r="AC23" i="264"/>
  <c r="AB24" i="264"/>
  <c r="AC24" i="264"/>
  <c r="AB9" i="264"/>
  <c r="AC9" i="264"/>
  <c r="AB25" i="264"/>
  <c r="AC25" i="264"/>
  <c r="AB28" i="264"/>
  <c r="AC28" i="264"/>
  <c r="AB26" i="264"/>
  <c r="AC26" i="264"/>
  <c r="AC10" i="264"/>
  <c r="AB10" i="264"/>
  <c r="D11" i="264"/>
  <c r="E11" i="264"/>
  <c r="F11" i="264"/>
  <c r="G11" i="264"/>
  <c r="H11" i="264"/>
  <c r="I11" i="264"/>
  <c r="J11" i="264"/>
  <c r="K11" i="264"/>
  <c r="L11" i="264"/>
  <c r="M11" i="264"/>
  <c r="N11" i="264"/>
  <c r="O11" i="264"/>
  <c r="P11" i="264"/>
  <c r="Q11" i="264"/>
  <c r="R11" i="264"/>
  <c r="S11" i="264"/>
  <c r="T11" i="264"/>
  <c r="U11" i="264"/>
  <c r="V11" i="264"/>
  <c r="W11" i="264"/>
  <c r="X11" i="264"/>
  <c r="Y11" i="264"/>
  <c r="Z11" i="264"/>
  <c r="AA11" i="264"/>
  <c r="D32" i="264"/>
  <c r="E32" i="264"/>
  <c r="F32" i="264"/>
  <c r="G32" i="264"/>
  <c r="H32" i="264"/>
  <c r="I32" i="264"/>
  <c r="J32" i="264"/>
  <c r="K32" i="264"/>
  <c r="L32" i="264"/>
  <c r="M32" i="264"/>
  <c r="N32" i="264"/>
  <c r="O32" i="264"/>
  <c r="P32" i="264"/>
  <c r="Q32" i="264"/>
  <c r="R32" i="264"/>
  <c r="S32" i="264"/>
  <c r="T32" i="264"/>
  <c r="U32" i="264"/>
  <c r="V32" i="264"/>
  <c r="W32" i="264"/>
  <c r="X32" i="264"/>
  <c r="Y32" i="264"/>
  <c r="Z32" i="264"/>
  <c r="AA32" i="264"/>
  <c r="D12" i="264"/>
  <c r="E12" i="264"/>
  <c r="F12" i="264"/>
  <c r="G12" i="264"/>
  <c r="H12" i="264"/>
  <c r="I12" i="264"/>
  <c r="J12" i="264"/>
  <c r="K12" i="264"/>
  <c r="L12" i="264"/>
  <c r="M12" i="264"/>
  <c r="N12" i="264"/>
  <c r="O12" i="264"/>
  <c r="P12" i="264"/>
  <c r="Q12" i="264"/>
  <c r="R12" i="264"/>
  <c r="S12" i="264"/>
  <c r="T12" i="264"/>
  <c r="U12" i="264"/>
  <c r="V12" i="264"/>
  <c r="W12" i="264"/>
  <c r="X12" i="264"/>
  <c r="Y12" i="264"/>
  <c r="Z12" i="264"/>
  <c r="AA12" i="264"/>
  <c r="D13" i="264"/>
  <c r="E13" i="264"/>
  <c r="F13" i="264"/>
  <c r="G13" i="264"/>
  <c r="H13" i="264"/>
  <c r="I13" i="264"/>
  <c r="J13" i="264"/>
  <c r="K13" i="264"/>
  <c r="L13" i="264"/>
  <c r="M13" i="264"/>
  <c r="N13" i="264"/>
  <c r="O13" i="264"/>
  <c r="P13" i="264"/>
  <c r="Q13" i="264"/>
  <c r="R13" i="264"/>
  <c r="S13" i="264"/>
  <c r="T13" i="264"/>
  <c r="U13" i="264"/>
  <c r="V13" i="264"/>
  <c r="W13" i="264"/>
  <c r="X13" i="264"/>
  <c r="Y13" i="264"/>
  <c r="Z13" i="264"/>
  <c r="AA13" i="264"/>
  <c r="D14" i="264"/>
  <c r="E14" i="264"/>
  <c r="F14" i="264"/>
  <c r="G14" i="264"/>
  <c r="H14" i="264"/>
  <c r="I14" i="264"/>
  <c r="J14" i="264"/>
  <c r="K14" i="264"/>
  <c r="L14" i="264"/>
  <c r="M14" i="264"/>
  <c r="N14" i="264"/>
  <c r="O14" i="264"/>
  <c r="P14" i="264"/>
  <c r="Q14" i="264"/>
  <c r="R14" i="264"/>
  <c r="S14" i="264"/>
  <c r="T14" i="264"/>
  <c r="U14" i="264"/>
  <c r="V14" i="264"/>
  <c r="W14" i="264"/>
  <c r="X14" i="264"/>
  <c r="Y14" i="264"/>
  <c r="Z14" i="264"/>
  <c r="AA14" i="264"/>
  <c r="D42" i="264"/>
  <c r="E42" i="264"/>
  <c r="F42" i="264"/>
  <c r="G42" i="264"/>
  <c r="H42" i="264"/>
  <c r="I42" i="264"/>
  <c r="J42" i="264"/>
  <c r="K42" i="264"/>
  <c r="L42" i="264"/>
  <c r="M42" i="264"/>
  <c r="N42" i="264"/>
  <c r="O42" i="264"/>
  <c r="P42" i="264"/>
  <c r="Q42" i="264"/>
  <c r="R42" i="264"/>
  <c r="S42" i="264"/>
  <c r="T42" i="264"/>
  <c r="U42" i="264"/>
  <c r="V42" i="264"/>
  <c r="W42" i="264"/>
  <c r="X42" i="264"/>
  <c r="Y42" i="264"/>
  <c r="Z42" i="264"/>
  <c r="AA42" i="264"/>
  <c r="D40" i="264"/>
  <c r="E40" i="264"/>
  <c r="F40" i="264"/>
  <c r="G40" i="264"/>
  <c r="H40" i="264"/>
  <c r="I40" i="264"/>
  <c r="J40" i="264"/>
  <c r="K40" i="264"/>
  <c r="L40" i="264"/>
  <c r="M40" i="264"/>
  <c r="N40" i="264"/>
  <c r="O40" i="264"/>
  <c r="P40" i="264"/>
  <c r="Q40" i="264"/>
  <c r="R40" i="264"/>
  <c r="S40" i="264"/>
  <c r="T40" i="264"/>
  <c r="U40" i="264"/>
  <c r="V40" i="264"/>
  <c r="W40" i="264"/>
  <c r="X40" i="264"/>
  <c r="Y40" i="264"/>
  <c r="Z40" i="264"/>
  <c r="AA40" i="264"/>
  <c r="D15" i="264"/>
  <c r="E15" i="264"/>
  <c r="F15" i="264"/>
  <c r="G15" i="264"/>
  <c r="H15" i="264"/>
  <c r="I15" i="264"/>
  <c r="J15" i="264"/>
  <c r="K15" i="264"/>
  <c r="L15" i="264"/>
  <c r="M15" i="264"/>
  <c r="N15" i="264"/>
  <c r="O15" i="264"/>
  <c r="P15" i="264"/>
  <c r="Q15" i="264"/>
  <c r="R15" i="264"/>
  <c r="S15" i="264"/>
  <c r="T15" i="264"/>
  <c r="U15" i="264"/>
  <c r="V15" i="264"/>
  <c r="W15" i="264"/>
  <c r="X15" i="264"/>
  <c r="Y15" i="264"/>
  <c r="Z15" i="264"/>
  <c r="AA15" i="264"/>
  <c r="D16" i="264"/>
  <c r="E16" i="264"/>
  <c r="F16" i="264"/>
  <c r="G16" i="264"/>
  <c r="H16" i="264"/>
  <c r="I16" i="264"/>
  <c r="J16" i="264"/>
  <c r="K16" i="264"/>
  <c r="L16" i="264"/>
  <c r="M16" i="264"/>
  <c r="N16" i="264"/>
  <c r="O16" i="264"/>
  <c r="P16" i="264"/>
  <c r="Q16" i="264"/>
  <c r="R16" i="264"/>
  <c r="S16" i="264"/>
  <c r="T16" i="264"/>
  <c r="U16" i="264"/>
  <c r="V16" i="264"/>
  <c r="W16" i="264"/>
  <c r="X16" i="264"/>
  <c r="Y16" i="264"/>
  <c r="Z16" i="264"/>
  <c r="AA16" i="264"/>
  <c r="D43" i="264"/>
  <c r="E43" i="264"/>
  <c r="F43" i="264"/>
  <c r="G43" i="264"/>
  <c r="H43" i="264"/>
  <c r="I43" i="264"/>
  <c r="J43" i="264"/>
  <c r="K43" i="264"/>
  <c r="L43" i="264"/>
  <c r="M43" i="264"/>
  <c r="N43" i="264"/>
  <c r="O43" i="264"/>
  <c r="P43" i="264"/>
  <c r="Q43" i="264"/>
  <c r="R43" i="264"/>
  <c r="S43" i="264"/>
  <c r="T43" i="264"/>
  <c r="U43" i="264"/>
  <c r="V43" i="264"/>
  <c r="W43" i="264"/>
  <c r="X43" i="264"/>
  <c r="Y43" i="264"/>
  <c r="Z43" i="264"/>
  <c r="AA43" i="264"/>
  <c r="D44" i="264"/>
  <c r="E44" i="264"/>
  <c r="F44" i="264"/>
  <c r="G44" i="264"/>
  <c r="H44" i="264"/>
  <c r="I44" i="264"/>
  <c r="J44" i="264"/>
  <c r="K44" i="264"/>
  <c r="L44" i="264"/>
  <c r="M44" i="264"/>
  <c r="N44" i="264"/>
  <c r="O44" i="264"/>
  <c r="P44" i="264"/>
  <c r="Q44" i="264"/>
  <c r="R44" i="264"/>
  <c r="S44" i="264"/>
  <c r="T44" i="264"/>
  <c r="U44" i="264"/>
  <c r="V44" i="264"/>
  <c r="W44" i="264"/>
  <c r="X44" i="264"/>
  <c r="Y44" i="264"/>
  <c r="Z44" i="264"/>
  <c r="AA44" i="264"/>
  <c r="D17" i="264"/>
  <c r="E17" i="264"/>
  <c r="F17" i="264"/>
  <c r="G17" i="264"/>
  <c r="H17" i="264"/>
  <c r="I17" i="264"/>
  <c r="J17" i="264"/>
  <c r="K17" i="264"/>
  <c r="L17" i="264"/>
  <c r="M17" i="264"/>
  <c r="N17" i="264"/>
  <c r="O17" i="264"/>
  <c r="P17" i="264"/>
  <c r="Q17" i="264"/>
  <c r="R17" i="264"/>
  <c r="S17" i="264"/>
  <c r="T17" i="264"/>
  <c r="U17" i="264"/>
  <c r="V17" i="264"/>
  <c r="W17" i="264"/>
  <c r="X17" i="264"/>
  <c r="Y17" i="264"/>
  <c r="Z17" i="264"/>
  <c r="AA17" i="264"/>
  <c r="D34" i="264"/>
  <c r="E34" i="264"/>
  <c r="F34" i="264"/>
  <c r="G34" i="264"/>
  <c r="H34" i="264"/>
  <c r="I34" i="264"/>
  <c r="J34" i="264"/>
  <c r="K34" i="264"/>
  <c r="L34" i="264"/>
  <c r="M34" i="264"/>
  <c r="N34" i="264"/>
  <c r="O34" i="264"/>
  <c r="P34" i="264"/>
  <c r="Q34" i="264"/>
  <c r="R34" i="264"/>
  <c r="S34" i="264"/>
  <c r="T34" i="264"/>
  <c r="U34" i="264"/>
  <c r="V34" i="264"/>
  <c r="W34" i="264"/>
  <c r="X34" i="264"/>
  <c r="Y34" i="264"/>
  <c r="Z34" i="264"/>
  <c r="AA34" i="264"/>
  <c r="D45" i="264"/>
  <c r="E45" i="264"/>
  <c r="F45" i="264"/>
  <c r="G45" i="264"/>
  <c r="H45" i="264"/>
  <c r="I45" i="264"/>
  <c r="J45" i="264"/>
  <c r="K45" i="264"/>
  <c r="L45" i="264"/>
  <c r="M45" i="264"/>
  <c r="N45" i="264"/>
  <c r="O45" i="264"/>
  <c r="P45" i="264"/>
  <c r="Q45" i="264"/>
  <c r="R45" i="264"/>
  <c r="S45" i="264"/>
  <c r="T45" i="264"/>
  <c r="U45" i="264"/>
  <c r="V45" i="264"/>
  <c r="W45" i="264"/>
  <c r="X45" i="264"/>
  <c r="Y45" i="264"/>
  <c r="Z45" i="264"/>
  <c r="AA45" i="264"/>
  <c r="D46" i="264"/>
  <c r="E46" i="264"/>
  <c r="F46" i="264"/>
  <c r="G46" i="264"/>
  <c r="H46" i="264"/>
  <c r="I46" i="264"/>
  <c r="J46" i="264"/>
  <c r="K46" i="264"/>
  <c r="L46" i="264"/>
  <c r="M46" i="264"/>
  <c r="N46" i="264"/>
  <c r="O46" i="264"/>
  <c r="P46" i="264"/>
  <c r="Q46" i="264"/>
  <c r="R46" i="264"/>
  <c r="S46" i="264"/>
  <c r="T46" i="264"/>
  <c r="U46" i="264"/>
  <c r="V46" i="264"/>
  <c r="W46" i="264"/>
  <c r="X46" i="264"/>
  <c r="Y46" i="264"/>
  <c r="Z46" i="264"/>
  <c r="AA46" i="264"/>
  <c r="D47" i="264"/>
  <c r="E47" i="264"/>
  <c r="F47" i="264"/>
  <c r="G47" i="264"/>
  <c r="H47" i="264"/>
  <c r="I47" i="264"/>
  <c r="J47" i="264"/>
  <c r="K47" i="264"/>
  <c r="L47" i="264"/>
  <c r="M47" i="264"/>
  <c r="N47" i="264"/>
  <c r="O47" i="264"/>
  <c r="P47" i="264"/>
  <c r="Q47" i="264"/>
  <c r="R47" i="264"/>
  <c r="S47" i="264"/>
  <c r="T47" i="264"/>
  <c r="U47" i="264"/>
  <c r="V47" i="264"/>
  <c r="W47" i="264"/>
  <c r="X47" i="264"/>
  <c r="Y47" i="264"/>
  <c r="Z47" i="264"/>
  <c r="AA47" i="264"/>
  <c r="D48" i="264"/>
  <c r="E48" i="264"/>
  <c r="F48" i="264"/>
  <c r="G48" i="264"/>
  <c r="H48" i="264"/>
  <c r="I48" i="264"/>
  <c r="J48" i="264"/>
  <c r="K48" i="264"/>
  <c r="L48" i="264"/>
  <c r="M48" i="264"/>
  <c r="N48" i="264"/>
  <c r="O48" i="264"/>
  <c r="P48" i="264"/>
  <c r="Q48" i="264"/>
  <c r="R48" i="264"/>
  <c r="S48" i="264"/>
  <c r="T48" i="264"/>
  <c r="U48" i="264"/>
  <c r="V48" i="264"/>
  <c r="W48" i="264"/>
  <c r="X48" i="264"/>
  <c r="Y48" i="264"/>
  <c r="Z48" i="264"/>
  <c r="AA48" i="264"/>
  <c r="D7" i="264"/>
  <c r="E7" i="264"/>
  <c r="F7" i="264"/>
  <c r="G7" i="264"/>
  <c r="H7" i="264"/>
  <c r="I7" i="264"/>
  <c r="J7" i="264"/>
  <c r="K7" i="264"/>
  <c r="L7" i="264"/>
  <c r="M7" i="264"/>
  <c r="N7" i="264"/>
  <c r="O7" i="264"/>
  <c r="P7" i="264"/>
  <c r="Q7" i="264"/>
  <c r="R7" i="264"/>
  <c r="S7" i="264"/>
  <c r="T7" i="264"/>
  <c r="U7" i="264"/>
  <c r="V7" i="264"/>
  <c r="W7" i="264"/>
  <c r="X7" i="264"/>
  <c r="Y7" i="264"/>
  <c r="Z7" i="264"/>
  <c r="AA7" i="264"/>
  <c r="D18" i="264"/>
  <c r="E18" i="264"/>
  <c r="F18" i="264"/>
  <c r="G18" i="264"/>
  <c r="H18" i="264"/>
  <c r="I18" i="264"/>
  <c r="J18" i="264"/>
  <c r="K18" i="264"/>
  <c r="L18" i="264"/>
  <c r="M18" i="264"/>
  <c r="N18" i="264"/>
  <c r="O18" i="264"/>
  <c r="P18" i="264"/>
  <c r="Q18" i="264"/>
  <c r="R18" i="264"/>
  <c r="S18" i="264"/>
  <c r="T18" i="264"/>
  <c r="U18" i="264"/>
  <c r="V18" i="264"/>
  <c r="W18" i="264"/>
  <c r="X18" i="264"/>
  <c r="Y18" i="264"/>
  <c r="Z18" i="264"/>
  <c r="AA18" i="264"/>
  <c r="D19" i="264"/>
  <c r="E19" i="264"/>
  <c r="F19" i="264"/>
  <c r="G19" i="264"/>
  <c r="H19" i="264"/>
  <c r="I19" i="264"/>
  <c r="J19" i="264"/>
  <c r="K19" i="264"/>
  <c r="L19" i="264"/>
  <c r="M19" i="264"/>
  <c r="N19" i="264"/>
  <c r="O19" i="264"/>
  <c r="P19" i="264"/>
  <c r="Q19" i="264"/>
  <c r="R19" i="264"/>
  <c r="S19" i="264"/>
  <c r="T19" i="264"/>
  <c r="U19" i="264"/>
  <c r="V19" i="264"/>
  <c r="W19" i="264"/>
  <c r="X19" i="264"/>
  <c r="Y19" i="264"/>
  <c r="Z19" i="264"/>
  <c r="AA19" i="264"/>
  <c r="D35" i="264"/>
  <c r="E35" i="264"/>
  <c r="F35" i="264"/>
  <c r="G35" i="264"/>
  <c r="H35" i="264"/>
  <c r="I35" i="264"/>
  <c r="J35" i="264"/>
  <c r="K35" i="264"/>
  <c r="L35" i="264"/>
  <c r="M35" i="264"/>
  <c r="N35" i="264"/>
  <c r="O35" i="264"/>
  <c r="P35" i="264"/>
  <c r="Q35" i="264"/>
  <c r="R35" i="264"/>
  <c r="S35" i="264"/>
  <c r="T35" i="264"/>
  <c r="U35" i="264"/>
  <c r="V35" i="264"/>
  <c r="W35" i="264"/>
  <c r="X35" i="264"/>
  <c r="Y35" i="264"/>
  <c r="Z35" i="264"/>
  <c r="AA35" i="264"/>
  <c r="D49" i="264"/>
  <c r="E49" i="264"/>
  <c r="F49" i="264"/>
  <c r="G49" i="264"/>
  <c r="H49" i="264"/>
  <c r="I49" i="264"/>
  <c r="J49" i="264"/>
  <c r="K49" i="264"/>
  <c r="L49" i="264"/>
  <c r="M49" i="264"/>
  <c r="N49" i="264"/>
  <c r="O49" i="264"/>
  <c r="P49" i="264"/>
  <c r="Q49" i="264"/>
  <c r="R49" i="264"/>
  <c r="S49" i="264"/>
  <c r="T49" i="264"/>
  <c r="U49" i="264"/>
  <c r="V49" i="264"/>
  <c r="W49" i="264"/>
  <c r="X49" i="264"/>
  <c r="Y49" i="264"/>
  <c r="Z49" i="264"/>
  <c r="AA49" i="264"/>
  <c r="D36" i="264"/>
  <c r="E36" i="264"/>
  <c r="F36" i="264"/>
  <c r="G36" i="264"/>
  <c r="H36" i="264"/>
  <c r="I36" i="264"/>
  <c r="J36" i="264"/>
  <c r="K36" i="264"/>
  <c r="L36" i="264"/>
  <c r="M36" i="264"/>
  <c r="N36" i="264"/>
  <c r="O36" i="264"/>
  <c r="P36" i="264"/>
  <c r="Q36" i="264"/>
  <c r="R36" i="264"/>
  <c r="S36" i="264"/>
  <c r="T36" i="264"/>
  <c r="U36" i="264"/>
  <c r="V36" i="264"/>
  <c r="W36" i="264"/>
  <c r="X36" i="264"/>
  <c r="Y36" i="264"/>
  <c r="Z36" i="264"/>
  <c r="AA36" i="264"/>
  <c r="D30" i="264"/>
  <c r="E30" i="264"/>
  <c r="F30" i="264"/>
  <c r="G30" i="264"/>
  <c r="H30" i="264"/>
  <c r="I30" i="264"/>
  <c r="J30" i="264"/>
  <c r="K30" i="264"/>
  <c r="L30" i="264"/>
  <c r="M30" i="264"/>
  <c r="N30" i="264"/>
  <c r="O30" i="264"/>
  <c r="P30" i="264"/>
  <c r="Q30" i="264"/>
  <c r="R30" i="264"/>
  <c r="S30" i="264"/>
  <c r="T30" i="264"/>
  <c r="U30" i="264"/>
  <c r="V30" i="264"/>
  <c r="W30" i="264"/>
  <c r="X30" i="264"/>
  <c r="Y30" i="264"/>
  <c r="Z30" i="264"/>
  <c r="AA30" i="264"/>
  <c r="D38" i="264"/>
  <c r="E38" i="264"/>
  <c r="F38" i="264"/>
  <c r="G38" i="264"/>
  <c r="H38" i="264"/>
  <c r="I38" i="264"/>
  <c r="J38" i="264"/>
  <c r="K38" i="264"/>
  <c r="L38" i="264"/>
  <c r="M38" i="264"/>
  <c r="N38" i="264"/>
  <c r="O38" i="264"/>
  <c r="P38" i="264"/>
  <c r="Q38" i="264"/>
  <c r="R38" i="264"/>
  <c r="S38" i="264"/>
  <c r="T38" i="264"/>
  <c r="U38" i="264"/>
  <c r="V38" i="264"/>
  <c r="W38" i="264"/>
  <c r="X38" i="264"/>
  <c r="Y38" i="264"/>
  <c r="Z38" i="264"/>
  <c r="AA38" i="264"/>
  <c r="D20" i="264"/>
  <c r="E20" i="264"/>
  <c r="F20" i="264"/>
  <c r="G20" i="264"/>
  <c r="H20" i="264"/>
  <c r="I20" i="264"/>
  <c r="J20" i="264"/>
  <c r="K20" i="264"/>
  <c r="L20" i="264"/>
  <c r="M20" i="264"/>
  <c r="N20" i="264"/>
  <c r="O20" i="264"/>
  <c r="P20" i="264"/>
  <c r="Q20" i="264"/>
  <c r="R20" i="264"/>
  <c r="S20" i="264"/>
  <c r="T20" i="264"/>
  <c r="U20" i="264"/>
  <c r="V20" i="264"/>
  <c r="W20" i="264"/>
  <c r="X20" i="264"/>
  <c r="Y20" i="264"/>
  <c r="Z20" i="264"/>
  <c r="AA20" i="264"/>
  <c r="D5" i="264"/>
  <c r="E5" i="264"/>
  <c r="F5" i="264"/>
  <c r="G5" i="264"/>
  <c r="H5" i="264"/>
  <c r="I5" i="264"/>
  <c r="J5" i="264"/>
  <c r="K5" i="264"/>
  <c r="L5" i="264"/>
  <c r="M5" i="264"/>
  <c r="N5" i="264"/>
  <c r="O5" i="264"/>
  <c r="P5" i="264"/>
  <c r="Q5" i="264"/>
  <c r="R5" i="264"/>
  <c r="S5" i="264"/>
  <c r="T5" i="264"/>
  <c r="U5" i="264"/>
  <c r="V5" i="264"/>
  <c r="W5" i="264"/>
  <c r="X5" i="264"/>
  <c r="Y5" i="264"/>
  <c r="Z5" i="264"/>
  <c r="AA5" i="264"/>
  <c r="D21" i="264"/>
  <c r="E21" i="264"/>
  <c r="F21" i="264"/>
  <c r="G21" i="264"/>
  <c r="H21" i="264"/>
  <c r="I21" i="264"/>
  <c r="J21" i="264"/>
  <c r="K21" i="264"/>
  <c r="L21" i="264"/>
  <c r="M21" i="264"/>
  <c r="N21" i="264"/>
  <c r="O21" i="264"/>
  <c r="P21" i="264"/>
  <c r="Q21" i="264"/>
  <c r="R21" i="264"/>
  <c r="S21" i="264"/>
  <c r="T21" i="264"/>
  <c r="U21" i="264"/>
  <c r="V21" i="264"/>
  <c r="W21" i="264"/>
  <c r="X21" i="264"/>
  <c r="Y21" i="264"/>
  <c r="Z21" i="264"/>
  <c r="AA21" i="264"/>
  <c r="D22" i="264"/>
  <c r="E22" i="264"/>
  <c r="F22" i="264"/>
  <c r="G22" i="264"/>
  <c r="H22" i="264"/>
  <c r="I22" i="264"/>
  <c r="J22" i="264"/>
  <c r="K22" i="264"/>
  <c r="L22" i="264"/>
  <c r="M22" i="264"/>
  <c r="N22" i="264"/>
  <c r="O22" i="264"/>
  <c r="P22" i="264"/>
  <c r="Q22" i="264"/>
  <c r="R22" i="264"/>
  <c r="S22" i="264"/>
  <c r="T22" i="264"/>
  <c r="U22" i="264"/>
  <c r="V22" i="264"/>
  <c r="W22" i="264"/>
  <c r="X22" i="264"/>
  <c r="Y22" i="264"/>
  <c r="Z22" i="264"/>
  <c r="AA22" i="264"/>
  <c r="D8" i="264"/>
  <c r="E8" i="264"/>
  <c r="F8" i="264"/>
  <c r="G8" i="264"/>
  <c r="H8" i="264"/>
  <c r="I8" i="264"/>
  <c r="J8" i="264"/>
  <c r="K8" i="264"/>
  <c r="L8" i="264"/>
  <c r="M8" i="264"/>
  <c r="N8" i="264"/>
  <c r="O8" i="264"/>
  <c r="P8" i="264"/>
  <c r="Q8" i="264"/>
  <c r="R8" i="264"/>
  <c r="S8" i="264"/>
  <c r="T8" i="264"/>
  <c r="U8" i="264"/>
  <c r="V8" i="264"/>
  <c r="W8" i="264"/>
  <c r="X8" i="264"/>
  <c r="Y8" i="264"/>
  <c r="Z8" i="264"/>
  <c r="AA8" i="264"/>
  <c r="D23" i="264"/>
  <c r="E23" i="264"/>
  <c r="F23" i="264"/>
  <c r="G23" i="264"/>
  <c r="H23" i="264"/>
  <c r="I23" i="264"/>
  <c r="J23" i="264"/>
  <c r="K23" i="264"/>
  <c r="L23" i="264"/>
  <c r="M23" i="264"/>
  <c r="N23" i="264"/>
  <c r="O23" i="264"/>
  <c r="P23" i="264"/>
  <c r="Q23" i="264"/>
  <c r="R23" i="264"/>
  <c r="S23" i="264"/>
  <c r="T23" i="264"/>
  <c r="U23" i="264"/>
  <c r="V23" i="264"/>
  <c r="W23" i="264"/>
  <c r="X23" i="264"/>
  <c r="Y23" i="264"/>
  <c r="Z23" i="264"/>
  <c r="AA23" i="264"/>
  <c r="D24" i="264"/>
  <c r="E24" i="264"/>
  <c r="F24" i="264"/>
  <c r="G24" i="264"/>
  <c r="H24" i="264"/>
  <c r="I24" i="264"/>
  <c r="J24" i="264"/>
  <c r="K24" i="264"/>
  <c r="L24" i="264"/>
  <c r="M24" i="264"/>
  <c r="N24" i="264"/>
  <c r="O24" i="264"/>
  <c r="P24" i="264"/>
  <c r="Q24" i="264"/>
  <c r="R24" i="264"/>
  <c r="S24" i="264"/>
  <c r="T24" i="264"/>
  <c r="U24" i="264"/>
  <c r="V24" i="264"/>
  <c r="W24" i="264"/>
  <c r="X24" i="264"/>
  <c r="Y24" i="264"/>
  <c r="Z24" i="264"/>
  <c r="AA24" i="264"/>
  <c r="D9" i="264"/>
  <c r="E9" i="264"/>
  <c r="F9" i="264"/>
  <c r="G9" i="264"/>
  <c r="H9" i="264"/>
  <c r="I9" i="264"/>
  <c r="J9" i="264"/>
  <c r="K9" i="264"/>
  <c r="L9" i="264"/>
  <c r="M9" i="264"/>
  <c r="N9" i="264"/>
  <c r="O9" i="264"/>
  <c r="P9" i="264"/>
  <c r="Q9" i="264"/>
  <c r="R9" i="264"/>
  <c r="S9" i="264"/>
  <c r="T9" i="264"/>
  <c r="U9" i="264"/>
  <c r="V9" i="264"/>
  <c r="W9" i="264"/>
  <c r="X9" i="264"/>
  <c r="Y9" i="264"/>
  <c r="Z9" i="264"/>
  <c r="AA9" i="264"/>
  <c r="D25" i="264"/>
  <c r="E25" i="264"/>
  <c r="F25" i="264"/>
  <c r="G25" i="264"/>
  <c r="H25" i="264"/>
  <c r="I25" i="264"/>
  <c r="J25" i="264"/>
  <c r="K25" i="264"/>
  <c r="L25" i="264"/>
  <c r="M25" i="264"/>
  <c r="N25" i="264"/>
  <c r="O25" i="264"/>
  <c r="P25" i="264"/>
  <c r="Q25" i="264"/>
  <c r="R25" i="264"/>
  <c r="S25" i="264"/>
  <c r="T25" i="264"/>
  <c r="U25" i="264"/>
  <c r="V25" i="264"/>
  <c r="W25" i="264"/>
  <c r="X25" i="264"/>
  <c r="Y25" i="264"/>
  <c r="Z25" i="264"/>
  <c r="AA25" i="264"/>
  <c r="D28" i="264"/>
  <c r="E28" i="264"/>
  <c r="F28" i="264"/>
  <c r="G28" i="264"/>
  <c r="H28" i="264"/>
  <c r="I28" i="264"/>
  <c r="J28" i="264"/>
  <c r="K28" i="264"/>
  <c r="L28" i="264"/>
  <c r="M28" i="264"/>
  <c r="N28" i="264"/>
  <c r="O28" i="264"/>
  <c r="P28" i="264"/>
  <c r="Q28" i="264"/>
  <c r="R28" i="264"/>
  <c r="S28" i="264"/>
  <c r="T28" i="264"/>
  <c r="U28" i="264"/>
  <c r="V28" i="264"/>
  <c r="W28" i="264"/>
  <c r="X28" i="264"/>
  <c r="Y28" i="264"/>
  <c r="Z28" i="264"/>
  <c r="AA28" i="264"/>
  <c r="D26" i="264"/>
  <c r="E26" i="264"/>
  <c r="F26" i="264"/>
  <c r="G26" i="264"/>
  <c r="H26" i="264"/>
  <c r="I26" i="264"/>
  <c r="J26" i="264"/>
  <c r="K26" i="264"/>
  <c r="L26" i="264"/>
  <c r="M26" i="264"/>
  <c r="N26" i="264"/>
  <c r="O26" i="264"/>
  <c r="P26" i="264"/>
  <c r="Q26" i="264"/>
  <c r="R26" i="264"/>
  <c r="S26" i="264"/>
  <c r="T26" i="264"/>
  <c r="U26" i="264"/>
  <c r="V26" i="264"/>
  <c r="W26" i="264"/>
  <c r="X26" i="264"/>
  <c r="Y26" i="264"/>
  <c r="Z26" i="264"/>
  <c r="AA26" i="264"/>
  <c r="E10" i="264"/>
  <c r="F10" i="264"/>
  <c r="G10" i="264"/>
  <c r="H10" i="264"/>
  <c r="I10" i="264"/>
  <c r="J10" i="264"/>
  <c r="K10" i="264"/>
  <c r="L10" i="264"/>
  <c r="M10" i="264"/>
  <c r="N10" i="264"/>
  <c r="O10" i="264"/>
  <c r="P10" i="264"/>
  <c r="Q10" i="264"/>
  <c r="R10" i="264"/>
  <c r="S10" i="264"/>
  <c r="T10" i="264"/>
  <c r="U10" i="264"/>
  <c r="V10" i="264"/>
  <c r="W10" i="264"/>
  <c r="X10" i="264"/>
  <c r="Y10" i="264"/>
  <c r="Z10" i="264"/>
  <c r="AA10" i="264"/>
  <c r="D10" i="264"/>
  <c r="C11" i="264"/>
  <c r="C32" i="264"/>
  <c r="C12" i="264"/>
  <c r="C13" i="264"/>
  <c r="C14" i="264"/>
  <c r="C42" i="264"/>
  <c r="C40" i="264"/>
  <c r="C15" i="264"/>
  <c r="C16" i="264"/>
  <c r="C43" i="264"/>
  <c r="C44" i="264"/>
  <c r="C17" i="264"/>
  <c r="C34" i="264"/>
  <c r="C45" i="264"/>
  <c r="C46" i="264"/>
  <c r="C47" i="264"/>
  <c r="C48" i="264"/>
  <c r="C7" i="264"/>
  <c r="C18" i="264"/>
  <c r="C19" i="264"/>
  <c r="C35" i="264"/>
  <c r="C49" i="264"/>
  <c r="C36" i="264"/>
  <c r="C30" i="264"/>
  <c r="C38" i="264"/>
  <c r="C20" i="264"/>
  <c r="C5" i="264"/>
  <c r="C21" i="264"/>
  <c r="C22" i="264"/>
  <c r="C8" i="264"/>
  <c r="C23" i="264"/>
  <c r="C24" i="264"/>
  <c r="C9" i="264"/>
  <c r="C25" i="264"/>
  <c r="C28" i="264"/>
  <c r="C26" i="264"/>
  <c r="C10" i="264"/>
  <c r="B11" i="264"/>
  <c r="B32" i="264"/>
  <c r="B12" i="264"/>
  <c r="B13" i="264"/>
  <c r="B14" i="264"/>
  <c r="B42" i="264"/>
  <c r="B40" i="264"/>
  <c r="B15" i="264"/>
  <c r="B16" i="264"/>
  <c r="B43" i="264"/>
  <c r="B44" i="264"/>
  <c r="B17" i="264"/>
  <c r="B34" i="264"/>
  <c r="B45" i="264"/>
  <c r="B46" i="264"/>
  <c r="B47" i="264"/>
  <c r="B48" i="264"/>
  <c r="B7" i="264"/>
  <c r="B18" i="264"/>
  <c r="B19" i="264"/>
  <c r="B35" i="264"/>
  <c r="B49" i="264"/>
  <c r="B36" i="264"/>
  <c r="B30" i="264"/>
  <c r="B38" i="264"/>
  <c r="B20" i="264"/>
  <c r="B5" i="264"/>
  <c r="B21" i="264"/>
  <c r="B22" i="264"/>
  <c r="B8" i="264"/>
  <c r="B23" i="264"/>
  <c r="B24" i="264"/>
  <c r="B9" i="264"/>
  <c r="B25" i="264"/>
  <c r="B28" i="264"/>
  <c r="B26" i="264"/>
  <c r="B10" i="264"/>
  <c r="AB6" i="263"/>
  <c r="AC6" i="263"/>
  <c r="AB7" i="263"/>
  <c r="AC7" i="263"/>
  <c r="AB8" i="263"/>
  <c r="AC8" i="263"/>
  <c r="AB9" i="263"/>
  <c r="AC9" i="263"/>
  <c r="AB10" i="263"/>
  <c r="AC10" i="263"/>
  <c r="AB11" i="263"/>
  <c r="AC11" i="263"/>
  <c r="AB12" i="263"/>
  <c r="AC12" i="263"/>
  <c r="AB13" i="263"/>
  <c r="AC13" i="263"/>
  <c r="AB14" i="263"/>
  <c r="AC14" i="263"/>
  <c r="AB15" i="263"/>
  <c r="AC15" i="263"/>
  <c r="AB16" i="263"/>
  <c r="AC16" i="263"/>
  <c r="AB17" i="263"/>
  <c r="AC17" i="263"/>
  <c r="AB18" i="263"/>
  <c r="AC18" i="263"/>
  <c r="AB19" i="263"/>
  <c r="AC19" i="263"/>
  <c r="AB20" i="263"/>
  <c r="AC20" i="263"/>
  <c r="AB21" i="263"/>
  <c r="AC21" i="263"/>
  <c r="AB22" i="263"/>
  <c r="AC22" i="263"/>
  <c r="AB23" i="263"/>
  <c r="AC23" i="263"/>
  <c r="AB24" i="263"/>
  <c r="AC24" i="263"/>
  <c r="AB25" i="263"/>
  <c r="AC25" i="263"/>
  <c r="AB26" i="263"/>
  <c r="AC26" i="263"/>
  <c r="AB27" i="263"/>
  <c r="AC27" i="263"/>
  <c r="AB28" i="263"/>
  <c r="AC28" i="263"/>
  <c r="AB29" i="263"/>
  <c r="AC29" i="263"/>
  <c r="AB30" i="263"/>
  <c r="AC30" i="263"/>
  <c r="AB31" i="263"/>
  <c r="AC31" i="263"/>
  <c r="AB32" i="263"/>
  <c r="AC32" i="263"/>
  <c r="AB33" i="263"/>
  <c r="AC33" i="263"/>
  <c r="AB34" i="263"/>
  <c r="AC34" i="263"/>
  <c r="AB35" i="263"/>
  <c r="AC35" i="263"/>
  <c r="AB36" i="263"/>
  <c r="AC36" i="263"/>
  <c r="AB37" i="263"/>
  <c r="AC37" i="263"/>
  <c r="AB38" i="263"/>
  <c r="AC38" i="263"/>
  <c r="AB39" i="263"/>
  <c r="AC39" i="263"/>
  <c r="AB40" i="263"/>
  <c r="AC40" i="263"/>
  <c r="AB41" i="263"/>
  <c r="AC41" i="263"/>
  <c r="AC5" i="263"/>
  <c r="AB5" i="263"/>
  <c r="D6" i="263"/>
  <c r="E6" i="263"/>
  <c r="F6" i="263"/>
  <c r="G6" i="263"/>
  <c r="H6" i="263"/>
  <c r="I6" i="263"/>
  <c r="J6" i="263"/>
  <c r="K6" i="263"/>
  <c r="K42" i="263" s="1"/>
  <c r="L43" i="263" s="1"/>
  <c r="L6" i="263"/>
  <c r="M6" i="263"/>
  <c r="N6" i="263"/>
  <c r="O6" i="263"/>
  <c r="P6" i="263"/>
  <c r="Q6" i="263"/>
  <c r="Q42" i="263" s="1"/>
  <c r="R6" i="263"/>
  <c r="S6" i="263"/>
  <c r="S42" i="263" s="1"/>
  <c r="T6" i="263"/>
  <c r="U6" i="263"/>
  <c r="V6" i="263"/>
  <c r="W6" i="263"/>
  <c r="X6" i="263"/>
  <c r="Y6" i="263"/>
  <c r="Z6" i="263"/>
  <c r="AA6" i="263"/>
  <c r="D7" i="263"/>
  <c r="E7" i="263"/>
  <c r="F7" i="263"/>
  <c r="G7" i="263"/>
  <c r="H7" i="263"/>
  <c r="I7" i="263"/>
  <c r="J7" i="263"/>
  <c r="K7" i="263"/>
  <c r="L7" i="263"/>
  <c r="M7" i="263"/>
  <c r="N7" i="263"/>
  <c r="O7" i="263"/>
  <c r="P7" i="263"/>
  <c r="Q7" i="263"/>
  <c r="R7" i="263"/>
  <c r="S7" i="263"/>
  <c r="T7" i="263"/>
  <c r="U7" i="263"/>
  <c r="V7" i="263"/>
  <c r="W7" i="263"/>
  <c r="X7" i="263"/>
  <c r="Y7" i="263"/>
  <c r="Z7" i="263"/>
  <c r="AA7" i="263"/>
  <c r="D8" i="263"/>
  <c r="E8" i="263"/>
  <c r="F8" i="263"/>
  <c r="G8" i="263"/>
  <c r="H8" i="263"/>
  <c r="I8" i="263"/>
  <c r="J8" i="263"/>
  <c r="K8" i="263"/>
  <c r="L8" i="263"/>
  <c r="M8" i="263"/>
  <c r="N8" i="263"/>
  <c r="O8" i="263"/>
  <c r="P8" i="263"/>
  <c r="Q8" i="263"/>
  <c r="R8" i="263"/>
  <c r="S8" i="263"/>
  <c r="T8" i="263"/>
  <c r="U8" i="263"/>
  <c r="V8" i="263"/>
  <c r="W8" i="263"/>
  <c r="X8" i="263"/>
  <c r="Y8" i="263"/>
  <c r="Z8" i="263"/>
  <c r="AA8" i="263"/>
  <c r="D9" i="263"/>
  <c r="E9" i="263"/>
  <c r="F9" i="263"/>
  <c r="G9" i="263"/>
  <c r="H9" i="263"/>
  <c r="I9" i="263"/>
  <c r="J9" i="263"/>
  <c r="K9" i="263"/>
  <c r="L9" i="263"/>
  <c r="M9" i="263"/>
  <c r="N9" i="263"/>
  <c r="O9" i="263"/>
  <c r="P9" i="263"/>
  <c r="Q9" i="263"/>
  <c r="R9" i="263"/>
  <c r="S9" i="263"/>
  <c r="T9" i="263"/>
  <c r="U9" i="263"/>
  <c r="V9" i="263"/>
  <c r="W9" i="263"/>
  <c r="X9" i="263"/>
  <c r="Y9" i="263"/>
  <c r="Z9" i="263"/>
  <c r="AA9" i="263"/>
  <c r="D10" i="263"/>
  <c r="E10" i="263"/>
  <c r="F10" i="263"/>
  <c r="G10" i="263"/>
  <c r="H10" i="263"/>
  <c r="I10" i="263"/>
  <c r="J10" i="263"/>
  <c r="K10" i="263"/>
  <c r="L10" i="263"/>
  <c r="M10" i="263"/>
  <c r="N10" i="263"/>
  <c r="O10" i="263"/>
  <c r="P10" i="263"/>
  <c r="Q10" i="263"/>
  <c r="R10" i="263"/>
  <c r="S10" i="263"/>
  <c r="T10" i="263"/>
  <c r="U10" i="263"/>
  <c r="V10" i="263"/>
  <c r="W10" i="263"/>
  <c r="X10" i="263"/>
  <c r="Y10" i="263"/>
  <c r="Z10" i="263"/>
  <c r="AA10" i="263"/>
  <c r="D11" i="263"/>
  <c r="E11" i="263"/>
  <c r="F11" i="263"/>
  <c r="G11" i="263"/>
  <c r="H11" i="263"/>
  <c r="I11" i="263"/>
  <c r="J11" i="263"/>
  <c r="K11" i="263"/>
  <c r="L11" i="263"/>
  <c r="M11" i="263"/>
  <c r="N11" i="263"/>
  <c r="O11" i="263"/>
  <c r="P11" i="263"/>
  <c r="Q11" i="263"/>
  <c r="R11" i="263"/>
  <c r="S11" i="263"/>
  <c r="T11" i="263"/>
  <c r="U11" i="263"/>
  <c r="V11" i="263"/>
  <c r="W11" i="263"/>
  <c r="X11" i="263"/>
  <c r="Y11" i="263"/>
  <c r="Z11" i="263"/>
  <c r="AA11" i="263"/>
  <c r="D12" i="263"/>
  <c r="E12" i="263"/>
  <c r="F12" i="263"/>
  <c r="G12" i="263"/>
  <c r="H12" i="263"/>
  <c r="I12" i="263"/>
  <c r="J12" i="263"/>
  <c r="K12" i="263"/>
  <c r="L12" i="263"/>
  <c r="M12" i="263"/>
  <c r="N12" i="263"/>
  <c r="O12" i="263"/>
  <c r="P12" i="263"/>
  <c r="Q12" i="263"/>
  <c r="R12" i="263"/>
  <c r="S12" i="263"/>
  <c r="T12" i="263"/>
  <c r="U12" i="263"/>
  <c r="V12" i="263"/>
  <c r="W12" i="263"/>
  <c r="X12" i="263"/>
  <c r="Y12" i="263"/>
  <c r="Z12" i="263"/>
  <c r="AA12" i="263"/>
  <c r="D13" i="263"/>
  <c r="E13" i="263"/>
  <c r="F13" i="263"/>
  <c r="G13" i="263"/>
  <c r="H13" i="263"/>
  <c r="I13" i="263"/>
  <c r="J13" i="263"/>
  <c r="K13" i="263"/>
  <c r="L13" i="263"/>
  <c r="M13" i="263"/>
  <c r="N13" i="263"/>
  <c r="O13" i="263"/>
  <c r="P13" i="263"/>
  <c r="Q13" i="263"/>
  <c r="R13" i="263"/>
  <c r="S13" i="263"/>
  <c r="T13" i="263"/>
  <c r="U13" i="263"/>
  <c r="V13" i="263"/>
  <c r="W13" i="263"/>
  <c r="X13" i="263"/>
  <c r="Y13" i="263"/>
  <c r="Z13" i="263"/>
  <c r="AA13" i="263"/>
  <c r="D14" i="263"/>
  <c r="E14" i="263"/>
  <c r="F14" i="263"/>
  <c r="G14" i="263"/>
  <c r="H14" i="263"/>
  <c r="I14" i="263"/>
  <c r="J14" i="263"/>
  <c r="K14" i="263"/>
  <c r="L14" i="263"/>
  <c r="M14" i="263"/>
  <c r="N14" i="263"/>
  <c r="O14" i="263"/>
  <c r="P14" i="263"/>
  <c r="Q14" i="263"/>
  <c r="R14" i="263"/>
  <c r="S14" i="263"/>
  <c r="T14" i="263"/>
  <c r="U14" i="263"/>
  <c r="V14" i="263"/>
  <c r="W14" i="263"/>
  <c r="X14" i="263"/>
  <c r="Y14" i="263"/>
  <c r="Z14" i="263"/>
  <c r="AA14" i="263"/>
  <c r="D15" i="263"/>
  <c r="E15" i="263"/>
  <c r="F15" i="263"/>
  <c r="G15" i="263"/>
  <c r="H15" i="263"/>
  <c r="I15" i="263"/>
  <c r="J15" i="263"/>
  <c r="K15" i="263"/>
  <c r="L15" i="263"/>
  <c r="M15" i="263"/>
  <c r="N15" i="263"/>
  <c r="O15" i="263"/>
  <c r="P15" i="263"/>
  <c r="Q15" i="263"/>
  <c r="R15" i="263"/>
  <c r="S15" i="263"/>
  <c r="T15" i="263"/>
  <c r="U15" i="263"/>
  <c r="V15" i="263"/>
  <c r="W15" i="263"/>
  <c r="X15" i="263"/>
  <c r="Y15" i="263"/>
  <c r="Z15" i="263"/>
  <c r="AA15" i="263"/>
  <c r="D16" i="263"/>
  <c r="E16" i="263"/>
  <c r="F16" i="263"/>
  <c r="G16" i="263"/>
  <c r="H16" i="263"/>
  <c r="I16" i="263"/>
  <c r="J16" i="263"/>
  <c r="K16" i="263"/>
  <c r="L16" i="263"/>
  <c r="M16" i="263"/>
  <c r="N16" i="263"/>
  <c r="O16" i="263"/>
  <c r="P16" i="263"/>
  <c r="Q16" i="263"/>
  <c r="R16" i="263"/>
  <c r="S16" i="263"/>
  <c r="T16" i="263"/>
  <c r="U16" i="263"/>
  <c r="V16" i="263"/>
  <c r="W16" i="263"/>
  <c r="X16" i="263"/>
  <c r="Y16" i="263"/>
  <c r="Z16" i="263"/>
  <c r="AA16" i="263"/>
  <c r="D17" i="263"/>
  <c r="E17" i="263"/>
  <c r="F17" i="263"/>
  <c r="G17" i="263"/>
  <c r="H17" i="263"/>
  <c r="I17" i="263"/>
  <c r="J17" i="263"/>
  <c r="K17" i="263"/>
  <c r="L17" i="263"/>
  <c r="M17" i="263"/>
  <c r="N17" i="263"/>
  <c r="O17" i="263"/>
  <c r="P17" i="263"/>
  <c r="Q17" i="263"/>
  <c r="R17" i="263"/>
  <c r="S17" i="263"/>
  <c r="T17" i="263"/>
  <c r="U17" i="263"/>
  <c r="V17" i="263"/>
  <c r="W17" i="263"/>
  <c r="X17" i="263"/>
  <c r="Y17" i="263"/>
  <c r="Z17" i="263"/>
  <c r="AA17" i="263"/>
  <c r="D18" i="263"/>
  <c r="E18" i="263"/>
  <c r="F18" i="263"/>
  <c r="G18" i="263"/>
  <c r="H18" i="263"/>
  <c r="I18" i="263"/>
  <c r="J18" i="263"/>
  <c r="K18" i="263"/>
  <c r="L18" i="263"/>
  <c r="M18" i="263"/>
  <c r="N18" i="263"/>
  <c r="O18" i="263"/>
  <c r="P18" i="263"/>
  <c r="Q18" i="263"/>
  <c r="R18" i="263"/>
  <c r="S18" i="263"/>
  <c r="T18" i="263"/>
  <c r="U18" i="263"/>
  <c r="V18" i="263"/>
  <c r="W18" i="263"/>
  <c r="X18" i="263"/>
  <c r="Y18" i="263"/>
  <c r="Z18" i="263"/>
  <c r="AA18" i="263"/>
  <c r="D19" i="263"/>
  <c r="E19" i="263"/>
  <c r="F19" i="263"/>
  <c r="G19" i="263"/>
  <c r="H19" i="263"/>
  <c r="I19" i="263"/>
  <c r="J19" i="263"/>
  <c r="K19" i="263"/>
  <c r="L19" i="263"/>
  <c r="M19" i="263"/>
  <c r="N19" i="263"/>
  <c r="O19" i="263"/>
  <c r="P19" i="263"/>
  <c r="Q19" i="263"/>
  <c r="R19" i="263"/>
  <c r="S19" i="263"/>
  <c r="T19" i="263"/>
  <c r="U19" i="263"/>
  <c r="V19" i="263"/>
  <c r="W19" i="263"/>
  <c r="X19" i="263"/>
  <c r="Y19" i="263"/>
  <c r="Z19" i="263"/>
  <c r="AA19" i="263"/>
  <c r="D20" i="263"/>
  <c r="E20" i="263"/>
  <c r="F20" i="263"/>
  <c r="G20" i="263"/>
  <c r="H20" i="263"/>
  <c r="I20" i="263"/>
  <c r="J20" i="263"/>
  <c r="K20" i="263"/>
  <c r="L20" i="263"/>
  <c r="M20" i="263"/>
  <c r="N20" i="263"/>
  <c r="O20" i="263"/>
  <c r="P20" i="263"/>
  <c r="Q20" i="263"/>
  <c r="R20" i="263"/>
  <c r="S20" i="263"/>
  <c r="T20" i="263"/>
  <c r="U20" i="263"/>
  <c r="V20" i="263"/>
  <c r="W20" i="263"/>
  <c r="X20" i="263"/>
  <c r="Y20" i="263"/>
  <c r="Z20" i="263"/>
  <c r="AA20" i="263"/>
  <c r="D21" i="263"/>
  <c r="E21" i="263"/>
  <c r="F21" i="263"/>
  <c r="G21" i="263"/>
  <c r="H21" i="263"/>
  <c r="I21" i="263"/>
  <c r="J21" i="263"/>
  <c r="K21" i="263"/>
  <c r="L21" i="263"/>
  <c r="M21" i="263"/>
  <c r="N21" i="263"/>
  <c r="O21" i="263"/>
  <c r="P21" i="263"/>
  <c r="Q21" i="263"/>
  <c r="R21" i="263"/>
  <c r="S21" i="263"/>
  <c r="T21" i="263"/>
  <c r="U21" i="263"/>
  <c r="V21" i="263"/>
  <c r="W21" i="263"/>
  <c r="X21" i="263"/>
  <c r="Y21" i="263"/>
  <c r="Z21" i="263"/>
  <c r="AA21" i="263"/>
  <c r="D22" i="263"/>
  <c r="E22" i="263"/>
  <c r="F22" i="263"/>
  <c r="G22" i="263"/>
  <c r="H22" i="263"/>
  <c r="I22" i="263"/>
  <c r="J22" i="263"/>
  <c r="K22" i="263"/>
  <c r="L22" i="263"/>
  <c r="M22" i="263"/>
  <c r="N22" i="263"/>
  <c r="O22" i="263"/>
  <c r="P22" i="263"/>
  <c r="Q22" i="263"/>
  <c r="R22" i="263"/>
  <c r="S22" i="263"/>
  <c r="T22" i="263"/>
  <c r="U22" i="263"/>
  <c r="V22" i="263"/>
  <c r="W22" i="263"/>
  <c r="X22" i="263"/>
  <c r="Y22" i="263"/>
  <c r="Z22" i="263"/>
  <c r="AA22" i="263"/>
  <c r="D23" i="263"/>
  <c r="E23" i="263"/>
  <c r="F23" i="263"/>
  <c r="G23" i="263"/>
  <c r="H23" i="263"/>
  <c r="I23" i="263"/>
  <c r="J23" i="263"/>
  <c r="K23" i="263"/>
  <c r="L23" i="263"/>
  <c r="M23" i="263"/>
  <c r="N23" i="263"/>
  <c r="O23" i="263"/>
  <c r="P23" i="263"/>
  <c r="Q23" i="263"/>
  <c r="R23" i="263"/>
  <c r="S23" i="263"/>
  <c r="T23" i="263"/>
  <c r="U23" i="263"/>
  <c r="V23" i="263"/>
  <c r="W23" i="263"/>
  <c r="X23" i="263"/>
  <c r="Y23" i="263"/>
  <c r="Z23" i="263"/>
  <c r="AA23" i="263"/>
  <c r="D24" i="263"/>
  <c r="E24" i="263"/>
  <c r="F24" i="263"/>
  <c r="G24" i="263"/>
  <c r="H24" i="263"/>
  <c r="I24" i="263"/>
  <c r="J24" i="263"/>
  <c r="K24" i="263"/>
  <c r="L24" i="263"/>
  <c r="M24" i="263"/>
  <c r="N24" i="263"/>
  <c r="O24" i="263"/>
  <c r="P24" i="263"/>
  <c r="Q24" i="263"/>
  <c r="R24" i="263"/>
  <c r="S24" i="263"/>
  <c r="T24" i="263"/>
  <c r="U24" i="263"/>
  <c r="V24" i="263"/>
  <c r="W24" i="263"/>
  <c r="X24" i="263"/>
  <c r="Y24" i="263"/>
  <c r="Z24" i="263"/>
  <c r="AA24" i="263"/>
  <c r="D25" i="263"/>
  <c r="E25" i="263"/>
  <c r="F25" i="263"/>
  <c r="G25" i="263"/>
  <c r="H25" i="263"/>
  <c r="I25" i="263"/>
  <c r="J25" i="263"/>
  <c r="K25" i="263"/>
  <c r="L25" i="263"/>
  <c r="M25" i="263"/>
  <c r="N25" i="263"/>
  <c r="O25" i="263"/>
  <c r="P25" i="263"/>
  <c r="Q25" i="263"/>
  <c r="R25" i="263"/>
  <c r="S25" i="263"/>
  <c r="T25" i="263"/>
  <c r="U25" i="263"/>
  <c r="V25" i="263"/>
  <c r="W25" i="263"/>
  <c r="X25" i="263"/>
  <c r="Y25" i="263"/>
  <c r="Z25" i="263"/>
  <c r="AA25" i="263"/>
  <c r="D26" i="263"/>
  <c r="E26" i="263"/>
  <c r="F26" i="263"/>
  <c r="G26" i="263"/>
  <c r="H26" i="263"/>
  <c r="I26" i="263"/>
  <c r="J26" i="263"/>
  <c r="K26" i="263"/>
  <c r="L26" i="263"/>
  <c r="M26" i="263"/>
  <c r="N26" i="263"/>
  <c r="O26" i="263"/>
  <c r="P26" i="263"/>
  <c r="Q26" i="263"/>
  <c r="R26" i="263"/>
  <c r="S26" i="263"/>
  <c r="T26" i="263"/>
  <c r="U26" i="263"/>
  <c r="V26" i="263"/>
  <c r="W26" i="263"/>
  <c r="X26" i="263"/>
  <c r="Y26" i="263"/>
  <c r="Z26" i="263"/>
  <c r="AA26" i="263"/>
  <c r="D27" i="263"/>
  <c r="E27" i="263"/>
  <c r="F27" i="263"/>
  <c r="G27" i="263"/>
  <c r="H27" i="263"/>
  <c r="I27" i="263"/>
  <c r="J27" i="263"/>
  <c r="K27" i="263"/>
  <c r="L27" i="263"/>
  <c r="M27" i="263"/>
  <c r="N27" i="263"/>
  <c r="O27" i="263"/>
  <c r="P27" i="263"/>
  <c r="Q27" i="263"/>
  <c r="R27" i="263"/>
  <c r="S27" i="263"/>
  <c r="T27" i="263"/>
  <c r="U27" i="263"/>
  <c r="V27" i="263"/>
  <c r="W27" i="263"/>
  <c r="X27" i="263"/>
  <c r="Y27" i="263"/>
  <c r="Z27" i="263"/>
  <c r="AA27" i="263"/>
  <c r="D28" i="263"/>
  <c r="E28" i="263"/>
  <c r="F28" i="263"/>
  <c r="G28" i="263"/>
  <c r="H28" i="263"/>
  <c r="I28" i="263"/>
  <c r="J28" i="263"/>
  <c r="K28" i="263"/>
  <c r="L28" i="263"/>
  <c r="M28" i="263"/>
  <c r="N28" i="263"/>
  <c r="O28" i="263"/>
  <c r="P28" i="263"/>
  <c r="Q28" i="263"/>
  <c r="R28" i="263"/>
  <c r="S28" i="263"/>
  <c r="T28" i="263"/>
  <c r="U28" i="263"/>
  <c r="V28" i="263"/>
  <c r="W28" i="263"/>
  <c r="X28" i="263"/>
  <c r="Y28" i="263"/>
  <c r="Z28" i="263"/>
  <c r="AA28" i="263"/>
  <c r="D29" i="263"/>
  <c r="E29" i="263"/>
  <c r="F29" i="263"/>
  <c r="G29" i="263"/>
  <c r="H29" i="263"/>
  <c r="I29" i="263"/>
  <c r="J29" i="263"/>
  <c r="K29" i="263"/>
  <c r="L29" i="263"/>
  <c r="M29" i="263"/>
  <c r="N29" i="263"/>
  <c r="O29" i="263"/>
  <c r="P29" i="263"/>
  <c r="Q29" i="263"/>
  <c r="R29" i="263"/>
  <c r="S29" i="263"/>
  <c r="T29" i="263"/>
  <c r="U29" i="263"/>
  <c r="V29" i="263"/>
  <c r="W29" i="263"/>
  <c r="X29" i="263"/>
  <c r="Y29" i="263"/>
  <c r="Z29" i="263"/>
  <c r="AA29" i="263"/>
  <c r="D30" i="263"/>
  <c r="E30" i="263"/>
  <c r="F30" i="263"/>
  <c r="G30" i="263"/>
  <c r="H30" i="263"/>
  <c r="I30" i="263"/>
  <c r="J30" i="263"/>
  <c r="K30" i="263"/>
  <c r="L30" i="263"/>
  <c r="M30" i="263"/>
  <c r="N30" i="263"/>
  <c r="O30" i="263"/>
  <c r="P30" i="263"/>
  <c r="Q30" i="263"/>
  <c r="R30" i="263"/>
  <c r="S30" i="263"/>
  <c r="T30" i="263"/>
  <c r="U30" i="263"/>
  <c r="V30" i="263"/>
  <c r="W30" i="263"/>
  <c r="X30" i="263"/>
  <c r="Y30" i="263"/>
  <c r="Z30" i="263"/>
  <c r="AA30" i="263"/>
  <c r="D31" i="263"/>
  <c r="E31" i="263"/>
  <c r="F31" i="263"/>
  <c r="G31" i="263"/>
  <c r="H31" i="263"/>
  <c r="I31" i="263"/>
  <c r="J31" i="263"/>
  <c r="K31" i="263"/>
  <c r="L31" i="263"/>
  <c r="M31" i="263"/>
  <c r="N31" i="263"/>
  <c r="O31" i="263"/>
  <c r="P31" i="263"/>
  <c r="Q31" i="263"/>
  <c r="R31" i="263"/>
  <c r="S31" i="263"/>
  <c r="T31" i="263"/>
  <c r="U31" i="263"/>
  <c r="V31" i="263"/>
  <c r="W31" i="263"/>
  <c r="X31" i="263"/>
  <c r="Y31" i="263"/>
  <c r="Z31" i="263"/>
  <c r="AA31" i="263"/>
  <c r="D32" i="263"/>
  <c r="E32" i="263"/>
  <c r="F32" i="263"/>
  <c r="G32" i="263"/>
  <c r="H32" i="263"/>
  <c r="I32" i="263"/>
  <c r="J32" i="263"/>
  <c r="K32" i="263"/>
  <c r="L32" i="263"/>
  <c r="M32" i="263"/>
  <c r="N32" i="263"/>
  <c r="O32" i="263"/>
  <c r="P32" i="263"/>
  <c r="Q32" i="263"/>
  <c r="R32" i="263"/>
  <c r="S32" i="263"/>
  <c r="T32" i="263"/>
  <c r="U32" i="263"/>
  <c r="V32" i="263"/>
  <c r="W32" i="263"/>
  <c r="X32" i="263"/>
  <c r="Y32" i="263"/>
  <c r="Z32" i="263"/>
  <c r="AA32" i="263"/>
  <c r="D33" i="263"/>
  <c r="E33" i="263"/>
  <c r="F33" i="263"/>
  <c r="G33" i="263"/>
  <c r="H33" i="263"/>
  <c r="I33" i="263"/>
  <c r="J33" i="263"/>
  <c r="K33" i="263"/>
  <c r="L33" i="263"/>
  <c r="M33" i="263"/>
  <c r="N33" i="263"/>
  <c r="O33" i="263"/>
  <c r="P33" i="263"/>
  <c r="Q33" i="263"/>
  <c r="R33" i="263"/>
  <c r="S33" i="263"/>
  <c r="T33" i="263"/>
  <c r="U33" i="263"/>
  <c r="V33" i="263"/>
  <c r="W33" i="263"/>
  <c r="X33" i="263"/>
  <c r="Y33" i="263"/>
  <c r="Z33" i="263"/>
  <c r="AA33" i="263"/>
  <c r="D34" i="263"/>
  <c r="E34" i="263"/>
  <c r="F34" i="263"/>
  <c r="G34" i="263"/>
  <c r="H34" i="263"/>
  <c r="I34" i="263"/>
  <c r="J34" i="263"/>
  <c r="K34" i="263"/>
  <c r="L34" i="263"/>
  <c r="M34" i="263"/>
  <c r="N34" i="263"/>
  <c r="O34" i="263"/>
  <c r="P34" i="263"/>
  <c r="Q34" i="263"/>
  <c r="R34" i="263"/>
  <c r="S34" i="263"/>
  <c r="T34" i="263"/>
  <c r="U34" i="263"/>
  <c r="V34" i="263"/>
  <c r="W34" i="263"/>
  <c r="X34" i="263"/>
  <c r="Y34" i="263"/>
  <c r="Z34" i="263"/>
  <c r="AA34" i="263"/>
  <c r="D35" i="263"/>
  <c r="E35" i="263"/>
  <c r="F35" i="263"/>
  <c r="G35" i="263"/>
  <c r="H35" i="263"/>
  <c r="I35" i="263"/>
  <c r="J35" i="263"/>
  <c r="K35" i="263"/>
  <c r="L35" i="263"/>
  <c r="M35" i="263"/>
  <c r="N35" i="263"/>
  <c r="O35" i="263"/>
  <c r="P35" i="263"/>
  <c r="Q35" i="263"/>
  <c r="R35" i="263"/>
  <c r="S35" i="263"/>
  <c r="T35" i="263"/>
  <c r="U35" i="263"/>
  <c r="V35" i="263"/>
  <c r="W35" i="263"/>
  <c r="X35" i="263"/>
  <c r="Y35" i="263"/>
  <c r="Z35" i="263"/>
  <c r="AA35" i="263"/>
  <c r="D36" i="263"/>
  <c r="E36" i="263"/>
  <c r="F36" i="263"/>
  <c r="G36" i="263"/>
  <c r="H36" i="263"/>
  <c r="I36" i="263"/>
  <c r="J36" i="263"/>
  <c r="K36" i="263"/>
  <c r="L36" i="263"/>
  <c r="M36" i="263"/>
  <c r="N36" i="263"/>
  <c r="O36" i="263"/>
  <c r="P36" i="263"/>
  <c r="Q36" i="263"/>
  <c r="R36" i="263"/>
  <c r="S36" i="263"/>
  <c r="T36" i="263"/>
  <c r="U36" i="263"/>
  <c r="V36" i="263"/>
  <c r="W36" i="263"/>
  <c r="X36" i="263"/>
  <c r="Y36" i="263"/>
  <c r="Z36" i="263"/>
  <c r="AA36" i="263"/>
  <c r="D37" i="263"/>
  <c r="E37" i="263"/>
  <c r="F37" i="263"/>
  <c r="G37" i="263"/>
  <c r="H37" i="263"/>
  <c r="I37" i="263"/>
  <c r="J37" i="263"/>
  <c r="K37" i="263"/>
  <c r="L37" i="263"/>
  <c r="M37" i="263"/>
  <c r="N37" i="263"/>
  <c r="O37" i="263"/>
  <c r="P37" i="263"/>
  <c r="Q37" i="263"/>
  <c r="R37" i="263"/>
  <c r="S37" i="263"/>
  <c r="T37" i="263"/>
  <c r="U37" i="263"/>
  <c r="V37" i="263"/>
  <c r="W37" i="263"/>
  <c r="X37" i="263"/>
  <c r="Y37" i="263"/>
  <c r="Z37" i="263"/>
  <c r="AA37" i="263"/>
  <c r="D38" i="263"/>
  <c r="E38" i="263"/>
  <c r="F38" i="263"/>
  <c r="G38" i="263"/>
  <c r="H38" i="263"/>
  <c r="I38" i="263"/>
  <c r="J38" i="263"/>
  <c r="K38" i="263"/>
  <c r="L38" i="263"/>
  <c r="M38" i="263"/>
  <c r="N38" i="263"/>
  <c r="O38" i="263"/>
  <c r="P38" i="263"/>
  <c r="Q38" i="263"/>
  <c r="R38" i="263"/>
  <c r="S38" i="263"/>
  <c r="T38" i="263"/>
  <c r="U38" i="263"/>
  <c r="V38" i="263"/>
  <c r="W38" i="263"/>
  <c r="X38" i="263"/>
  <c r="Y38" i="263"/>
  <c r="Z38" i="263"/>
  <c r="AA38" i="263"/>
  <c r="D39" i="263"/>
  <c r="E39" i="263"/>
  <c r="F39" i="263"/>
  <c r="G39" i="263"/>
  <c r="H39" i="263"/>
  <c r="I39" i="263"/>
  <c r="J39" i="263"/>
  <c r="K39" i="263"/>
  <c r="L39" i="263"/>
  <c r="M39" i="263"/>
  <c r="N39" i="263"/>
  <c r="O39" i="263"/>
  <c r="P39" i="263"/>
  <c r="Q39" i="263"/>
  <c r="R39" i="263"/>
  <c r="S39" i="263"/>
  <c r="T39" i="263"/>
  <c r="U39" i="263"/>
  <c r="V39" i="263"/>
  <c r="W39" i="263"/>
  <c r="X39" i="263"/>
  <c r="Y39" i="263"/>
  <c r="Z39" i="263"/>
  <c r="AA39" i="263"/>
  <c r="D40" i="263"/>
  <c r="E40" i="263"/>
  <c r="F40" i="263"/>
  <c r="G40" i="263"/>
  <c r="H40" i="263"/>
  <c r="I40" i="263"/>
  <c r="J40" i="263"/>
  <c r="K40" i="263"/>
  <c r="L40" i="263"/>
  <c r="M40" i="263"/>
  <c r="N40" i="263"/>
  <c r="O40" i="263"/>
  <c r="P40" i="263"/>
  <c r="Q40" i="263"/>
  <c r="R40" i="263"/>
  <c r="S40" i="263"/>
  <c r="T40" i="263"/>
  <c r="U40" i="263"/>
  <c r="V40" i="263"/>
  <c r="W40" i="263"/>
  <c r="X40" i="263"/>
  <c r="Y40" i="263"/>
  <c r="Z40" i="263"/>
  <c r="AA40" i="263"/>
  <c r="D41" i="263"/>
  <c r="E41" i="263"/>
  <c r="F41" i="263"/>
  <c r="G41" i="263"/>
  <c r="H41" i="263"/>
  <c r="I41" i="263"/>
  <c r="J41" i="263"/>
  <c r="K41" i="263"/>
  <c r="L41" i="263"/>
  <c r="M41" i="263"/>
  <c r="N41" i="263"/>
  <c r="O41" i="263"/>
  <c r="P41" i="263"/>
  <c r="Q41" i="263"/>
  <c r="R41" i="263"/>
  <c r="S41" i="263"/>
  <c r="T41" i="263"/>
  <c r="U41" i="263"/>
  <c r="V41" i="263"/>
  <c r="W41" i="263"/>
  <c r="X41" i="263"/>
  <c r="Y41" i="263"/>
  <c r="Z41" i="263"/>
  <c r="AA41" i="263"/>
  <c r="E5" i="263"/>
  <c r="F5" i="263"/>
  <c r="G5" i="263"/>
  <c r="H5" i="263"/>
  <c r="I5" i="263"/>
  <c r="J5" i="263"/>
  <c r="K5" i="263"/>
  <c r="L5" i="263"/>
  <c r="M5" i="263"/>
  <c r="N5" i="263"/>
  <c r="O5" i="263"/>
  <c r="P5" i="263"/>
  <c r="Q5" i="263"/>
  <c r="R5" i="263"/>
  <c r="S5" i="263"/>
  <c r="T5" i="263"/>
  <c r="U5" i="263"/>
  <c r="V5" i="263"/>
  <c r="W5" i="263"/>
  <c r="X5" i="263"/>
  <c r="Y5" i="263"/>
  <c r="Z5" i="263"/>
  <c r="AA5" i="263"/>
  <c r="D5" i="263"/>
  <c r="C6" i="263"/>
  <c r="C7" i="263"/>
  <c r="C8" i="263"/>
  <c r="C9" i="263"/>
  <c r="C10" i="263"/>
  <c r="C11" i="263"/>
  <c r="C12" i="263"/>
  <c r="C13" i="263"/>
  <c r="C14" i="263"/>
  <c r="C15" i="263"/>
  <c r="C16" i="263"/>
  <c r="C17" i="263"/>
  <c r="C18" i="263"/>
  <c r="C19" i="263"/>
  <c r="C20" i="263"/>
  <c r="C21" i="263"/>
  <c r="C22" i="263"/>
  <c r="C23" i="263"/>
  <c r="C24" i="263"/>
  <c r="C25" i="263"/>
  <c r="C26" i="263"/>
  <c r="C27" i="263"/>
  <c r="C28" i="263"/>
  <c r="C29" i="263"/>
  <c r="C30" i="263"/>
  <c r="C31" i="263"/>
  <c r="C32" i="263"/>
  <c r="C33" i="263"/>
  <c r="C34" i="263"/>
  <c r="C35" i="263"/>
  <c r="C36" i="263"/>
  <c r="C37" i="263"/>
  <c r="C38" i="263"/>
  <c r="C39" i="263"/>
  <c r="C40" i="263"/>
  <c r="C41" i="263"/>
  <c r="C5" i="263"/>
  <c r="B6" i="263"/>
  <c r="B7" i="263"/>
  <c r="B8" i="263"/>
  <c r="B9" i="263"/>
  <c r="B10" i="263"/>
  <c r="B11" i="263"/>
  <c r="B12" i="263"/>
  <c r="B13" i="263"/>
  <c r="B14" i="263"/>
  <c r="B15" i="263"/>
  <c r="B16" i="263"/>
  <c r="B17" i="263"/>
  <c r="B18" i="263"/>
  <c r="B19" i="263"/>
  <c r="B20" i="263"/>
  <c r="B21" i="263"/>
  <c r="B22" i="263"/>
  <c r="B23" i="263"/>
  <c r="B24" i="263"/>
  <c r="B25" i="263"/>
  <c r="B26" i="263"/>
  <c r="B27" i="263"/>
  <c r="B28" i="263"/>
  <c r="B29" i="263"/>
  <c r="B30" i="263"/>
  <c r="B31" i="263"/>
  <c r="B32" i="263"/>
  <c r="B33" i="263"/>
  <c r="B34" i="263"/>
  <c r="B35" i="263"/>
  <c r="B36" i="263"/>
  <c r="B37" i="263"/>
  <c r="B38" i="263"/>
  <c r="B39" i="263"/>
  <c r="B40" i="263"/>
  <c r="B41" i="263"/>
  <c r="B5" i="263"/>
  <c r="Z42" i="263"/>
  <c r="X42" i="263"/>
  <c r="W42" i="263"/>
  <c r="R42" i="263"/>
  <c r="J42" i="263"/>
  <c r="H42" i="263"/>
  <c r="G42" i="263"/>
  <c r="E42" i="263"/>
  <c r="D42" i="263"/>
  <c r="A6" i="263"/>
  <c r="A7" i="263" s="1"/>
  <c r="A8" i="263" s="1"/>
  <c r="A9" i="263" s="1"/>
  <c r="A10" i="263" s="1"/>
  <c r="A11" i="263" s="1"/>
  <c r="A12" i="263" s="1"/>
  <c r="A13" i="263" s="1"/>
  <c r="A14" i="263" s="1"/>
  <c r="A15" i="263" s="1"/>
  <c r="A16" i="263" s="1"/>
  <c r="A17" i="263" s="1"/>
  <c r="A18" i="263" s="1"/>
  <c r="A19" i="263" s="1"/>
  <c r="A20" i="263" s="1"/>
  <c r="A21" i="263" s="1"/>
  <c r="A22" i="263" s="1"/>
  <c r="A23" i="263" s="1"/>
  <c r="A24" i="263" s="1"/>
  <c r="A25" i="263" s="1"/>
  <c r="A26" i="263" s="1"/>
  <c r="A27" i="263" s="1"/>
  <c r="A28" i="263" s="1"/>
  <c r="A29" i="263" s="1"/>
  <c r="A30" i="263" s="1"/>
  <c r="A31" i="263" s="1"/>
  <c r="A32" i="263" s="1"/>
  <c r="A33" i="263" s="1"/>
  <c r="A34" i="263" s="1"/>
  <c r="A35" i="263" s="1"/>
  <c r="A36" i="263" s="1"/>
  <c r="A37" i="263" s="1"/>
  <c r="A38" i="263" s="1"/>
  <c r="A39" i="263" s="1"/>
  <c r="A40" i="263" s="1"/>
  <c r="A41" i="263" s="1"/>
  <c r="A42" i="263" s="1"/>
  <c r="E17" i="73"/>
  <c r="E16" i="73"/>
  <c r="E15" i="73"/>
  <c r="F9" i="73"/>
  <c r="F7" i="73"/>
  <c r="A14" i="262"/>
  <c r="E15" i="262"/>
  <c r="F15" i="262"/>
  <c r="F16" i="262" s="1"/>
  <c r="G15" i="262"/>
  <c r="H15" i="262"/>
  <c r="H16" i="262" s="1"/>
  <c r="I15" i="262"/>
  <c r="J15" i="262"/>
  <c r="K15" i="262"/>
  <c r="L15" i="262"/>
  <c r="L16" i="262" s="1"/>
  <c r="M15" i="262"/>
  <c r="N15" i="262"/>
  <c r="N16" i="262" s="1"/>
  <c r="O15" i="262"/>
  <c r="P15" i="262"/>
  <c r="P16" i="262" s="1"/>
  <c r="Q15" i="262"/>
  <c r="R15" i="262"/>
  <c r="S15" i="262"/>
  <c r="T15" i="262"/>
  <c r="T16" i="262" s="1"/>
  <c r="U15" i="262"/>
  <c r="V15" i="262"/>
  <c r="V16" i="262" s="1"/>
  <c r="W15" i="262"/>
  <c r="E16" i="262"/>
  <c r="G16" i="262"/>
  <c r="I16" i="262"/>
  <c r="J16" i="262"/>
  <c r="K16" i="262"/>
  <c r="M16" i="262"/>
  <c r="O16" i="262"/>
  <c r="Q16" i="262"/>
  <c r="R16" i="262"/>
  <c r="S16" i="262"/>
  <c r="U16" i="262"/>
  <c r="W16" i="262"/>
  <c r="D16" i="262"/>
  <c r="D15" i="262"/>
  <c r="E13" i="262"/>
  <c r="F13" i="262"/>
  <c r="G13" i="262"/>
  <c r="H13" i="262"/>
  <c r="I13" i="262"/>
  <c r="J13" i="262"/>
  <c r="K13" i="262"/>
  <c r="L13" i="262"/>
  <c r="M13" i="262"/>
  <c r="N13" i="262"/>
  <c r="O13" i="262"/>
  <c r="P13" i="262"/>
  <c r="Q13" i="262"/>
  <c r="R13" i="262"/>
  <c r="S13" i="262"/>
  <c r="T13" i="262"/>
  <c r="U13" i="262"/>
  <c r="V13" i="262"/>
  <c r="W13" i="262"/>
  <c r="D13" i="262"/>
  <c r="AC8" i="262"/>
  <c r="AC9" i="262"/>
  <c r="AC10" i="262"/>
  <c r="AC11" i="262"/>
  <c r="AC5" i="262"/>
  <c r="AC12" i="262"/>
  <c r="AC6" i="262"/>
  <c r="AC7" i="262"/>
  <c r="AC14" i="262"/>
  <c r="AB8" i="262"/>
  <c r="AB9" i="262"/>
  <c r="AB10" i="262"/>
  <c r="AB11" i="262"/>
  <c r="AB5" i="262"/>
  <c r="AB12" i="262"/>
  <c r="AB6" i="262"/>
  <c r="AB7" i="262"/>
  <c r="AB14" i="262"/>
  <c r="D8" i="262"/>
  <c r="E8" i="262"/>
  <c r="F8" i="262"/>
  <c r="G8" i="262"/>
  <c r="H8" i="262"/>
  <c r="I8" i="262"/>
  <c r="J8" i="262"/>
  <c r="K8" i="262"/>
  <c r="L8" i="262"/>
  <c r="M8" i="262"/>
  <c r="N8" i="262"/>
  <c r="O8" i="262"/>
  <c r="P8" i="262"/>
  <c r="Q8" i="262"/>
  <c r="R8" i="262"/>
  <c r="S8" i="262"/>
  <c r="T8" i="262"/>
  <c r="U8" i="262"/>
  <c r="V8" i="262"/>
  <c r="W8" i="262"/>
  <c r="D9" i="262"/>
  <c r="E9" i="262"/>
  <c r="F9" i="262"/>
  <c r="G9" i="262"/>
  <c r="H9" i="262"/>
  <c r="I9" i="262"/>
  <c r="J9" i="262"/>
  <c r="K9" i="262"/>
  <c r="L9" i="262"/>
  <c r="M9" i="262"/>
  <c r="N9" i="262"/>
  <c r="O9" i="262"/>
  <c r="P9" i="262"/>
  <c r="Q9" i="262"/>
  <c r="R9" i="262"/>
  <c r="S9" i="262"/>
  <c r="T9" i="262"/>
  <c r="U9" i="262"/>
  <c r="V9" i="262"/>
  <c r="W9" i="262"/>
  <c r="D10" i="262"/>
  <c r="E10" i="262"/>
  <c r="F10" i="262"/>
  <c r="G10" i="262"/>
  <c r="H10" i="262"/>
  <c r="I10" i="262"/>
  <c r="J10" i="262"/>
  <c r="K10" i="262"/>
  <c r="L10" i="262"/>
  <c r="M10" i="262"/>
  <c r="N10" i="262"/>
  <c r="O10" i="262"/>
  <c r="P10" i="262"/>
  <c r="Q10" i="262"/>
  <c r="R10" i="262"/>
  <c r="S10" i="262"/>
  <c r="T10" i="262"/>
  <c r="U10" i="262"/>
  <c r="V10" i="262"/>
  <c r="W10" i="262"/>
  <c r="D11" i="262"/>
  <c r="E11" i="262"/>
  <c r="F11" i="262"/>
  <c r="G11" i="262"/>
  <c r="H11" i="262"/>
  <c r="I11" i="262"/>
  <c r="J11" i="262"/>
  <c r="K11" i="262"/>
  <c r="L11" i="262"/>
  <c r="M11" i="262"/>
  <c r="N11" i="262"/>
  <c r="O11" i="262"/>
  <c r="P11" i="262"/>
  <c r="Q11" i="262"/>
  <c r="R11" i="262"/>
  <c r="S11" i="262"/>
  <c r="T11" i="262"/>
  <c r="U11" i="262"/>
  <c r="V11" i="262"/>
  <c r="W11" i="262"/>
  <c r="D5" i="262"/>
  <c r="E5" i="262"/>
  <c r="F5" i="262"/>
  <c r="G5" i="262"/>
  <c r="H5" i="262"/>
  <c r="I5" i="262"/>
  <c r="J5" i="262"/>
  <c r="K5" i="262"/>
  <c r="L5" i="262"/>
  <c r="M5" i="262"/>
  <c r="N5" i="262"/>
  <c r="O5" i="262"/>
  <c r="P5" i="262"/>
  <c r="Q5" i="262"/>
  <c r="R5" i="262"/>
  <c r="S5" i="262"/>
  <c r="T5" i="262"/>
  <c r="U5" i="262"/>
  <c r="V5" i="262"/>
  <c r="W5" i="262"/>
  <c r="D12" i="262"/>
  <c r="E12" i="262"/>
  <c r="F12" i="262"/>
  <c r="G12" i="262"/>
  <c r="H12" i="262"/>
  <c r="I12" i="262"/>
  <c r="J12" i="262"/>
  <c r="K12" i="262"/>
  <c r="L12" i="262"/>
  <c r="M12" i="262"/>
  <c r="N12" i="262"/>
  <c r="O12" i="262"/>
  <c r="P12" i="262"/>
  <c r="Q12" i="262"/>
  <c r="R12" i="262"/>
  <c r="S12" i="262"/>
  <c r="T12" i="262"/>
  <c r="U12" i="262"/>
  <c r="V12" i="262"/>
  <c r="W12" i="262"/>
  <c r="D6" i="262"/>
  <c r="E6" i="262"/>
  <c r="F6" i="262"/>
  <c r="G6" i="262"/>
  <c r="H6" i="262"/>
  <c r="I6" i="262"/>
  <c r="J6" i="262"/>
  <c r="K6" i="262"/>
  <c r="L6" i="262"/>
  <c r="M6" i="262"/>
  <c r="N6" i="262"/>
  <c r="O6" i="262"/>
  <c r="P6" i="262"/>
  <c r="Q6" i="262"/>
  <c r="R6" i="262"/>
  <c r="S6" i="262"/>
  <c r="T6" i="262"/>
  <c r="U6" i="262"/>
  <c r="V6" i="262"/>
  <c r="W6" i="262"/>
  <c r="D7" i="262"/>
  <c r="E7" i="262"/>
  <c r="F7" i="262"/>
  <c r="G7" i="262"/>
  <c r="H7" i="262"/>
  <c r="I7" i="262"/>
  <c r="J7" i="262"/>
  <c r="K7" i="262"/>
  <c r="L7" i="262"/>
  <c r="M7" i="262"/>
  <c r="N7" i="262"/>
  <c r="O7" i="262"/>
  <c r="P7" i="262"/>
  <c r="Q7" i="262"/>
  <c r="R7" i="262"/>
  <c r="S7" i="262"/>
  <c r="T7" i="262"/>
  <c r="U7" i="262"/>
  <c r="V7" i="262"/>
  <c r="W7" i="262"/>
  <c r="E14" i="262"/>
  <c r="F14" i="262"/>
  <c r="G14" i="262"/>
  <c r="H14" i="262"/>
  <c r="I14" i="262"/>
  <c r="J14" i="262"/>
  <c r="K14" i="262"/>
  <c r="L14" i="262"/>
  <c r="M14" i="262"/>
  <c r="N14" i="262"/>
  <c r="O14" i="262"/>
  <c r="P14" i="262"/>
  <c r="Q14" i="262"/>
  <c r="R14" i="262"/>
  <c r="S14" i="262"/>
  <c r="T14" i="262"/>
  <c r="U14" i="262"/>
  <c r="V14" i="262"/>
  <c r="W14" i="262"/>
  <c r="D14" i="262"/>
  <c r="C8" i="262"/>
  <c r="C9" i="262"/>
  <c r="C10" i="262"/>
  <c r="C11" i="262"/>
  <c r="C5" i="262"/>
  <c r="C12" i="262"/>
  <c r="C6" i="262"/>
  <c r="C7" i="262"/>
  <c r="C14" i="262"/>
  <c r="B8" i="262"/>
  <c r="B9" i="262"/>
  <c r="B10" i="262"/>
  <c r="B11" i="262"/>
  <c r="B5" i="262"/>
  <c r="B12" i="262"/>
  <c r="B6" i="262"/>
  <c r="B7" i="262"/>
  <c r="B14" i="262"/>
  <c r="AB6" i="261"/>
  <c r="AC6" i="261"/>
  <c r="AB7" i="261"/>
  <c r="AC7" i="261"/>
  <c r="AB8" i="261"/>
  <c r="AC8" i="261"/>
  <c r="AB9" i="261"/>
  <c r="AC9" i="261"/>
  <c r="AB10" i="261"/>
  <c r="AC10" i="261"/>
  <c r="AB11" i="261"/>
  <c r="AC11" i="261"/>
  <c r="AB12" i="261"/>
  <c r="AC12" i="261"/>
  <c r="AB13" i="261"/>
  <c r="AC13" i="261"/>
  <c r="AB14" i="261"/>
  <c r="AC14" i="261"/>
  <c r="AB15" i="261"/>
  <c r="AC15" i="261"/>
  <c r="AB16" i="261"/>
  <c r="AC16" i="261"/>
  <c r="AB17" i="261"/>
  <c r="AC17" i="261"/>
  <c r="AB18" i="261"/>
  <c r="AC18" i="261"/>
  <c r="AB19" i="261"/>
  <c r="AC19" i="261"/>
  <c r="AB20" i="261"/>
  <c r="AC20" i="261"/>
  <c r="AB21" i="261"/>
  <c r="AC21" i="261"/>
  <c r="AB22" i="261"/>
  <c r="AC22" i="261"/>
  <c r="AB23" i="261"/>
  <c r="AC23" i="261"/>
  <c r="AB24" i="261"/>
  <c r="AC24" i="261"/>
  <c r="AB25" i="261"/>
  <c r="AC25" i="261"/>
  <c r="AC5" i="261"/>
  <c r="AB5" i="261"/>
  <c r="D6" i="261"/>
  <c r="E6" i="261"/>
  <c r="G6" i="261"/>
  <c r="H6" i="261"/>
  <c r="I6" i="261"/>
  <c r="J6" i="261"/>
  <c r="N6" i="261"/>
  <c r="Q6" i="261"/>
  <c r="R6" i="261"/>
  <c r="V6" i="261"/>
  <c r="X6" i="261"/>
  <c r="Y6" i="261"/>
  <c r="Z6" i="261"/>
  <c r="AA6" i="261"/>
  <c r="D7" i="261"/>
  <c r="E7" i="261"/>
  <c r="G7" i="261"/>
  <c r="H7" i="261"/>
  <c r="I7" i="261"/>
  <c r="J7" i="261"/>
  <c r="Q7" i="261"/>
  <c r="R7" i="261"/>
  <c r="V7" i="261"/>
  <c r="X7" i="261"/>
  <c r="Y7" i="261"/>
  <c r="Z7" i="261"/>
  <c r="D8" i="261"/>
  <c r="E8" i="261"/>
  <c r="G8" i="261"/>
  <c r="H8" i="261"/>
  <c r="I8" i="261"/>
  <c r="J8" i="261"/>
  <c r="N8" i="261"/>
  <c r="Q8" i="261"/>
  <c r="R8" i="261"/>
  <c r="V8" i="261"/>
  <c r="X8" i="261"/>
  <c r="Y8" i="261"/>
  <c r="Z8" i="261"/>
  <c r="AA8" i="261"/>
  <c r="D9" i="261"/>
  <c r="E9" i="261"/>
  <c r="G9" i="261"/>
  <c r="H9" i="261"/>
  <c r="I9" i="261"/>
  <c r="J9" i="261"/>
  <c r="N9" i="261"/>
  <c r="Q9" i="261"/>
  <c r="R9" i="261"/>
  <c r="V9" i="261"/>
  <c r="X9" i="261"/>
  <c r="Y9" i="261"/>
  <c r="Z9" i="261"/>
  <c r="AA9" i="261"/>
  <c r="D10" i="261"/>
  <c r="E10" i="261"/>
  <c r="G10" i="261"/>
  <c r="H10" i="261"/>
  <c r="I10" i="261"/>
  <c r="J10" i="261"/>
  <c r="N10" i="261"/>
  <c r="Q10" i="261"/>
  <c r="R10" i="261"/>
  <c r="V10" i="261"/>
  <c r="X10" i="261"/>
  <c r="Y10" i="261"/>
  <c r="Z10" i="261"/>
  <c r="AA10" i="261"/>
  <c r="D11" i="261"/>
  <c r="E11" i="261"/>
  <c r="G11" i="261"/>
  <c r="H11" i="261"/>
  <c r="I11" i="261"/>
  <c r="J11" i="261"/>
  <c r="N11" i="261"/>
  <c r="Q11" i="261"/>
  <c r="R11" i="261"/>
  <c r="V11" i="261"/>
  <c r="X11" i="261"/>
  <c r="Y11" i="261"/>
  <c r="Z11" i="261"/>
  <c r="AA11" i="261"/>
  <c r="D12" i="261"/>
  <c r="E12" i="261"/>
  <c r="G12" i="261"/>
  <c r="H12" i="261"/>
  <c r="I12" i="261"/>
  <c r="J12" i="261"/>
  <c r="N12" i="261"/>
  <c r="Q12" i="261"/>
  <c r="R12" i="261"/>
  <c r="V12" i="261"/>
  <c r="X12" i="261"/>
  <c r="Y12" i="261"/>
  <c r="Z12" i="261"/>
  <c r="AA12" i="261"/>
  <c r="D13" i="261"/>
  <c r="G13" i="261"/>
  <c r="H13" i="261"/>
  <c r="I13" i="261"/>
  <c r="J13" i="261"/>
  <c r="Q13" i="261"/>
  <c r="R13" i="261"/>
  <c r="V13" i="261"/>
  <c r="X13" i="261"/>
  <c r="Y13" i="261"/>
  <c r="Z13" i="261"/>
  <c r="AA13" i="261"/>
  <c r="D14" i="261"/>
  <c r="E14" i="261"/>
  <c r="G14" i="261"/>
  <c r="H14" i="261"/>
  <c r="I14" i="261"/>
  <c r="J14" i="261"/>
  <c r="N14" i="261"/>
  <c r="Q14" i="261"/>
  <c r="R14" i="261"/>
  <c r="V14" i="261"/>
  <c r="X14" i="261"/>
  <c r="Y14" i="261"/>
  <c r="Z14" i="261"/>
  <c r="AA14" i="261"/>
  <c r="D15" i="261"/>
  <c r="E15" i="261"/>
  <c r="G15" i="261"/>
  <c r="H15" i="261"/>
  <c r="I15" i="261"/>
  <c r="J15" i="261"/>
  <c r="N15" i="261"/>
  <c r="Q15" i="261"/>
  <c r="R15" i="261"/>
  <c r="V15" i="261"/>
  <c r="X15" i="261"/>
  <c r="Y15" i="261"/>
  <c r="Z15" i="261"/>
  <c r="AA15" i="261"/>
  <c r="D16" i="261"/>
  <c r="E16" i="261"/>
  <c r="G16" i="261"/>
  <c r="H16" i="261"/>
  <c r="I16" i="261"/>
  <c r="J16" i="261"/>
  <c r="N16" i="261"/>
  <c r="Q16" i="261"/>
  <c r="R16" i="261"/>
  <c r="V16" i="261"/>
  <c r="X16" i="261"/>
  <c r="Y16" i="261"/>
  <c r="Z16" i="261"/>
  <c r="AA16" i="261"/>
  <c r="D17" i="261"/>
  <c r="E17" i="261"/>
  <c r="G17" i="261"/>
  <c r="H17" i="261"/>
  <c r="I17" i="261"/>
  <c r="J17" i="261"/>
  <c r="N17" i="261"/>
  <c r="Q17" i="261"/>
  <c r="R17" i="261"/>
  <c r="V17" i="261"/>
  <c r="X17" i="261"/>
  <c r="Y17" i="261"/>
  <c r="Z17" i="261"/>
  <c r="AA17" i="261"/>
  <c r="D18" i="261"/>
  <c r="E18" i="261"/>
  <c r="G18" i="261"/>
  <c r="H18" i="261"/>
  <c r="I18" i="261"/>
  <c r="J18" i="261"/>
  <c r="N18" i="261"/>
  <c r="Q18" i="261"/>
  <c r="R18" i="261"/>
  <c r="V18" i="261"/>
  <c r="X18" i="261"/>
  <c r="Y18" i="261"/>
  <c r="Z18" i="261"/>
  <c r="AA18" i="261"/>
  <c r="D19" i="261"/>
  <c r="E19" i="261"/>
  <c r="G19" i="261"/>
  <c r="H19" i="261"/>
  <c r="I19" i="261"/>
  <c r="J19" i="261"/>
  <c r="N19" i="261"/>
  <c r="Q19" i="261"/>
  <c r="R19" i="261"/>
  <c r="V19" i="261"/>
  <c r="X19" i="261"/>
  <c r="Y19" i="261"/>
  <c r="Z19" i="261"/>
  <c r="AA19" i="261"/>
  <c r="D20" i="261"/>
  <c r="E20" i="261"/>
  <c r="G20" i="261"/>
  <c r="H20" i="261"/>
  <c r="I20" i="261"/>
  <c r="J20" i="261"/>
  <c r="Q20" i="261"/>
  <c r="R20" i="261"/>
  <c r="V20" i="261"/>
  <c r="X20" i="261"/>
  <c r="Y20" i="261"/>
  <c r="Z20" i="261"/>
  <c r="AA20" i="261"/>
  <c r="D21" i="261"/>
  <c r="E21" i="261"/>
  <c r="G21" i="261"/>
  <c r="H21" i="261"/>
  <c r="I21" i="261"/>
  <c r="J21" i="261"/>
  <c r="N21" i="261"/>
  <c r="Q21" i="261"/>
  <c r="R21" i="261"/>
  <c r="V21" i="261"/>
  <c r="X21" i="261"/>
  <c r="Y21" i="261"/>
  <c r="Z21" i="261"/>
  <c r="AA21" i="261"/>
  <c r="D22" i="261"/>
  <c r="E22" i="261"/>
  <c r="G22" i="261"/>
  <c r="H22" i="261"/>
  <c r="I22" i="261"/>
  <c r="J22" i="261"/>
  <c r="N22" i="261"/>
  <c r="Q22" i="261"/>
  <c r="R22" i="261"/>
  <c r="V22" i="261"/>
  <c r="X22" i="261"/>
  <c r="Y22" i="261"/>
  <c r="Z22" i="261"/>
  <c r="AA22" i="261"/>
  <c r="D23" i="261"/>
  <c r="E23" i="261"/>
  <c r="G23" i="261"/>
  <c r="H23" i="261"/>
  <c r="I23" i="261"/>
  <c r="J23" i="261"/>
  <c r="N23" i="261"/>
  <c r="Q23" i="261"/>
  <c r="R23" i="261"/>
  <c r="V23" i="261"/>
  <c r="X23" i="261"/>
  <c r="Y23" i="261"/>
  <c r="Z23" i="261"/>
  <c r="D24" i="261"/>
  <c r="E24" i="261"/>
  <c r="G24" i="261"/>
  <c r="H24" i="261"/>
  <c r="I24" i="261"/>
  <c r="J24" i="261"/>
  <c r="Q24" i="261"/>
  <c r="R24" i="261"/>
  <c r="V24" i="261"/>
  <c r="X24" i="261"/>
  <c r="Y24" i="261"/>
  <c r="Z24" i="261"/>
  <c r="AA24" i="261"/>
  <c r="D25" i="261"/>
  <c r="E25" i="261"/>
  <c r="G25" i="261"/>
  <c r="H25" i="261"/>
  <c r="I25" i="261"/>
  <c r="J25" i="261"/>
  <c r="Q25" i="261"/>
  <c r="R25" i="261"/>
  <c r="V25" i="261"/>
  <c r="X25" i="261"/>
  <c r="Y25" i="261"/>
  <c r="Z25" i="261"/>
  <c r="AA25" i="261"/>
  <c r="E5" i="261"/>
  <c r="G5" i="261"/>
  <c r="H5" i="261"/>
  <c r="I5" i="261"/>
  <c r="J5" i="261"/>
  <c r="Q5" i="261"/>
  <c r="R5" i="261"/>
  <c r="V5" i="261"/>
  <c r="X5" i="261"/>
  <c r="Y5" i="261"/>
  <c r="Z5" i="261"/>
  <c r="AA5" i="261"/>
  <c r="D5" i="261"/>
  <c r="C6" i="261"/>
  <c r="C7" i="261"/>
  <c r="C8" i="261"/>
  <c r="C9" i="261"/>
  <c r="C10" i="261"/>
  <c r="C11" i="261"/>
  <c r="C12" i="261"/>
  <c r="C13" i="261"/>
  <c r="C14" i="261"/>
  <c r="C15" i="261"/>
  <c r="C16" i="261"/>
  <c r="C17" i="261"/>
  <c r="C18" i="261"/>
  <c r="C19" i="261"/>
  <c r="C20" i="261"/>
  <c r="C21" i="261"/>
  <c r="C22" i="261"/>
  <c r="C23" i="261"/>
  <c r="C24" i="261"/>
  <c r="C25" i="261"/>
  <c r="C5" i="261"/>
  <c r="B6" i="261"/>
  <c r="B7" i="261"/>
  <c r="B8" i="261"/>
  <c r="B9" i="261"/>
  <c r="B10" i="261"/>
  <c r="B11" i="261"/>
  <c r="B12" i="261"/>
  <c r="B13" i="261"/>
  <c r="B14" i="261"/>
  <c r="B15" i="261"/>
  <c r="B16" i="261"/>
  <c r="B17" i="261"/>
  <c r="B18" i="261"/>
  <c r="B19" i="261"/>
  <c r="B20" i="261"/>
  <c r="B21" i="261"/>
  <c r="B22" i="261"/>
  <c r="B23" i="261"/>
  <c r="B24" i="261"/>
  <c r="B25" i="261"/>
  <c r="B5" i="261"/>
  <c r="AA16" i="262"/>
  <c r="Z16" i="262"/>
  <c r="Y16" i="262"/>
  <c r="X16" i="262"/>
  <c r="E12" i="74"/>
  <c r="F7" i="74"/>
  <c r="F5" i="74"/>
  <c r="A6" i="261"/>
  <c r="A7" i="261" s="1"/>
  <c r="A8" i="261" s="1"/>
  <c r="A9" i="261" s="1"/>
  <c r="A10" i="261" s="1"/>
  <c r="A11" i="261" s="1"/>
  <c r="A12" i="261" s="1"/>
  <c r="A13" i="261" s="1"/>
  <c r="A14" i="261" s="1"/>
  <c r="A15" i="261" s="1"/>
  <c r="A16" i="261" s="1"/>
  <c r="A17" i="261" s="1"/>
  <c r="A18" i="261" s="1"/>
  <c r="A19" i="261" s="1"/>
  <c r="A20" i="261" s="1"/>
  <c r="A21" i="261" s="1"/>
  <c r="A22" i="261" s="1"/>
  <c r="A23" i="261" s="1"/>
  <c r="A24" i="261" s="1"/>
  <c r="A25" i="261" s="1"/>
  <c r="A26" i="261" s="1"/>
  <c r="AA7" i="260"/>
  <c r="Z7" i="260"/>
  <c r="Y7" i="260"/>
  <c r="X7" i="260"/>
  <c r="V7" i="260"/>
  <c r="R7" i="260"/>
  <c r="Q7" i="260"/>
  <c r="J7" i="260"/>
  <c r="I7" i="260"/>
  <c r="H7" i="260"/>
  <c r="G7" i="260"/>
  <c r="E7" i="260"/>
  <c r="D7" i="260"/>
  <c r="A7" i="260"/>
  <c r="S6" i="260"/>
  <c r="N6" i="260"/>
  <c r="K6" i="260"/>
  <c r="L6" i="260" s="1"/>
  <c r="F6" i="260"/>
  <c r="F7" i="260" s="1"/>
  <c r="S5" i="260"/>
  <c r="S7" i="260" s="1"/>
  <c r="N5" i="260"/>
  <c r="N7" i="260" s="1"/>
  <c r="L5" i="260"/>
  <c r="K5" i="260"/>
  <c r="K7" i="260" s="1"/>
  <c r="L8" i="260" s="1"/>
  <c r="F5" i="260"/>
  <c r="F7" i="71"/>
  <c r="E12" i="71"/>
  <c r="F5" i="71"/>
  <c r="E6" i="259"/>
  <c r="C6" i="97" s="1"/>
  <c r="F6" i="259"/>
  <c r="D6" i="97" s="1"/>
  <c r="G6" i="259"/>
  <c r="H6" i="259"/>
  <c r="I6" i="259"/>
  <c r="J6" i="259"/>
  <c r="K6" i="259"/>
  <c r="L6" i="259"/>
  <c r="J6" i="97" s="1"/>
  <c r="M6" i="259"/>
  <c r="K6" i="97" s="1"/>
  <c r="N6" i="259"/>
  <c r="L6" i="97" s="1"/>
  <c r="O6" i="259"/>
  <c r="P6" i="259"/>
  <c r="Q6" i="259"/>
  <c r="R6" i="259"/>
  <c r="S6" i="259"/>
  <c r="T6" i="259"/>
  <c r="R6" i="97" s="1"/>
  <c r="U6" i="259"/>
  <c r="S6" i="97" s="1"/>
  <c r="V6" i="259"/>
  <c r="T6" i="97" s="1"/>
  <c r="W6" i="259"/>
  <c r="X6" i="259"/>
  <c r="Y6" i="259"/>
  <c r="Z6" i="259"/>
  <c r="AA6" i="259"/>
  <c r="D6" i="259"/>
  <c r="E9" i="259"/>
  <c r="F9" i="259"/>
  <c r="G9" i="259"/>
  <c r="H9" i="259"/>
  <c r="I9" i="259"/>
  <c r="J9" i="259"/>
  <c r="K9" i="259"/>
  <c r="L9" i="259"/>
  <c r="M9" i="259"/>
  <c r="N9" i="259"/>
  <c r="O9" i="259"/>
  <c r="P9" i="259"/>
  <c r="Q9" i="259"/>
  <c r="R9" i="259"/>
  <c r="S9" i="259"/>
  <c r="T9" i="259"/>
  <c r="U9" i="259"/>
  <c r="V9" i="259"/>
  <c r="W9" i="259"/>
  <c r="X9" i="259"/>
  <c r="Y9" i="259"/>
  <c r="Z9" i="259"/>
  <c r="AA9" i="259"/>
  <c r="D9" i="259"/>
  <c r="E11" i="259"/>
  <c r="F11" i="259"/>
  <c r="G11" i="259"/>
  <c r="H11" i="259"/>
  <c r="I11" i="259"/>
  <c r="J11" i="259"/>
  <c r="K11" i="259"/>
  <c r="L11" i="259"/>
  <c r="M11" i="259"/>
  <c r="N11" i="259"/>
  <c r="O11" i="259"/>
  <c r="P11" i="259"/>
  <c r="Q11" i="259"/>
  <c r="R11" i="259"/>
  <c r="S11" i="259"/>
  <c r="T11" i="259"/>
  <c r="U11" i="259"/>
  <c r="V11" i="259"/>
  <c r="W11" i="259"/>
  <c r="X11" i="259"/>
  <c r="Y11" i="259"/>
  <c r="Z11" i="259"/>
  <c r="AA11" i="259"/>
  <c r="D11" i="259"/>
  <c r="E20" i="259"/>
  <c r="F20" i="259"/>
  <c r="G20" i="259"/>
  <c r="H20" i="259"/>
  <c r="I20" i="259"/>
  <c r="J20" i="259"/>
  <c r="K20" i="259"/>
  <c r="L20" i="259"/>
  <c r="M20" i="259"/>
  <c r="N20" i="259"/>
  <c r="O20" i="259"/>
  <c r="P20" i="259"/>
  <c r="Q20" i="259"/>
  <c r="R20" i="259"/>
  <c r="S20" i="259"/>
  <c r="T20" i="259"/>
  <c r="U20" i="259"/>
  <c r="V20" i="259"/>
  <c r="W20" i="259"/>
  <c r="X20" i="259"/>
  <c r="Y20" i="259"/>
  <c r="Z20" i="259"/>
  <c r="AA20" i="259"/>
  <c r="D20" i="259"/>
  <c r="E48" i="259"/>
  <c r="F48" i="259"/>
  <c r="G48" i="259"/>
  <c r="H48" i="259"/>
  <c r="I48" i="259"/>
  <c r="J48" i="259"/>
  <c r="K48" i="259"/>
  <c r="L48" i="259"/>
  <c r="M48" i="259"/>
  <c r="N48" i="259"/>
  <c r="O48" i="259"/>
  <c r="P48" i="259"/>
  <c r="Q48" i="259"/>
  <c r="R48" i="259"/>
  <c r="S48" i="259"/>
  <c r="T48" i="259"/>
  <c r="U48" i="259"/>
  <c r="V48" i="259"/>
  <c r="X48" i="259"/>
  <c r="Y48" i="259"/>
  <c r="Z48" i="259"/>
  <c r="AA48" i="259"/>
  <c r="D48" i="259"/>
  <c r="E52" i="259"/>
  <c r="F52" i="259"/>
  <c r="G52" i="259"/>
  <c r="H52" i="259"/>
  <c r="I52" i="259"/>
  <c r="J52" i="259"/>
  <c r="K52" i="259"/>
  <c r="L52" i="259"/>
  <c r="M52" i="259"/>
  <c r="N52" i="259"/>
  <c r="O52" i="259"/>
  <c r="P52" i="259"/>
  <c r="Q52" i="259"/>
  <c r="R52" i="259"/>
  <c r="S52" i="259"/>
  <c r="T52" i="259"/>
  <c r="U52" i="259"/>
  <c r="V52" i="259"/>
  <c r="W52" i="259"/>
  <c r="X52" i="259"/>
  <c r="Y52" i="259"/>
  <c r="Z52" i="259"/>
  <c r="AA52" i="259"/>
  <c r="D52" i="259"/>
  <c r="E61" i="259"/>
  <c r="F61" i="259"/>
  <c r="G61" i="259"/>
  <c r="H61" i="259"/>
  <c r="I61" i="259"/>
  <c r="J61" i="259"/>
  <c r="K61" i="259"/>
  <c r="L61" i="259"/>
  <c r="M61" i="259"/>
  <c r="N61" i="259"/>
  <c r="O61" i="259"/>
  <c r="P61" i="259"/>
  <c r="Q61" i="259"/>
  <c r="R61" i="259"/>
  <c r="S61" i="259"/>
  <c r="T61" i="259"/>
  <c r="U61" i="259"/>
  <c r="V61" i="259"/>
  <c r="W61" i="259"/>
  <c r="X61" i="259"/>
  <c r="Y61" i="259"/>
  <c r="Z61" i="259"/>
  <c r="AA61" i="259"/>
  <c r="D61" i="259"/>
  <c r="E67" i="259"/>
  <c r="F67" i="259"/>
  <c r="G67" i="259"/>
  <c r="H67" i="259"/>
  <c r="I67" i="259"/>
  <c r="J67" i="259"/>
  <c r="K67" i="259"/>
  <c r="L67" i="259"/>
  <c r="M67" i="259"/>
  <c r="N67" i="259"/>
  <c r="O67" i="259"/>
  <c r="P67" i="259"/>
  <c r="Q67" i="259"/>
  <c r="R67" i="259"/>
  <c r="S67" i="259"/>
  <c r="T67" i="259"/>
  <c r="U67" i="259"/>
  <c r="V67" i="259"/>
  <c r="W67" i="259"/>
  <c r="X67" i="259"/>
  <c r="Y67" i="259"/>
  <c r="Z67" i="259"/>
  <c r="AA67" i="259"/>
  <c r="D67" i="259"/>
  <c r="E75" i="259"/>
  <c r="F75" i="259"/>
  <c r="G75" i="259"/>
  <c r="H75" i="259"/>
  <c r="I75" i="259"/>
  <c r="J75" i="259"/>
  <c r="K75" i="259"/>
  <c r="L75" i="259"/>
  <c r="M75" i="259"/>
  <c r="N75" i="259"/>
  <c r="O75" i="259"/>
  <c r="P75" i="259"/>
  <c r="Q75" i="259"/>
  <c r="R75" i="259"/>
  <c r="S75" i="259"/>
  <c r="T75" i="259"/>
  <c r="U75" i="259"/>
  <c r="V75" i="259"/>
  <c r="W75" i="259"/>
  <c r="X75" i="259"/>
  <c r="Y75" i="259"/>
  <c r="Z75" i="259"/>
  <c r="AA75" i="259"/>
  <c r="D75" i="259"/>
  <c r="A8" i="259"/>
  <c r="A10" i="259" s="1"/>
  <c r="A12" i="259" s="1"/>
  <c r="A13" i="259" s="1"/>
  <c r="A14" i="259" s="1"/>
  <c r="A15" i="259" s="1"/>
  <c r="A16" i="259" s="1"/>
  <c r="A17" i="259" s="1"/>
  <c r="A18" i="259" s="1"/>
  <c r="A19" i="259" s="1"/>
  <c r="A21" i="259" s="1"/>
  <c r="A22" i="259" s="1"/>
  <c r="A23" i="259" s="1"/>
  <c r="A24" i="259" s="1"/>
  <c r="A25" i="259" s="1"/>
  <c r="A26" i="259" s="1"/>
  <c r="A27" i="259" s="1"/>
  <c r="A28" i="259" s="1"/>
  <c r="A29" i="259" s="1"/>
  <c r="A30" i="259" s="1"/>
  <c r="A31" i="259" s="1"/>
  <c r="A32" i="259" s="1"/>
  <c r="A33" i="259" s="1"/>
  <c r="A34" i="259" s="1"/>
  <c r="A35" i="259" s="1"/>
  <c r="A36" i="259" s="1"/>
  <c r="A37" i="259" s="1"/>
  <c r="A38" i="259" s="1"/>
  <c r="A39" i="259" s="1"/>
  <c r="A40" i="259" s="1"/>
  <c r="A41" i="259" s="1"/>
  <c r="A42" i="259" s="1"/>
  <c r="A43" i="259" s="1"/>
  <c r="A44" i="259" s="1"/>
  <c r="A45" i="259" s="1"/>
  <c r="A46" i="259" s="1"/>
  <c r="A47" i="259" s="1"/>
  <c r="A49" i="259" s="1"/>
  <c r="A50" i="259" s="1"/>
  <c r="A51" i="259" s="1"/>
  <c r="A53" i="259" s="1"/>
  <c r="A55" i="259" s="1"/>
  <c r="A57" i="259" s="1"/>
  <c r="A58" i="259" s="1"/>
  <c r="A59" i="259" s="1"/>
  <c r="A60" i="259" s="1"/>
  <c r="A62" i="259" s="1"/>
  <c r="A63" i="259" s="1"/>
  <c r="A64" i="259" s="1"/>
  <c r="A65" i="259" s="1"/>
  <c r="A66" i="259" s="1"/>
  <c r="A68" i="259" s="1"/>
  <c r="A69" i="259" s="1"/>
  <c r="A70" i="259" s="1"/>
  <c r="A71" i="259" s="1"/>
  <c r="A72" i="259" s="1"/>
  <c r="A73" i="259" s="1"/>
  <c r="A74" i="259" s="1"/>
  <c r="AB6" i="258"/>
  <c r="AC6" i="258"/>
  <c r="AB7" i="258"/>
  <c r="AC7" i="258"/>
  <c r="AB8" i="258"/>
  <c r="AC8" i="258"/>
  <c r="AB9" i="258"/>
  <c r="AC9" i="258"/>
  <c r="AB10" i="258"/>
  <c r="AC10" i="258"/>
  <c r="AB11" i="258"/>
  <c r="AC11" i="258"/>
  <c r="AB12" i="258"/>
  <c r="AC12" i="258"/>
  <c r="AB13" i="258"/>
  <c r="AC13" i="258"/>
  <c r="AB14" i="258"/>
  <c r="AC14" i="258"/>
  <c r="AB15" i="258"/>
  <c r="AC15" i="258"/>
  <c r="AB16" i="258"/>
  <c r="AC16" i="258"/>
  <c r="AB17" i="258"/>
  <c r="AC17" i="258"/>
  <c r="AB18" i="258"/>
  <c r="AC18" i="258"/>
  <c r="AB19" i="258"/>
  <c r="AC19" i="258"/>
  <c r="AB20" i="258"/>
  <c r="AC20" i="258"/>
  <c r="AB21" i="258"/>
  <c r="AC21" i="258"/>
  <c r="AB22" i="258"/>
  <c r="AC22" i="258"/>
  <c r="AB23" i="258"/>
  <c r="AC23" i="258"/>
  <c r="AB24" i="258"/>
  <c r="AC24" i="258"/>
  <c r="AB25" i="258"/>
  <c r="AC25" i="258"/>
  <c r="AB26" i="258"/>
  <c r="AC26" i="258"/>
  <c r="AB27" i="258"/>
  <c r="AC27" i="258"/>
  <c r="AB28" i="258"/>
  <c r="AC28" i="258"/>
  <c r="AB29" i="258"/>
  <c r="AC29" i="258"/>
  <c r="AB30" i="258"/>
  <c r="AC30" i="258"/>
  <c r="AB31" i="258"/>
  <c r="AC31" i="258"/>
  <c r="AB32" i="258"/>
  <c r="AC32" i="258"/>
  <c r="AB33" i="258"/>
  <c r="AC33" i="258"/>
  <c r="AB34" i="258"/>
  <c r="AC34" i="258"/>
  <c r="AB35" i="258"/>
  <c r="AC35" i="258"/>
  <c r="AB36" i="258"/>
  <c r="AC36" i="258"/>
  <c r="AB37" i="258"/>
  <c r="AC37" i="258"/>
  <c r="AB38" i="258"/>
  <c r="AC38" i="258"/>
  <c r="AB39" i="258"/>
  <c r="AC39" i="258"/>
  <c r="AB40" i="258"/>
  <c r="AC40" i="258"/>
  <c r="AB41" i="258"/>
  <c r="AC41" i="258"/>
  <c r="AB42" i="258"/>
  <c r="AC42" i="258"/>
  <c r="AB43" i="258"/>
  <c r="AC43" i="258"/>
  <c r="AB44" i="258"/>
  <c r="AC44" i="258"/>
  <c r="AB45" i="258"/>
  <c r="AC45" i="258"/>
  <c r="AB46" i="258"/>
  <c r="AC46" i="258"/>
  <c r="AB47" i="258"/>
  <c r="AC47" i="258"/>
  <c r="AB48" i="258"/>
  <c r="AC48" i="258"/>
  <c r="AB49" i="258"/>
  <c r="AC49" i="258"/>
  <c r="AB50" i="258"/>
  <c r="AC50" i="258"/>
  <c r="AB51" i="258"/>
  <c r="AC51" i="258"/>
  <c r="AB52" i="258"/>
  <c r="AC52" i="258"/>
  <c r="AB53" i="258"/>
  <c r="AC53" i="258"/>
  <c r="AB54" i="258"/>
  <c r="AC54" i="258"/>
  <c r="AB55" i="258"/>
  <c r="AC55" i="258"/>
  <c r="AB56" i="258"/>
  <c r="AC56" i="258"/>
  <c r="AB57" i="258"/>
  <c r="AC57" i="258"/>
  <c r="AB58" i="258"/>
  <c r="AC58" i="258"/>
  <c r="AB59" i="258"/>
  <c r="AC59" i="258"/>
  <c r="AB60" i="258"/>
  <c r="AC60" i="258"/>
  <c r="AB61" i="258"/>
  <c r="AC61" i="258"/>
  <c r="AB62" i="258"/>
  <c r="AC62" i="258"/>
  <c r="AB63" i="258"/>
  <c r="AC63" i="258"/>
  <c r="AB64" i="258"/>
  <c r="AC64" i="258"/>
  <c r="AC5" i="258"/>
  <c r="AB5" i="258"/>
  <c r="D6" i="258"/>
  <c r="E6" i="258"/>
  <c r="F6" i="258"/>
  <c r="G6" i="258"/>
  <c r="H6" i="258"/>
  <c r="I6" i="258"/>
  <c r="J6" i="258"/>
  <c r="K6" i="258"/>
  <c r="L6" i="258"/>
  <c r="M6" i="258"/>
  <c r="N6" i="258"/>
  <c r="O6" i="258"/>
  <c r="P6" i="258"/>
  <c r="Q6" i="258"/>
  <c r="R6" i="258"/>
  <c r="S6" i="258"/>
  <c r="T6" i="258"/>
  <c r="U6" i="258"/>
  <c r="V6" i="258"/>
  <c r="W6" i="258"/>
  <c r="X6" i="258"/>
  <c r="Y6" i="258"/>
  <c r="Z6" i="258"/>
  <c r="AA6" i="258"/>
  <c r="D7" i="258"/>
  <c r="E7" i="258"/>
  <c r="F7" i="258"/>
  <c r="G7" i="258"/>
  <c r="H7" i="258"/>
  <c r="I7" i="258"/>
  <c r="J7" i="258"/>
  <c r="K7" i="258"/>
  <c r="L7" i="258"/>
  <c r="M7" i="258"/>
  <c r="N7" i="258"/>
  <c r="O7" i="258"/>
  <c r="P7" i="258"/>
  <c r="Q7" i="258"/>
  <c r="R7" i="258"/>
  <c r="S7" i="258"/>
  <c r="T7" i="258"/>
  <c r="U7" i="258"/>
  <c r="V7" i="258"/>
  <c r="W7" i="258"/>
  <c r="X7" i="258"/>
  <c r="Y7" i="258"/>
  <c r="Z7" i="258"/>
  <c r="AA7" i="258"/>
  <c r="D8" i="258"/>
  <c r="E8" i="258"/>
  <c r="F8" i="258"/>
  <c r="G8" i="258"/>
  <c r="H8" i="258"/>
  <c r="I8" i="258"/>
  <c r="J8" i="258"/>
  <c r="K8" i="258"/>
  <c r="L8" i="258"/>
  <c r="M8" i="258"/>
  <c r="N8" i="258"/>
  <c r="O8" i="258"/>
  <c r="P8" i="258"/>
  <c r="Q8" i="258"/>
  <c r="R8" i="258"/>
  <c r="S8" i="258"/>
  <c r="T8" i="258"/>
  <c r="U8" i="258"/>
  <c r="V8" i="258"/>
  <c r="W8" i="258"/>
  <c r="X8" i="258"/>
  <c r="Y8" i="258"/>
  <c r="Z8" i="258"/>
  <c r="AA8" i="258"/>
  <c r="D9" i="258"/>
  <c r="E9" i="258"/>
  <c r="F9" i="258"/>
  <c r="G9" i="258"/>
  <c r="H9" i="258"/>
  <c r="I9" i="258"/>
  <c r="J9" i="258"/>
  <c r="K9" i="258"/>
  <c r="L9" i="258"/>
  <c r="M9" i="258"/>
  <c r="N9" i="258"/>
  <c r="O9" i="258"/>
  <c r="P9" i="258"/>
  <c r="Q9" i="258"/>
  <c r="R9" i="258"/>
  <c r="S9" i="258"/>
  <c r="T9" i="258"/>
  <c r="U9" i="258"/>
  <c r="V9" i="258"/>
  <c r="W9" i="258"/>
  <c r="X9" i="258"/>
  <c r="Y9" i="258"/>
  <c r="Z9" i="258"/>
  <c r="AA9" i="258"/>
  <c r="D10" i="258"/>
  <c r="E10" i="258"/>
  <c r="F10" i="258"/>
  <c r="G10" i="258"/>
  <c r="H10" i="258"/>
  <c r="I10" i="258"/>
  <c r="J10" i="258"/>
  <c r="K10" i="258"/>
  <c r="L10" i="258"/>
  <c r="M10" i="258"/>
  <c r="N10" i="258"/>
  <c r="O10" i="258"/>
  <c r="P10" i="258"/>
  <c r="Q10" i="258"/>
  <c r="R10" i="258"/>
  <c r="S10" i="258"/>
  <c r="T10" i="258"/>
  <c r="U10" i="258"/>
  <c r="V10" i="258"/>
  <c r="W10" i="258"/>
  <c r="X10" i="258"/>
  <c r="Y10" i="258"/>
  <c r="Z10" i="258"/>
  <c r="AA10" i="258"/>
  <c r="D11" i="258"/>
  <c r="E11" i="258"/>
  <c r="F11" i="258"/>
  <c r="G11" i="258"/>
  <c r="H11" i="258"/>
  <c r="I11" i="258"/>
  <c r="J11" i="258"/>
  <c r="K11" i="258"/>
  <c r="L11" i="258"/>
  <c r="M11" i="258"/>
  <c r="N11" i="258"/>
  <c r="O11" i="258"/>
  <c r="P11" i="258"/>
  <c r="Q11" i="258"/>
  <c r="R11" i="258"/>
  <c r="S11" i="258"/>
  <c r="T11" i="258"/>
  <c r="U11" i="258"/>
  <c r="V11" i="258"/>
  <c r="W11" i="258"/>
  <c r="X11" i="258"/>
  <c r="Y11" i="258"/>
  <c r="Z11" i="258"/>
  <c r="AA11" i="258"/>
  <c r="D12" i="258"/>
  <c r="E12" i="258"/>
  <c r="F12" i="258"/>
  <c r="G12" i="258"/>
  <c r="H12" i="258"/>
  <c r="I12" i="258"/>
  <c r="J12" i="258"/>
  <c r="K12" i="258"/>
  <c r="L12" i="258"/>
  <c r="M12" i="258"/>
  <c r="N12" i="258"/>
  <c r="O12" i="258"/>
  <c r="P12" i="258"/>
  <c r="Q12" i="258"/>
  <c r="R12" i="258"/>
  <c r="S12" i="258"/>
  <c r="T12" i="258"/>
  <c r="U12" i="258"/>
  <c r="V12" i="258"/>
  <c r="W12" i="258"/>
  <c r="X12" i="258"/>
  <c r="Y12" i="258"/>
  <c r="Z12" i="258"/>
  <c r="AA12" i="258"/>
  <c r="D13" i="258"/>
  <c r="E13" i="258"/>
  <c r="F13" i="258"/>
  <c r="G13" i="258"/>
  <c r="H13" i="258"/>
  <c r="I13" i="258"/>
  <c r="J13" i="258"/>
  <c r="K13" i="258"/>
  <c r="L13" i="258"/>
  <c r="M13" i="258"/>
  <c r="N13" i="258"/>
  <c r="O13" i="258"/>
  <c r="P13" i="258"/>
  <c r="Q13" i="258"/>
  <c r="R13" i="258"/>
  <c r="S13" i="258"/>
  <c r="T13" i="258"/>
  <c r="U13" i="258"/>
  <c r="V13" i="258"/>
  <c r="W13" i="258"/>
  <c r="X13" i="258"/>
  <c r="Y13" i="258"/>
  <c r="Z13" i="258"/>
  <c r="AA13" i="258"/>
  <c r="D14" i="258"/>
  <c r="E14" i="258"/>
  <c r="F14" i="258"/>
  <c r="G14" i="258"/>
  <c r="H14" i="258"/>
  <c r="I14" i="258"/>
  <c r="J14" i="258"/>
  <c r="K14" i="258"/>
  <c r="L14" i="258"/>
  <c r="M14" i="258"/>
  <c r="N14" i="258"/>
  <c r="O14" i="258"/>
  <c r="P14" i="258"/>
  <c r="Q14" i="258"/>
  <c r="R14" i="258"/>
  <c r="S14" i="258"/>
  <c r="T14" i="258"/>
  <c r="U14" i="258"/>
  <c r="V14" i="258"/>
  <c r="W14" i="258"/>
  <c r="X14" i="258"/>
  <c r="Y14" i="258"/>
  <c r="Z14" i="258"/>
  <c r="AA14" i="258"/>
  <c r="D15" i="258"/>
  <c r="E15" i="258"/>
  <c r="F15" i="258"/>
  <c r="G15" i="258"/>
  <c r="H15" i="258"/>
  <c r="I15" i="258"/>
  <c r="J15" i="258"/>
  <c r="K15" i="258"/>
  <c r="L15" i="258"/>
  <c r="M15" i="258"/>
  <c r="N15" i="258"/>
  <c r="O15" i="258"/>
  <c r="P15" i="258"/>
  <c r="Q15" i="258"/>
  <c r="R15" i="258"/>
  <c r="S15" i="258"/>
  <c r="T15" i="258"/>
  <c r="U15" i="258"/>
  <c r="V15" i="258"/>
  <c r="W15" i="258"/>
  <c r="X15" i="258"/>
  <c r="Y15" i="258"/>
  <c r="Z15" i="258"/>
  <c r="AA15" i="258"/>
  <c r="D16" i="258"/>
  <c r="E16" i="258"/>
  <c r="F16" i="258"/>
  <c r="G16" i="258"/>
  <c r="H16" i="258"/>
  <c r="I16" i="258"/>
  <c r="J16" i="258"/>
  <c r="K16" i="258"/>
  <c r="L16" i="258"/>
  <c r="M16" i="258"/>
  <c r="N16" i="258"/>
  <c r="O16" i="258"/>
  <c r="P16" i="258"/>
  <c r="Q16" i="258"/>
  <c r="R16" i="258"/>
  <c r="S16" i="258"/>
  <c r="T16" i="258"/>
  <c r="U16" i="258"/>
  <c r="V16" i="258"/>
  <c r="W16" i="258"/>
  <c r="X16" i="258"/>
  <c r="Y16" i="258"/>
  <c r="Z16" i="258"/>
  <c r="AA16" i="258"/>
  <c r="D17" i="258"/>
  <c r="E17" i="258"/>
  <c r="F17" i="258"/>
  <c r="G17" i="258"/>
  <c r="H17" i="258"/>
  <c r="I17" i="258"/>
  <c r="J17" i="258"/>
  <c r="K17" i="258"/>
  <c r="L17" i="258"/>
  <c r="M17" i="258"/>
  <c r="N17" i="258"/>
  <c r="O17" i="258"/>
  <c r="P17" i="258"/>
  <c r="Q17" i="258"/>
  <c r="R17" i="258"/>
  <c r="S17" i="258"/>
  <c r="T17" i="258"/>
  <c r="U17" i="258"/>
  <c r="V17" i="258"/>
  <c r="W17" i="258"/>
  <c r="X17" i="258"/>
  <c r="Y17" i="258"/>
  <c r="Z17" i="258"/>
  <c r="AA17" i="258"/>
  <c r="D18" i="258"/>
  <c r="E18" i="258"/>
  <c r="F18" i="258"/>
  <c r="G18" i="258"/>
  <c r="H18" i="258"/>
  <c r="I18" i="258"/>
  <c r="J18" i="258"/>
  <c r="K18" i="258"/>
  <c r="L18" i="258"/>
  <c r="M18" i="258"/>
  <c r="N18" i="258"/>
  <c r="O18" i="258"/>
  <c r="P18" i="258"/>
  <c r="Q18" i="258"/>
  <c r="R18" i="258"/>
  <c r="S18" i="258"/>
  <c r="T18" i="258"/>
  <c r="U18" i="258"/>
  <c r="V18" i="258"/>
  <c r="W18" i="258"/>
  <c r="X18" i="258"/>
  <c r="Y18" i="258"/>
  <c r="Z18" i="258"/>
  <c r="AA18" i="258"/>
  <c r="D19" i="258"/>
  <c r="E19" i="258"/>
  <c r="F19" i="258"/>
  <c r="G19" i="258"/>
  <c r="H19" i="258"/>
  <c r="I19" i="258"/>
  <c r="J19" i="258"/>
  <c r="K19" i="258"/>
  <c r="L19" i="258"/>
  <c r="M19" i="258"/>
  <c r="N19" i="258"/>
  <c r="O19" i="258"/>
  <c r="P19" i="258"/>
  <c r="Q19" i="258"/>
  <c r="R19" i="258"/>
  <c r="S19" i="258"/>
  <c r="T19" i="258"/>
  <c r="U19" i="258"/>
  <c r="V19" i="258"/>
  <c r="W19" i="258"/>
  <c r="X19" i="258"/>
  <c r="Y19" i="258"/>
  <c r="Z19" i="258"/>
  <c r="AA19" i="258"/>
  <c r="D20" i="258"/>
  <c r="E20" i="258"/>
  <c r="F20" i="258"/>
  <c r="G20" i="258"/>
  <c r="H20" i="258"/>
  <c r="I20" i="258"/>
  <c r="J20" i="258"/>
  <c r="K20" i="258"/>
  <c r="L20" i="258"/>
  <c r="M20" i="258"/>
  <c r="N20" i="258"/>
  <c r="O20" i="258"/>
  <c r="P20" i="258"/>
  <c r="Q20" i="258"/>
  <c r="R20" i="258"/>
  <c r="S20" i="258"/>
  <c r="T20" i="258"/>
  <c r="U20" i="258"/>
  <c r="V20" i="258"/>
  <c r="W20" i="258"/>
  <c r="X20" i="258"/>
  <c r="Y20" i="258"/>
  <c r="Z20" i="258"/>
  <c r="AA20" i="258"/>
  <c r="D21" i="258"/>
  <c r="E21" i="258"/>
  <c r="F21" i="258"/>
  <c r="G21" i="258"/>
  <c r="H21" i="258"/>
  <c r="I21" i="258"/>
  <c r="J21" i="258"/>
  <c r="K21" i="258"/>
  <c r="L21" i="258"/>
  <c r="M21" i="258"/>
  <c r="N21" i="258"/>
  <c r="O21" i="258"/>
  <c r="P21" i="258"/>
  <c r="Q21" i="258"/>
  <c r="R21" i="258"/>
  <c r="S21" i="258"/>
  <c r="T21" i="258"/>
  <c r="U21" i="258"/>
  <c r="V21" i="258"/>
  <c r="W21" i="258"/>
  <c r="X21" i="258"/>
  <c r="Y21" i="258"/>
  <c r="Z21" i="258"/>
  <c r="AA21" i="258"/>
  <c r="D22" i="258"/>
  <c r="E22" i="258"/>
  <c r="F22" i="258"/>
  <c r="G22" i="258"/>
  <c r="H22" i="258"/>
  <c r="I22" i="258"/>
  <c r="J22" i="258"/>
  <c r="K22" i="258"/>
  <c r="L22" i="258"/>
  <c r="M22" i="258"/>
  <c r="N22" i="258"/>
  <c r="O22" i="258"/>
  <c r="P22" i="258"/>
  <c r="Q22" i="258"/>
  <c r="R22" i="258"/>
  <c r="S22" i="258"/>
  <c r="T22" i="258"/>
  <c r="U22" i="258"/>
  <c r="V22" i="258"/>
  <c r="W22" i="258"/>
  <c r="X22" i="258"/>
  <c r="Y22" i="258"/>
  <c r="Z22" i="258"/>
  <c r="AA22" i="258"/>
  <c r="D23" i="258"/>
  <c r="E23" i="258"/>
  <c r="F23" i="258"/>
  <c r="G23" i="258"/>
  <c r="H23" i="258"/>
  <c r="I23" i="258"/>
  <c r="J23" i="258"/>
  <c r="K23" i="258"/>
  <c r="L23" i="258"/>
  <c r="M23" i="258"/>
  <c r="N23" i="258"/>
  <c r="O23" i="258"/>
  <c r="P23" i="258"/>
  <c r="Q23" i="258"/>
  <c r="R23" i="258"/>
  <c r="S23" i="258"/>
  <c r="T23" i="258"/>
  <c r="U23" i="258"/>
  <c r="V23" i="258"/>
  <c r="W23" i="258"/>
  <c r="X23" i="258"/>
  <c r="Y23" i="258"/>
  <c r="Z23" i="258"/>
  <c r="AA23" i="258"/>
  <c r="D24" i="258"/>
  <c r="E24" i="258"/>
  <c r="F24" i="258"/>
  <c r="G24" i="258"/>
  <c r="H24" i="258"/>
  <c r="I24" i="258"/>
  <c r="J24" i="258"/>
  <c r="K24" i="258"/>
  <c r="L24" i="258"/>
  <c r="M24" i="258"/>
  <c r="N24" i="258"/>
  <c r="O24" i="258"/>
  <c r="P24" i="258"/>
  <c r="Q24" i="258"/>
  <c r="R24" i="258"/>
  <c r="S24" i="258"/>
  <c r="T24" i="258"/>
  <c r="U24" i="258"/>
  <c r="V24" i="258"/>
  <c r="W24" i="258"/>
  <c r="X24" i="258"/>
  <c r="Y24" i="258"/>
  <c r="Z24" i="258"/>
  <c r="AA24" i="258"/>
  <c r="D25" i="258"/>
  <c r="E25" i="258"/>
  <c r="F25" i="258"/>
  <c r="G25" i="258"/>
  <c r="H25" i="258"/>
  <c r="I25" i="258"/>
  <c r="J25" i="258"/>
  <c r="K25" i="258"/>
  <c r="L25" i="258"/>
  <c r="M25" i="258"/>
  <c r="N25" i="258"/>
  <c r="O25" i="258"/>
  <c r="P25" i="258"/>
  <c r="Q25" i="258"/>
  <c r="R25" i="258"/>
  <c r="S25" i="258"/>
  <c r="T25" i="258"/>
  <c r="U25" i="258"/>
  <c r="V25" i="258"/>
  <c r="W25" i="258"/>
  <c r="X25" i="258"/>
  <c r="Y25" i="258"/>
  <c r="Z25" i="258"/>
  <c r="AA25" i="258"/>
  <c r="D26" i="258"/>
  <c r="E26" i="258"/>
  <c r="F26" i="258"/>
  <c r="G26" i="258"/>
  <c r="H26" i="258"/>
  <c r="I26" i="258"/>
  <c r="J26" i="258"/>
  <c r="K26" i="258"/>
  <c r="L26" i="258"/>
  <c r="M26" i="258"/>
  <c r="N26" i="258"/>
  <c r="O26" i="258"/>
  <c r="P26" i="258"/>
  <c r="Q26" i="258"/>
  <c r="R26" i="258"/>
  <c r="S26" i="258"/>
  <c r="T26" i="258"/>
  <c r="U26" i="258"/>
  <c r="V26" i="258"/>
  <c r="W26" i="258"/>
  <c r="X26" i="258"/>
  <c r="Y26" i="258"/>
  <c r="Z26" i="258"/>
  <c r="AA26" i="258"/>
  <c r="D27" i="258"/>
  <c r="E27" i="258"/>
  <c r="F27" i="258"/>
  <c r="G27" i="258"/>
  <c r="H27" i="258"/>
  <c r="I27" i="258"/>
  <c r="J27" i="258"/>
  <c r="K27" i="258"/>
  <c r="L27" i="258"/>
  <c r="M27" i="258"/>
  <c r="N27" i="258"/>
  <c r="O27" i="258"/>
  <c r="P27" i="258"/>
  <c r="Q27" i="258"/>
  <c r="R27" i="258"/>
  <c r="S27" i="258"/>
  <c r="T27" i="258"/>
  <c r="U27" i="258"/>
  <c r="V27" i="258"/>
  <c r="W27" i="258"/>
  <c r="X27" i="258"/>
  <c r="Y27" i="258"/>
  <c r="Z27" i="258"/>
  <c r="AA27" i="258"/>
  <c r="D28" i="258"/>
  <c r="E28" i="258"/>
  <c r="F28" i="258"/>
  <c r="G28" i="258"/>
  <c r="H28" i="258"/>
  <c r="I28" i="258"/>
  <c r="J28" i="258"/>
  <c r="K28" i="258"/>
  <c r="L28" i="258"/>
  <c r="M28" i="258"/>
  <c r="N28" i="258"/>
  <c r="O28" i="258"/>
  <c r="P28" i="258"/>
  <c r="Q28" i="258"/>
  <c r="R28" i="258"/>
  <c r="S28" i="258"/>
  <c r="T28" i="258"/>
  <c r="U28" i="258"/>
  <c r="V28" i="258"/>
  <c r="W28" i="258"/>
  <c r="X28" i="258"/>
  <c r="Y28" i="258"/>
  <c r="Z28" i="258"/>
  <c r="AA28" i="258"/>
  <c r="D29" i="258"/>
  <c r="E29" i="258"/>
  <c r="F29" i="258"/>
  <c r="G29" i="258"/>
  <c r="H29" i="258"/>
  <c r="I29" i="258"/>
  <c r="J29" i="258"/>
  <c r="K29" i="258"/>
  <c r="L29" i="258"/>
  <c r="M29" i="258"/>
  <c r="N29" i="258"/>
  <c r="O29" i="258"/>
  <c r="P29" i="258"/>
  <c r="Q29" i="258"/>
  <c r="R29" i="258"/>
  <c r="S29" i="258"/>
  <c r="T29" i="258"/>
  <c r="U29" i="258"/>
  <c r="V29" i="258"/>
  <c r="W29" i="258"/>
  <c r="X29" i="258"/>
  <c r="Y29" i="258"/>
  <c r="Z29" i="258"/>
  <c r="AA29" i="258"/>
  <c r="D30" i="258"/>
  <c r="E30" i="258"/>
  <c r="F30" i="258"/>
  <c r="G30" i="258"/>
  <c r="H30" i="258"/>
  <c r="I30" i="258"/>
  <c r="J30" i="258"/>
  <c r="K30" i="258"/>
  <c r="L30" i="258"/>
  <c r="M30" i="258"/>
  <c r="N30" i="258"/>
  <c r="O30" i="258"/>
  <c r="P30" i="258"/>
  <c r="Q30" i="258"/>
  <c r="R30" i="258"/>
  <c r="S30" i="258"/>
  <c r="T30" i="258"/>
  <c r="U30" i="258"/>
  <c r="V30" i="258"/>
  <c r="W30" i="258"/>
  <c r="X30" i="258"/>
  <c r="Y30" i="258"/>
  <c r="Z30" i="258"/>
  <c r="AA30" i="258"/>
  <c r="D31" i="258"/>
  <c r="E31" i="258"/>
  <c r="F31" i="258"/>
  <c r="G31" i="258"/>
  <c r="H31" i="258"/>
  <c r="I31" i="258"/>
  <c r="J31" i="258"/>
  <c r="K31" i="258"/>
  <c r="L31" i="258"/>
  <c r="M31" i="258"/>
  <c r="N31" i="258"/>
  <c r="O31" i="258"/>
  <c r="P31" i="258"/>
  <c r="Q31" i="258"/>
  <c r="R31" i="258"/>
  <c r="S31" i="258"/>
  <c r="T31" i="258"/>
  <c r="U31" i="258"/>
  <c r="V31" i="258"/>
  <c r="W31" i="258"/>
  <c r="X31" i="258"/>
  <c r="Y31" i="258"/>
  <c r="Z31" i="258"/>
  <c r="AA31" i="258"/>
  <c r="D32" i="258"/>
  <c r="E32" i="258"/>
  <c r="F32" i="258"/>
  <c r="G32" i="258"/>
  <c r="H32" i="258"/>
  <c r="I32" i="258"/>
  <c r="J32" i="258"/>
  <c r="K32" i="258"/>
  <c r="L32" i="258"/>
  <c r="M32" i="258"/>
  <c r="N32" i="258"/>
  <c r="O32" i="258"/>
  <c r="P32" i="258"/>
  <c r="Q32" i="258"/>
  <c r="R32" i="258"/>
  <c r="S32" i="258"/>
  <c r="T32" i="258"/>
  <c r="U32" i="258"/>
  <c r="V32" i="258"/>
  <c r="W32" i="258"/>
  <c r="X32" i="258"/>
  <c r="Y32" i="258"/>
  <c r="Z32" i="258"/>
  <c r="AA32" i="258"/>
  <c r="D33" i="258"/>
  <c r="E33" i="258"/>
  <c r="F33" i="258"/>
  <c r="G33" i="258"/>
  <c r="H33" i="258"/>
  <c r="I33" i="258"/>
  <c r="J33" i="258"/>
  <c r="K33" i="258"/>
  <c r="L33" i="258"/>
  <c r="M33" i="258"/>
  <c r="N33" i="258"/>
  <c r="O33" i="258"/>
  <c r="P33" i="258"/>
  <c r="Q33" i="258"/>
  <c r="R33" i="258"/>
  <c r="S33" i="258"/>
  <c r="T33" i="258"/>
  <c r="U33" i="258"/>
  <c r="V33" i="258"/>
  <c r="W33" i="258"/>
  <c r="X33" i="258"/>
  <c r="Y33" i="258"/>
  <c r="Z33" i="258"/>
  <c r="AA33" i="258"/>
  <c r="D34" i="258"/>
  <c r="E34" i="258"/>
  <c r="F34" i="258"/>
  <c r="G34" i="258"/>
  <c r="H34" i="258"/>
  <c r="I34" i="258"/>
  <c r="J34" i="258"/>
  <c r="K34" i="258"/>
  <c r="L34" i="258"/>
  <c r="M34" i="258"/>
  <c r="N34" i="258"/>
  <c r="O34" i="258"/>
  <c r="P34" i="258"/>
  <c r="Q34" i="258"/>
  <c r="R34" i="258"/>
  <c r="S34" i="258"/>
  <c r="T34" i="258"/>
  <c r="U34" i="258"/>
  <c r="V34" i="258"/>
  <c r="W34" i="258"/>
  <c r="X34" i="258"/>
  <c r="Y34" i="258"/>
  <c r="Z34" i="258"/>
  <c r="AA34" i="258"/>
  <c r="D35" i="258"/>
  <c r="E35" i="258"/>
  <c r="F35" i="258"/>
  <c r="G35" i="258"/>
  <c r="H35" i="258"/>
  <c r="I35" i="258"/>
  <c r="J35" i="258"/>
  <c r="K35" i="258"/>
  <c r="L35" i="258"/>
  <c r="M35" i="258"/>
  <c r="N35" i="258"/>
  <c r="O35" i="258"/>
  <c r="P35" i="258"/>
  <c r="Q35" i="258"/>
  <c r="R35" i="258"/>
  <c r="S35" i="258"/>
  <c r="T35" i="258"/>
  <c r="U35" i="258"/>
  <c r="V35" i="258"/>
  <c r="W35" i="258"/>
  <c r="X35" i="258"/>
  <c r="Y35" i="258"/>
  <c r="Z35" i="258"/>
  <c r="AA35" i="258"/>
  <c r="D36" i="258"/>
  <c r="E36" i="258"/>
  <c r="F36" i="258"/>
  <c r="G36" i="258"/>
  <c r="H36" i="258"/>
  <c r="I36" i="258"/>
  <c r="J36" i="258"/>
  <c r="K36" i="258"/>
  <c r="L36" i="258"/>
  <c r="M36" i="258"/>
  <c r="N36" i="258"/>
  <c r="O36" i="258"/>
  <c r="P36" i="258"/>
  <c r="Q36" i="258"/>
  <c r="R36" i="258"/>
  <c r="S36" i="258"/>
  <c r="T36" i="258"/>
  <c r="U36" i="258"/>
  <c r="V36" i="258"/>
  <c r="W36" i="258"/>
  <c r="X36" i="258"/>
  <c r="Y36" i="258"/>
  <c r="Z36" i="258"/>
  <c r="AA36" i="258"/>
  <c r="D37" i="258"/>
  <c r="E37" i="258"/>
  <c r="F37" i="258"/>
  <c r="G37" i="258"/>
  <c r="H37" i="258"/>
  <c r="I37" i="258"/>
  <c r="J37" i="258"/>
  <c r="K37" i="258"/>
  <c r="L37" i="258"/>
  <c r="M37" i="258"/>
  <c r="N37" i="258"/>
  <c r="O37" i="258"/>
  <c r="P37" i="258"/>
  <c r="Q37" i="258"/>
  <c r="R37" i="258"/>
  <c r="S37" i="258"/>
  <c r="T37" i="258"/>
  <c r="U37" i="258"/>
  <c r="V37" i="258"/>
  <c r="W37" i="258"/>
  <c r="X37" i="258"/>
  <c r="Y37" i="258"/>
  <c r="Z37" i="258"/>
  <c r="AA37" i="258"/>
  <c r="D38" i="258"/>
  <c r="E38" i="258"/>
  <c r="F38" i="258"/>
  <c r="G38" i="258"/>
  <c r="H38" i="258"/>
  <c r="I38" i="258"/>
  <c r="J38" i="258"/>
  <c r="K38" i="258"/>
  <c r="L38" i="258"/>
  <c r="M38" i="258"/>
  <c r="N38" i="258"/>
  <c r="O38" i="258"/>
  <c r="P38" i="258"/>
  <c r="Q38" i="258"/>
  <c r="R38" i="258"/>
  <c r="S38" i="258"/>
  <c r="T38" i="258"/>
  <c r="U38" i="258"/>
  <c r="V38" i="258"/>
  <c r="W38" i="258"/>
  <c r="X38" i="258"/>
  <c r="Y38" i="258"/>
  <c r="Z38" i="258"/>
  <c r="AA38" i="258"/>
  <c r="D39" i="258"/>
  <c r="E39" i="258"/>
  <c r="F39" i="258"/>
  <c r="G39" i="258"/>
  <c r="H39" i="258"/>
  <c r="I39" i="258"/>
  <c r="J39" i="258"/>
  <c r="K39" i="258"/>
  <c r="L39" i="258"/>
  <c r="M39" i="258"/>
  <c r="N39" i="258"/>
  <c r="O39" i="258"/>
  <c r="P39" i="258"/>
  <c r="Q39" i="258"/>
  <c r="R39" i="258"/>
  <c r="S39" i="258"/>
  <c r="T39" i="258"/>
  <c r="U39" i="258"/>
  <c r="V39" i="258"/>
  <c r="W39" i="258"/>
  <c r="X39" i="258"/>
  <c r="Y39" i="258"/>
  <c r="Z39" i="258"/>
  <c r="AA39" i="258"/>
  <c r="D40" i="258"/>
  <c r="E40" i="258"/>
  <c r="F40" i="258"/>
  <c r="G40" i="258"/>
  <c r="H40" i="258"/>
  <c r="I40" i="258"/>
  <c r="J40" i="258"/>
  <c r="K40" i="258"/>
  <c r="L40" i="258"/>
  <c r="M40" i="258"/>
  <c r="N40" i="258"/>
  <c r="O40" i="258"/>
  <c r="P40" i="258"/>
  <c r="Q40" i="258"/>
  <c r="R40" i="258"/>
  <c r="S40" i="258"/>
  <c r="T40" i="258"/>
  <c r="U40" i="258"/>
  <c r="V40" i="258"/>
  <c r="W40" i="258"/>
  <c r="X40" i="258"/>
  <c r="Y40" i="258"/>
  <c r="Z40" i="258"/>
  <c r="AA40" i="258"/>
  <c r="D41" i="258"/>
  <c r="E41" i="258"/>
  <c r="F41" i="258"/>
  <c r="G41" i="258"/>
  <c r="H41" i="258"/>
  <c r="I41" i="258"/>
  <c r="J41" i="258"/>
  <c r="K41" i="258"/>
  <c r="L41" i="258"/>
  <c r="M41" i="258"/>
  <c r="N41" i="258"/>
  <c r="O41" i="258"/>
  <c r="P41" i="258"/>
  <c r="Q41" i="258"/>
  <c r="R41" i="258"/>
  <c r="S41" i="258"/>
  <c r="T41" i="258"/>
  <c r="U41" i="258"/>
  <c r="V41" i="258"/>
  <c r="W41" i="258"/>
  <c r="X41" i="258"/>
  <c r="Y41" i="258"/>
  <c r="Z41" i="258"/>
  <c r="AA41" i="258"/>
  <c r="D42" i="258"/>
  <c r="E42" i="258"/>
  <c r="F42" i="258"/>
  <c r="G42" i="258"/>
  <c r="H42" i="258"/>
  <c r="I42" i="258"/>
  <c r="J42" i="258"/>
  <c r="K42" i="258"/>
  <c r="L42" i="258"/>
  <c r="M42" i="258"/>
  <c r="N42" i="258"/>
  <c r="O42" i="258"/>
  <c r="P42" i="258"/>
  <c r="Q42" i="258"/>
  <c r="R42" i="258"/>
  <c r="S42" i="258"/>
  <c r="T42" i="258"/>
  <c r="U42" i="258"/>
  <c r="V42" i="258"/>
  <c r="W42" i="258"/>
  <c r="X42" i="258"/>
  <c r="Y42" i="258"/>
  <c r="Z42" i="258"/>
  <c r="AA42" i="258"/>
  <c r="D43" i="258"/>
  <c r="E43" i="258"/>
  <c r="F43" i="258"/>
  <c r="G43" i="258"/>
  <c r="H43" i="258"/>
  <c r="I43" i="258"/>
  <c r="J43" i="258"/>
  <c r="K43" i="258"/>
  <c r="L43" i="258"/>
  <c r="M43" i="258"/>
  <c r="N43" i="258"/>
  <c r="O43" i="258"/>
  <c r="P43" i="258"/>
  <c r="Q43" i="258"/>
  <c r="R43" i="258"/>
  <c r="S43" i="258"/>
  <c r="T43" i="258"/>
  <c r="U43" i="258"/>
  <c r="V43" i="258"/>
  <c r="W43" i="258"/>
  <c r="X43" i="258"/>
  <c r="Y43" i="258"/>
  <c r="Z43" i="258"/>
  <c r="AA43" i="258"/>
  <c r="D44" i="258"/>
  <c r="E44" i="258"/>
  <c r="F44" i="258"/>
  <c r="G44" i="258"/>
  <c r="H44" i="258"/>
  <c r="I44" i="258"/>
  <c r="J44" i="258"/>
  <c r="K44" i="258"/>
  <c r="L44" i="258"/>
  <c r="M44" i="258"/>
  <c r="N44" i="258"/>
  <c r="O44" i="258"/>
  <c r="P44" i="258"/>
  <c r="Q44" i="258"/>
  <c r="R44" i="258"/>
  <c r="S44" i="258"/>
  <c r="T44" i="258"/>
  <c r="U44" i="258"/>
  <c r="V44" i="258"/>
  <c r="W44" i="258"/>
  <c r="X44" i="258"/>
  <c r="Y44" i="258"/>
  <c r="Z44" i="258"/>
  <c r="AA44" i="258"/>
  <c r="D45" i="258"/>
  <c r="E45" i="258"/>
  <c r="F45" i="258"/>
  <c r="G45" i="258"/>
  <c r="H45" i="258"/>
  <c r="I45" i="258"/>
  <c r="J45" i="258"/>
  <c r="K45" i="258"/>
  <c r="L45" i="258"/>
  <c r="M45" i="258"/>
  <c r="N45" i="258"/>
  <c r="O45" i="258"/>
  <c r="P45" i="258"/>
  <c r="Q45" i="258"/>
  <c r="R45" i="258"/>
  <c r="S45" i="258"/>
  <c r="T45" i="258"/>
  <c r="U45" i="258"/>
  <c r="V45" i="258"/>
  <c r="W45" i="258"/>
  <c r="X45" i="258"/>
  <c r="Y45" i="258"/>
  <c r="Z45" i="258"/>
  <c r="AA45" i="258"/>
  <c r="D46" i="258"/>
  <c r="E46" i="258"/>
  <c r="F46" i="258"/>
  <c r="G46" i="258"/>
  <c r="H46" i="258"/>
  <c r="I46" i="258"/>
  <c r="J46" i="258"/>
  <c r="K46" i="258"/>
  <c r="L46" i="258"/>
  <c r="M46" i="258"/>
  <c r="N46" i="258"/>
  <c r="O46" i="258"/>
  <c r="P46" i="258"/>
  <c r="Q46" i="258"/>
  <c r="R46" i="258"/>
  <c r="S46" i="258"/>
  <c r="T46" i="258"/>
  <c r="U46" i="258"/>
  <c r="V46" i="258"/>
  <c r="W46" i="258"/>
  <c r="X46" i="258"/>
  <c r="Y46" i="258"/>
  <c r="Z46" i="258"/>
  <c r="AA46" i="258"/>
  <c r="D47" i="258"/>
  <c r="E47" i="258"/>
  <c r="F47" i="258"/>
  <c r="G47" i="258"/>
  <c r="H47" i="258"/>
  <c r="I47" i="258"/>
  <c r="J47" i="258"/>
  <c r="K47" i="258"/>
  <c r="L47" i="258"/>
  <c r="M47" i="258"/>
  <c r="N47" i="258"/>
  <c r="O47" i="258"/>
  <c r="P47" i="258"/>
  <c r="Q47" i="258"/>
  <c r="R47" i="258"/>
  <c r="S47" i="258"/>
  <c r="T47" i="258"/>
  <c r="U47" i="258"/>
  <c r="V47" i="258"/>
  <c r="W47" i="258"/>
  <c r="X47" i="258"/>
  <c r="Y47" i="258"/>
  <c r="Z47" i="258"/>
  <c r="AA47" i="258"/>
  <c r="D48" i="258"/>
  <c r="E48" i="258"/>
  <c r="F48" i="258"/>
  <c r="G48" i="258"/>
  <c r="H48" i="258"/>
  <c r="I48" i="258"/>
  <c r="J48" i="258"/>
  <c r="K48" i="258"/>
  <c r="L48" i="258"/>
  <c r="M48" i="258"/>
  <c r="N48" i="258"/>
  <c r="O48" i="258"/>
  <c r="P48" i="258"/>
  <c r="Q48" i="258"/>
  <c r="R48" i="258"/>
  <c r="S48" i="258"/>
  <c r="T48" i="258"/>
  <c r="U48" i="258"/>
  <c r="V48" i="258"/>
  <c r="W48" i="258"/>
  <c r="X48" i="258"/>
  <c r="Y48" i="258"/>
  <c r="Z48" i="258"/>
  <c r="AA48" i="258"/>
  <c r="D49" i="258"/>
  <c r="E49" i="258"/>
  <c r="F49" i="258"/>
  <c r="G49" i="258"/>
  <c r="H49" i="258"/>
  <c r="I49" i="258"/>
  <c r="J49" i="258"/>
  <c r="K49" i="258"/>
  <c r="L49" i="258"/>
  <c r="M49" i="258"/>
  <c r="N49" i="258"/>
  <c r="O49" i="258"/>
  <c r="P49" i="258"/>
  <c r="Q49" i="258"/>
  <c r="R49" i="258"/>
  <c r="S49" i="258"/>
  <c r="T49" i="258"/>
  <c r="U49" i="258"/>
  <c r="V49" i="258"/>
  <c r="W49" i="258"/>
  <c r="X49" i="258"/>
  <c r="Y49" i="258"/>
  <c r="Z49" i="258"/>
  <c r="AA49" i="258"/>
  <c r="D50" i="258"/>
  <c r="E50" i="258"/>
  <c r="F50" i="258"/>
  <c r="G50" i="258"/>
  <c r="H50" i="258"/>
  <c r="I50" i="258"/>
  <c r="J50" i="258"/>
  <c r="K50" i="258"/>
  <c r="L50" i="258"/>
  <c r="M50" i="258"/>
  <c r="N50" i="258"/>
  <c r="O50" i="258"/>
  <c r="P50" i="258"/>
  <c r="Q50" i="258"/>
  <c r="R50" i="258"/>
  <c r="S50" i="258"/>
  <c r="T50" i="258"/>
  <c r="U50" i="258"/>
  <c r="V50" i="258"/>
  <c r="W50" i="258"/>
  <c r="X50" i="258"/>
  <c r="Y50" i="258"/>
  <c r="Z50" i="258"/>
  <c r="AA50" i="258"/>
  <c r="D51" i="258"/>
  <c r="E51" i="258"/>
  <c r="F51" i="258"/>
  <c r="G51" i="258"/>
  <c r="H51" i="258"/>
  <c r="I51" i="258"/>
  <c r="J51" i="258"/>
  <c r="K51" i="258"/>
  <c r="L51" i="258"/>
  <c r="M51" i="258"/>
  <c r="N51" i="258"/>
  <c r="O51" i="258"/>
  <c r="P51" i="258"/>
  <c r="Q51" i="258"/>
  <c r="R51" i="258"/>
  <c r="S51" i="258"/>
  <c r="T51" i="258"/>
  <c r="U51" i="258"/>
  <c r="V51" i="258"/>
  <c r="W51" i="258"/>
  <c r="X51" i="258"/>
  <c r="Y51" i="258"/>
  <c r="Z51" i="258"/>
  <c r="AA51" i="258"/>
  <c r="D52" i="258"/>
  <c r="E52" i="258"/>
  <c r="F52" i="258"/>
  <c r="G52" i="258"/>
  <c r="H52" i="258"/>
  <c r="I52" i="258"/>
  <c r="J52" i="258"/>
  <c r="K52" i="258"/>
  <c r="L52" i="258"/>
  <c r="M52" i="258"/>
  <c r="N52" i="258"/>
  <c r="O52" i="258"/>
  <c r="P52" i="258"/>
  <c r="Q52" i="258"/>
  <c r="R52" i="258"/>
  <c r="S52" i="258"/>
  <c r="T52" i="258"/>
  <c r="U52" i="258"/>
  <c r="V52" i="258"/>
  <c r="W52" i="258"/>
  <c r="X52" i="258"/>
  <c r="Y52" i="258"/>
  <c r="Z52" i="258"/>
  <c r="AA52" i="258"/>
  <c r="D53" i="258"/>
  <c r="E53" i="258"/>
  <c r="F53" i="258"/>
  <c r="G53" i="258"/>
  <c r="H53" i="258"/>
  <c r="I53" i="258"/>
  <c r="J53" i="258"/>
  <c r="K53" i="258"/>
  <c r="L53" i="258"/>
  <c r="M53" i="258"/>
  <c r="N53" i="258"/>
  <c r="O53" i="258"/>
  <c r="P53" i="258"/>
  <c r="Q53" i="258"/>
  <c r="R53" i="258"/>
  <c r="S53" i="258"/>
  <c r="T53" i="258"/>
  <c r="U53" i="258"/>
  <c r="V53" i="258"/>
  <c r="W53" i="258"/>
  <c r="X53" i="258"/>
  <c r="Y53" i="258"/>
  <c r="Z53" i="258"/>
  <c r="AA53" i="258"/>
  <c r="D54" i="258"/>
  <c r="E54" i="258"/>
  <c r="F54" i="258"/>
  <c r="G54" i="258"/>
  <c r="H54" i="258"/>
  <c r="I54" i="258"/>
  <c r="J54" i="258"/>
  <c r="K54" i="258"/>
  <c r="L54" i="258"/>
  <c r="M54" i="258"/>
  <c r="N54" i="258"/>
  <c r="O54" i="258"/>
  <c r="P54" i="258"/>
  <c r="Q54" i="258"/>
  <c r="R54" i="258"/>
  <c r="S54" i="258"/>
  <c r="T54" i="258"/>
  <c r="U54" i="258"/>
  <c r="V54" i="258"/>
  <c r="W54" i="258"/>
  <c r="X54" i="258"/>
  <c r="Y54" i="258"/>
  <c r="Z54" i="258"/>
  <c r="AA54" i="258"/>
  <c r="D55" i="258"/>
  <c r="E55" i="258"/>
  <c r="F55" i="258"/>
  <c r="G55" i="258"/>
  <c r="H55" i="258"/>
  <c r="I55" i="258"/>
  <c r="J55" i="258"/>
  <c r="K55" i="258"/>
  <c r="L55" i="258"/>
  <c r="M55" i="258"/>
  <c r="N55" i="258"/>
  <c r="O55" i="258"/>
  <c r="P55" i="258"/>
  <c r="Q55" i="258"/>
  <c r="R55" i="258"/>
  <c r="S55" i="258"/>
  <c r="T55" i="258"/>
  <c r="U55" i="258"/>
  <c r="V55" i="258"/>
  <c r="W55" i="258"/>
  <c r="X55" i="258"/>
  <c r="Y55" i="258"/>
  <c r="Z55" i="258"/>
  <c r="AA55" i="258"/>
  <c r="D56" i="258"/>
  <c r="E56" i="258"/>
  <c r="F56" i="258"/>
  <c r="G56" i="258"/>
  <c r="H56" i="258"/>
  <c r="I56" i="258"/>
  <c r="J56" i="258"/>
  <c r="K56" i="258"/>
  <c r="L56" i="258"/>
  <c r="M56" i="258"/>
  <c r="N56" i="258"/>
  <c r="O56" i="258"/>
  <c r="P56" i="258"/>
  <c r="Q56" i="258"/>
  <c r="R56" i="258"/>
  <c r="S56" i="258"/>
  <c r="T56" i="258"/>
  <c r="U56" i="258"/>
  <c r="V56" i="258"/>
  <c r="W56" i="258"/>
  <c r="X56" i="258"/>
  <c r="Y56" i="258"/>
  <c r="Z56" i="258"/>
  <c r="AA56" i="258"/>
  <c r="D57" i="258"/>
  <c r="E57" i="258"/>
  <c r="F57" i="258"/>
  <c r="G57" i="258"/>
  <c r="H57" i="258"/>
  <c r="I57" i="258"/>
  <c r="J57" i="258"/>
  <c r="K57" i="258"/>
  <c r="L57" i="258"/>
  <c r="M57" i="258"/>
  <c r="N57" i="258"/>
  <c r="O57" i="258"/>
  <c r="P57" i="258"/>
  <c r="Q57" i="258"/>
  <c r="R57" i="258"/>
  <c r="S57" i="258"/>
  <c r="T57" i="258"/>
  <c r="U57" i="258"/>
  <c r="V57" i="258"/>
  <c r="W57" i="258"/>
  <c r="X57" i="258"/>
  <c r="Y57" i="258"/>
  <c r="Z57" i="258"/>
  <c r="AA57" i="258"/>
  <c r="D58" i="258"/>
  <c r="E58" i="258"/>
  <c r="F58" i="258"/>
  <c r="G58" i="258"/>
  <c r="H58" i="258"/>
  <c r="I58" i="258"/>
  <c r="J58" i="258"/>
  <c r="K58" i="258"/>
  <c r="L58" i="258"/>
  <c r="M58" i="258"/>
  <c r="N58" i="258"/>
  <c r="O58" i="258"/>
  <c r="P58" i="258"/>
  <c r="Q58" i="258"/>
  <c r="R58" i="258"/>
  <c r="S58" i="258"/>
  <c r="T58" i="258"/>
  <c r="U58" i="258"/>
  <c r="V58" i="258"/>
  <c r="W58" i="258"/>
  <c r="X58" i="258"/>
  <c r="Y58" i="258"/>
  <c r="Z58" i="258"/>
  <c r="AA58" i="258"/>
  <c r="D59" i="258"/>
  <c r="E59" i="258"/>
  <c r="F59" i="258"/>
  <c r="G59" i="258"/>
  <c r="H59" i="258"/>
  <c r="I59" i="258"/>
  <c r="J59" i="258"/>
  <c r="K59" i="258"/>
  <c r="L59" i="258"/>
  <c r="M59" i="258"/>
  <c r="N59" i="258"/>
  <c r="O59" i="258"/>
  <c r="P59" i="258"/>
  <c r="Q59" i="258"/>
  <c r="R59" i="258"/>
  <c r="S59" i="258"/>
  <c r="T59" i="258"/>
  <c r="U59" i="258"/>
  <c r="V59" i="258"/>
  <c r="W59" i="258"/>
  <c r="X59" i="258"/>
  <c r="Y59" i="258"/>
  <c r="Z59" i="258"/>
  <c r="AA59" i="258"/>
  <c r="D60" i="258"/>
  <c r="E60" i="258"/>
  <c r="F60" i="258"/>
  <c r="G60" i="258"/>
  <c r="H60" i="258"/>
  <c r="I60" i="258"/>
  <c r="J60" i="258"/>
  <c r="K60" i="258"/>
  <c r="L60" i="258"/>
  <c r="M60" i="258"/>
  <c r="N60" i="258"/>
  <c r="O60" i="258"/>
  <c r="P60" i="258"/>
  <c r="Q60" i="258"/>
  <c r="R60" i="258"/>
  <c r="S60" i="258"/>
  <c r="T60" i="258"/>
  <c r="U60" i="258"/>
  <c r="V60" i="258"/>
  <c r="X60" i="258"/>
  <c r="Y60" i="258"/>
  <c r="Z60" i="258"/>
  <c r="AA60" i="258"/>
  <c r="D61" i="258"/>
  <c r="E61" i="258"/>
  <c r="F61" i="258"/>
  <c r="G61" i="258"/>
  <c r="H61" i="258"/>
  <c r="I61" i="258"/>
  <c r="J61" i="258"/>
  <c r="K61" i="258"/>
  <c r="L61" i="258"/>
  <c r="M61" i="258"/>
  <c r="N61" i="258"/>
  <c r="O61" i="258"/>
  <c r="P61" i="258"/>
  <c r="Q61" i="258"/>
  <c r="R61" i="258"/>
  <c r="S61" i="258"/>
  <c r="T61" i="258"/>
  <c r="U61" i="258"/>
  <c r="V61" i="258"/>
  <c r="W61" i="258"/>
  <c r="X61" i="258"/>
  <c r="Y61" i="258"/>
  <c r="Z61" i="258"/>
  <c r="AA61" i="258"/>
  <c r="D62" i="258"/>
  <c r="E62" i="258"/>
  <c r="F62" i="258"/>
  <c r="G62" i="258"/>
  <c r="H62" i="258"/>
  <c r="I62" i="258"/>
  <c r="J62" i="258"/>
  <c r="K62" i="258"/>
  <c r="L62" i="258"/>
  <c r="M62" i="258"/>
  <c r="N62" i="258"/>
  <c r="O62" i="258"/>
  <c r="P62" i="258"/>
  <c r="Q62" i="258"/>
  <c r="R62" i="258"/>
  <c r="S62" i="258"/>
  <c r="T62" i="258"/>
  <c r="U62" i="258"/>
  <c r="V62" i="258"/>
  <c r="W62" i="258"/>
  <c r="X62" i="258"/>
  <c r="Y62" i="258"/>
  <c r="Z62" i="258"/>
  <c r="AA62" i="258"/>
  <c r="D63" i="258"/>
  <c r="E63" i="258"/>
  <c r="F63" i="258"/>
  <c r="G63" i="258"/>
  <c r="H63" i="258"/>
  <c r="I63" i="258"/>
  <c r="J63" i="258"/>
  <c r="K63" i="258"/>
  <c r="L63" i="258"/>
  <c r="M63" i="258"/>
  <c r="N63" i="258"/>
  <c r="O63" i="258"/>
  <c r="P63" i="258"/>
  <c r="Q63" i="258"/>
  <c r="R63" i="258"/>
  <c r="S63" i="258"/>
  <c r="T63" i="258"/>
  <c r="U63" i="258"/>
  <c r="V63" i="258"/>
  <c r="W63" i="258"/>
  <c r="X63" i="258"/>
  <c r="Y63" i="258"/>
  <c r="Z63" i="258"/>
  <c r="AA63" i="258"/>
  <c r="D64" i="258"/>
  <c r="E64" i="258"/>
  <c r="F64" i="258"/>
  <c r="G64" i="258"/>
  <c r="H64" i="258"/>
  <c r="I64" i="258"/>
  <c r="J64" i="258"/>
  <c r="K64" i="258"/>
  <c r="L64" i="258"/>
  <c r="M64" i="258"/>
  <c r="N64" i="258"/>
  <c r="O64" i="258"/>
  <c r="P64" i="258"/>
  <c r="Q64" i="258"/>
  <c r="R64" i="258"/>
  <c r="S64" i="258"/>
  <c r="T64" i="258"/>
  <c r="U64" i="258"/>
  <c r="V64" i="258"/>
  <c r="W64" i="258"/>
  <c r="X64" i="258"/>
  <c r="Y64" i="258"/>
  <c r="Z64" i="258"/>
  <c r="AA64" i="258"/>
  <c r="E5" i="258"/>
  <c r="F5" i="258"/>
  <c r="G5" i="258"/>
  <c r="H5" i="258"/>
  <c r="I5" i="258"/>
  <c r="J5" i="258"/>
  <c r="K5" i="258"/>
  <c r="L5" i="258"/>
  <c r="M5" i="258"/>
  <c r="N5" i="258"/>
  <c r="O5" i="258"/>
  <c r="P5" i="258"/>
  <c r="Q5" i="258"/>
  <c r="Q65" i="258" s="1"/>
  <c r="R5" i="258"/>
  <c r="S5" i="258"/>
  <c r="T5" i="258"/>
  <c r="U5" i="258"/>
  <c r="V5" i="258"/>
  <c r="W5" i="258"/>
  <c r="X5" i="258"/>
  <c r="Y5" i="258"/>
  <c r="Z5" i="258"/>
  <c r="AA5" i="258"/>
  <c r="D5" i="258"/>
  <c r="C6" i="258"/>
  <c r="C7" i="258"/>
  <c r="C8" i="258"/>
  <c r="C9" i="258"/>
  <c r="C10" i="258"/>
  <c r="C11" i="258"/>
  <c r="C12" i="258"/>
  <c r="C13" i="258"/>
  <c r="C14" i="258"/>
  <c r="C15" i="258"/>
  <c r="C16" i="258"/>
  <c r="C17" i="258"/>
  <c r="C18" i="258"/>
  <c r="C19" i="258"/>
  <c r="C20" i="258"/>
  <c r="C21" i="258"/>
  <c r="C22" i="258"/>
  <c r="C23" i="258"/>
  <c r="C24" i="258"/>
  <c r="C25" i="258"/>
  <c r="C26" i="258"/>
  <c r="C27" i="258"/>
  <c r="C28" i="258"/>
  <c r="C29" i="258"/>
  <c r="C30" i="258"/>
  <c r="C31" i="258"/>
  <c r="C32" i="258"/>
  <c r="C33" i="258"/>
  <c r="C34" i="258"/>
  <c r="C35" i="258"/>
  <c r="C36" i="258"/>
  <c r="C37" i="258"/>
  <c r="C38" i="258"/>
  <c r="C39" i="258"/>
  <c r="C40" i="258"/>
  <c r="C41" i="258"/>
  <c r="C42" i="258"/>
  <c r="C43" i="258"/>
  <c r="C44" i="258"/>
  <c r="C45" i="258"/>
  <c r="C46" i="258"/>
  <c r="C47" i="258"/>
  <c r="C48" i="258"/>
  <c r="C49" i="258"/>
  <c r="C50" i="258"/>
  <c r="C51" i="258"/>
  <c r="C52" i="258"/>
  <c r="C53" i="258"/>
  <c r="C54" i="258"/>
  <c r="C55" i="258"/>
  <c r="C56" i="258"/>
  <c r="C57" i="258"/>
  <c r="C58" i="258"/>
  <c r="C59" i="258"/>
  <c r="C60" i="258"/>
  <c r="C61" i="258"/>
  <c r="C62" i="258"/>
  <c r="C63" i="258"/>
  <c r="C64" i="258"/>
  <c r="C5" i="258"/>
  <c r="B6" i="258"/>
  <c r="B7" i="258"/>
  <c r="B8" i="258"/>
  <c r="B9" i="258"/>
  <c r="B10" i="258"/>
  <c r="B11" i="258"/>
  <c r="B12" i="258"/>
  <c r="B13" i="258"/>
  <c r="B14" i="258"/>
  <c r="B15" i="258"/>
  <c r="B16" i="258"/>
  <c r="B17" i="258"/>
  <c r="B18" i="258"/>
  <c r="B19" i="258"/>
  <c r="B20" i="258"/>
  <c r="B21" i="258"/>
  <c r="B22" i="258"/>
  <c r="B23" i="258"/>
  <c r="B24" i="258"/>
  <c r="B25" i="258"/>
  <c r="B26" i="258"/>
  <c r="B27" i="258"/>
  <c r="B28" i="258"/>
  <c r="B29" i="258"/>
  <c r="B30" i="258"/>
  <c r="B31" i="258"/>
  <c r="B32" i="258"/>
  <c r="B33" i="258"/>
  <c r="B34" i="258"/>
  <c r="B35" i="258"/>
  <c r="B36" i="258"/>
  <c r="B37" i="258"/>
  <c r="B38" i="258"/>
  <c r="B39" i="258"/>
  <c r="B40" i="258"/>
  <c r="B41" i="258"/>
  <c r="B42" i="258"/>
  <c r="B43" i="258"/>
  <c r="B44" i="258"/>
  <c r="B45" i="258"/>
  <c r="B46" i="258"/>
  <c r="B47" i="258"/>
  <c r="B48" i="258"/>
  <c r="B49" i="258"/>
  <c r="B50" i="258"/>
  <c r="B51" i="258"/>
  <c r="B52" i="258"/>
  <c r="B53" i="258"/>
  <c r="B54" i="258"/>
  <c r="B55" i="258"/>
  <c r="B56" i="258"/>
  <c r="B57" i="258"/>
  <c r="B58" i="258"/>
  <c r="B59" i="258"/>
  <c r="B60" i="258"/>
  <c r="B61" i="258"/>
  <c r="B62" i="258"/>
  <c r="B63" i="258"/>
  <c r="B64" i="258"/>
  <c r="I65" i="258"/>
  <c r="Y65" i="258"/>
  <c r="E65" i="258"/>
  <c r="B5" i="258"/>
  <c r="X65" i="258"/>
  <c r="D65" i="258"/>
  <c r="A6" i="258"/>
  <c r="A7" i="258" s="1"/>
  <c r="A8" i="258" s="1"/>
  <c r="A9" i="258" s="1"/>
  <c r="A10" i="258" s="1"/>
  <c r="A11" i="258" s="1"/>
  <c r="A12" i="258" s="1"/>
  <c r="A13" i="258" s="1"/>
  <c r="A14" i="258" s="1"/>
  <c r="A15" i="258" s="1"/>
  <c r="A16" i="258" s="1"/>
  <c r="A17" i="258" s="1"/>
  <c r="A18" i="258" s="1"/>
  <c r="A19" i="258" s="1"/>
  <c r="A20" i="258" s="1"/>
  <c r="A21" i="258" s="1"/>
  <c r="A22" i="258" s="1"/>
  <c r="A23" i="258" s="1"/>
  <c r="A24" i="258" s="1"/>
  <c r="A25" i="258" s="1"/>
  <c r="A26" i="258" s="1"/>
  <c r="A27" i="258" s="1"/>
  <c r="A28" i="258" s="1"/>
  <c r="A29" i="258" s="1"/>
  <c r="A30" i="258" s="1"/>
  <c r="A31" i="258" s="1"/>
  <c r="A32" i="258" s="1"/>
  <c r="A33" i="258" s="1"/>
  <c r="A34" i="258" s="1"/>
  <c r="A35" i="258" s="1"/>
  <c r="A36" i="258" s="1"/>
  <c r="A37" i="258" s="1"/>
  <c r="A38" i="258" s="1"/>
  <c r="A39" i="258" s="1"/>
  <c r="A40" i="258" s="1"/>
  <c r="A41" i="258" s="1"/>
  <c r="A42" i="258" s="1"/>
  <c r="A43" i="258" s="1"/>
  <c r="A44" i="258" s="1"/>
  <c r="A45" i="258" s="1"/>
  <c r="A46" i="258" s="1"/>
  <c r="A47" i="258" s="1"/>
  <c r="A48" i="258" s="1"/>
  <c r="A49" i="258" s="1"/>
  <c r="A50" i="258" s="1"/>
  <c r="A51" i="258" s="1"/>
  <c r="A52" i="258" s="1"/>
  <c r="A53" i="258" s="1"/>
  <c r="A54" i="258" s="1"/>
  <c r="A55" i="258" s="1"/>
  <c r="A56" i="258" s="1"/>
  <c r="A57" i="258" s="1"/>
  <c r="A58" i="258" s="1"/>
  <c r="A59" i="258" s="1"/>
  <c r="A60" i="258" s="1"/>
  <c r="A61" i="258" s="1"/>
  <c r="A62" i="258" s="1"/>
  <c r="A63" i="258" s="1"/>
  <c r="A64" i="258" s="1"/>
  <c r="A65" i="258" s="1"/>
  <c r="E9" i="160"/>
  <c r="E13" i="160"/>
  <c r="E16" i="160"/>
  <c r="E12" i="160"/>
  <c r="E10" i="160"/>
  <c r="E15" i="160"/>
  <c r="E11" i="160"/>
  <c r="E14" i="160"/>
  <c r="E8" i="160"/>
  <c r="F7" i="69"/>
  <c r="E15" i="69"/>
  <c r="E14" i="69"/>
  <c r="F5" i="69"/>
  <c r="A101" i="257"/>
  <c r="A102" i="257"/>
  <c r="A103" i="257" s="1"/>
  <c r="A104" i="257" s="1"/>
  <c r="A105" i="257" s="1"/>
  <c r="A106" i="257" s="1"/>
  <c r="A107" i="257" s="1"/>
  <c r="A108" i="257" s="1"/>
  <c r="A109" i="257" s="1"/>
  <c r="A110" i="257" s="1"/>
  <c r="A111" i="257" s="1"/>
  <c r="A112" i="257" s="1"/>
  <c r="A113" i="257" s="1"/>
  <c r="A68" i="257"/>
  <c r="A69" i="257" s="1"/>
  <c r="A70" i="257" s="1"/>
  <c r="A71" i="257" s="1"/>
  <c r="A72" i="257" s="1"/>
  <c r="A73" i="257" s="1"/>
  <c r="A74" i="257" s="1"/>
  <c r="A75" i="257" s="1"/>
  <c r="A76" i="257" s="1"/>
  <c r="A77" i="257" s="1"/>
  <c r="A78" i="257" s="1"/>
  <c r="A79" i="257" s="1"/>
  <c r="A80" i="257" s="1"/>
  <c r="A81" i="257" s="1"/>
  <c r="A82" i="257" s="1"/>
  <c r="A83" i="257" s="1"/>
  <c r="A84" i="257" s="1"/>
  <c r="A85" i="257" s="1"/>
  <c r="A86" i="257" s="1"/>
  <c r="A87" i="257" s="1"/>
  <c r="A88" i="257" s="1"/>
  <c r="A89" i="257" s="1"/>
  <c r="A90" i="257" s="1"/>
  <c r="A91" i="257" s="1"/>
  <c r="A92" i="257" s="1"/>
  <c r="A93" i="257" s="1"/>
  <c r="A94" i="257" s="1"/>
  <c r="A95" i="257" s="1"/>
  <c r="A96" i="257" s="1"/>
  <c r="A14" i="257"/>
  <c r="A15" i="257"/>
  <c r="A16" i="257" s="1"/>
  <c r="A17" i="257" s="1"/>
  <c r="A18" i="257" s="1"/>
  <c r="A19" i="257" s="1"/>
  <c r="A20" i="257" s="1"/>
  <c r="A21" i="257" s="1"/>
  <c r="A22" i="257" s="1"/>
  <c r="A23" i="257" s="1"/>
  <c r="A24" i="257" s="1"/>
  <c r="A25" i="257" s="1"/>
  <c r="A26" i="257" s="1"/>
  <c r="A27" i="257" s="1"/>
  <c r="A28" i="257" s="1"/>
  <c r="A29" i="257" s="1"/>
  <c r="A30" i="257" s="1"/>
  <c r="A31" i="257" s="1"/>
  <c r="A32" i="257" s="1"/>
  <c r="A33" i="257" s="1"/>
  <c r="A34" i="257" s="1"/>
  <c r="A35" i="257" s="1"/>
  <c r="A36" i="257" s="1"/>
  <c r="A37" i="257" s="1"/>
  <c r="A38" i="257" s="1"/>
  <c r="A39" i="257" s="1"/>
  <c r="A40" i="257" s="1"/>
  <c r="A41" i="257" s="1"/>
  <c r="A42" i="257" s="1"/>
  <c r="A43" i="257" s="1"/>
  <c r="A44" i="257" s="1"/>
  <c r="A45" i="257" s="1"/>
  <c r="A46" i="257" s="1"/>
  <c r="A47" i="257" s="1"/>
  <c r="A48" i="257" s="1"/>
  <c r="A49" i="257" s="1"/>
  <c r="A50" i="257" s="1"/>
  <c r="A51" i="257" s="1"/>
  <c r="A52" i="257" s="1"/>
  <c r="A53" i="257" s="1"/>
  <c r="A54" i="257" s="1"/>
  <c r="A55" i="257" s="1"/>
  <c r="A56" i="257" s="1"/>
  <c r="A13" i="257"/>
  <c r="A7" i="257"/>
  <c r="A8" i="257" s="1"/>
  <c r="A9" i="257" s="1"/>
  <c r="A10" i="257" s="1"/>
  <c r="A12" i="257" s="1"/>
  <c r="AC96" i="257"/>
  <c r="AB96" i="257"/>
  <c r="AA96" i="257"/>
  <c r="Z96" i="257"/>
  <c r="Y96" i="257"/>
  <c r="X96" i="257"/>
  <c r="W96" i="257"/>
  <c r="R96" i="257"/>
  <c r="Q96" i="257"/>
  <c r="N96" i="257"/>
  <c r="J96" i="257"/>
  <c r="I96" i="257"/>
  <c r="H96" i="257"/>
  <c r="G96" i="257"/>
  <c r="E96" i="257"/>
  <c r="D96" i="257"/>
  <c r="C96" i="257"/>
  <c r="B96" i="257"/>
  <c r="AC95" i="257"/>
  <c r="AB95" i="257"/>
  <c r="AA95" i="257"/>
  <c r="Z95" i="257"/>
  <c r="Y95" i="257"/>
  <c r="X95" i="257"/>
  <c r="W95" i="257"/>
  <c r="R95" i="257"/>
  <c r="Q95" i="257"/>
  <c r="N95" i="257"/>
  <c r="J95" i="257"/>
  <c r="I95" i="257"/>
  <c r="H95" i="257"/>
  <c r="G95" i="257"/>
  <c r="E95" i="257"/>
  <c r="D95" i="257"/>
  <c r="C95" i="257"/>
  <c r="B95" i="257"/>
  <c r="AC51" i="257"/>
  <c r="AB51" i="257"/>
  <c r="AA51" i="257"/>
  <c r="Z51" i="257"/>
  <c r="Y51" i="257"/>
  <c r="X51" i="257"/>
  <c r="W51" i="257"/>
  <c r="R51" i="257"/>
  <c r="Q51" i="257"/>
  <c r="N51" i="257"/>
  <c r="J51" i="257"/>
  <c r="I51" i="257"/>
  <c r="H51" i="257"/>
  <c r="G51" i="257"/>
  <c r="E51" i="257"/>
  <c r="D51" i="257"/>
  <c r="C51" i="257"/>
  <c r="B51" i="257"/>
  <c r="AC94" i="257"/>
  <c r="AB94" i="257"/>
  <c r="AA94" i="257"/>
  <c r="Z94" i="257"/>
  <c r="Y94" i="257"/>
  <c r="X94" i="257"/>
  <c r="W94" i="257"/>
  <c r="R94" i="257"/>
  <c r="Q94" i="257"/>
  <c r="N94" i="257"/>
  <c r="J94" i="257"/>
  <c r="I94" i="257"/>
  <c r="H94" i="257"/>
  <c r="G94" i="257"/>
  <c r="E94" i="257"/>
  <c r="D94" i="257"/>
  <c r="C94" i="257"/>
  <c r="B94" i="257"/>
  <c r="AC50" i="257"/>
  <c r="AB50" i="257"/>
  <c r="AA50" i="257"/>
  <c r="Z50" i="257"/>
  <c r="Y50" i="257"/>
  <c r="X50" i="257"/>
  <c r="W50" i="257"/>
  <c r="R50" i="257"/>
  <c r="Q50" i="257"/>
  <c r="N50" i="257"/>
  <c r="J50" i="257"/>
  <c r="I50" i="257"/>
  <c r="H50" i="257"/>
  <c r="G50" i="257"/>
  <c r="E50" i="257"/>
  <c r="D50" i="257"/>
  <c r="C50" i="257"/>
  <c r="B50" i="257"/>
  <c r="AC93" i="257"/>
  <c r="AB93" i="257"/>
  <c r="AA93" i="257"/>
  <c r="Z93" i="257"/>
  <c r="Y93" i="257"/>
  <c r="X93" i="257"/>
  <c r="W93" i="257"/>
  <c r="R93" i="257"/>
  <c r="Q93" i="257"/>
  <c r="N93" i="257"/>
  <c r="J93" i="257"/>
  <c r="I93" i="257"/>
  <c r="H93" i="257"/>
  <c r="G93" i="257"/>
  <c r="E93" i="257"/>
  <c r="D93" i="257"/>
  <c r="C93" i="257"/>
  <c r="B93" i="257"/>
  <c r="AC92" i="257"/>
  <c r="AB92" i="257"/>
  <c r="AA92" i="257"/>
  <c r="Z92" i="257"/>
  <c r="Y92" i="257"/>
  <c r="X92" i="257"/>
  <c r="W92" i="257"/>
  <c r="R92" i="257"/>
  <c r="Q92" i="257"/>
  <c r="N92" i="257"/>
  <c r="J92" i="257"/>
  <c r="I92" i="257"/>
  <c r="H92" i="257"/>
  <c r="G92" i="257"/>
  <c r="E92" i="257"/>
  <c r="D92" i="257"/>
  <c r="C92" i="257"/>
  <c r="B92" i="257"/>
  <c r="AC91" i="257"/>
  <c r="AB91" i="257"/>
  <c r="AA91" i="257"/>
  <c r="Z91" i="257"/>
  <c r="Y91" i="257"/>
  <c r="X91" i="257"/>
  <c r="W91" i="257"/>
  <c r="R91" i="257"/>
  <c r="Q91" i="257"/>
  <c r="N91" i="257"/>
  <c r="J91" i="257"/>
  <c r="I91" i="257"/>
  <c r="H91" i="257"/>
  <c r="G91" i="257"/>
  <c r="E91" i="257"/>
  <c r="D91" i="257"/>
  <c r="C91" i="257"/>
  <c r="B91" i="257"/>
  <c r="AC90" i="257"/>
  <c r="AB90" i="257"/>
  <c r="AA90" i="257"/>
  <c r="Z90" i="257"/>
  <c r="Y90" i="257"/>
  <c r="X90" i="257"/>
  <c r="W90" i="257"/>
  <c r="R90" i="257"/>
  <c r="Q90" i="257"/>
  <c r="N90" i="257"/>
  <c r="J90" i="257"/>
  <c r="I90" i="257"/>
  <c r="H90" i="257"/>
  <c r="G90" i="257"/>
  <c r="E90" i="257"/>
  <c r="D90" i="257"/>
  <c r="C90" i="257"/>
  <c r="B90" i="257"/>
  <c r="AC89" i="257"/>
  <c r="AB89" i="257"/>
  <c r="AA89" i="257"/>
  <c r="Z89" i="257"/>
  <c r="Y89" i="257"/>
  <c r="X89" i="257"/>
  <c r="W89" i="257"/>
  <c r="R89" i="257"/>
  <c r="Q89" i="257"/>
  <c r="N89" i="257"/>
  <c r="J89" i="257"/>
  <c r="I89" i="257"/>
  <c r="H89" i="257"/>
  <c r="G89" i="257"/>
  <c r="E89" i="257"/>
  <c r="D89" i="257"/>
  <c r="C89" i="257"/>
  <c r="B89" i="257"/>
  <c r="AC56" i="257"/>
  <c r="AB56" i="257"/>
  <c r="AA56" i="257"/>
  <c r="Z56" i="257"/>
  <c r="Y56" i="257"/>
  <c r="X56" i="257"/>
  <c r="W56" i="257"/>
  <c r="R56" i="257"/>
  <c r="Q56" i="257"/>
  <c r="N56" i="257"/>
  <c r="J56" i="257"/>
  <c r="I56" i="257"/>
  <c r="H56" i="257"/>
  <c r="G56" i="257"/>
  <c r="E56" i="257"/>
  <c r="D56" i="257"/>
  <c r="C56" i="257"/>
  <c r="B56" i="257"/>
  <c r="AC55" i="257"/>
  <c r="AB55" i="257"/>
  <c r="AA55" i="257"/>
  <c r="Z55" i="257"/>
  <c r="Y55" i="257"/>
  <c r="X55" i="257"/>
  <c r="W55" i="257"/>
  <c r="R55" i="257"/>
  <c r="Q55" i="257"/>
  <c r="N55" i="257"/>
  <c r="J55" i="257"/>
  <c r="I55" i="257"/>
  <c r="H55" i="257"/>
  <c r="G55" i="257"/>
  <c r="E55" i="257"/>
  <c r="D55" i="257"/>
  <c r="C55" i="257"/>
  <c r="B55" i="257"/>
  <c r="AC49" i="257"/>
  <c r="AB49" i="257"/>
  <c r="AA49" i="257"/>
  <c r="Z49" i="257"/>
  <c r="Y49" i="257"/>
  <c r="X49" i="257"/>
  <c r="W49" i="257"/>
  <c r="R49" i="257"/>
  <c r="Q49" i="257"/>
  <c r="N49" i="257"/>
  <c r="J49" i="257"/>
  <c r="I49" i="257"/>
  <c r="H49" i="257"/>
  <c r="G49" i="257"/>
  <c r="E49" i="257"/>
  <c r="D49" i="257"/>
  <c r="C49" i="257"/>
  <c r="B49" i="257"/>
  <c r="AC88" i="257"/>
  <c r="AB88" i="257"/>
  <c r="AA88" i="257"/>
  <c r="Z88" i="257"/>
  <c r="Y88" i="257"/>
  <c r="X88" i="257"/>
  <c r="W88" i="257"/>
  <c r="R88" i="257"/>
  <c r="Q88" i="257"/>
  <c r="N88" i="257"/>
  <c r="J88" i="257"/>
  <c r="I88" i="257"/>
  <c r="H88" i="257"/>
  <c r="G88" i="257"/>
  <c r="E88" i="257"/>
  <c r="D88" i="257"/>
  <c r="C88" i="257"/>
  <c r="B88" i="257"/>
  <c r="AC87" i="257"/>
  <c r="AB87" i="257"/>
  <c r="AA87" i="257"/>
  <c r="Z87" i="257"/>
  <c r="Y87" i="257"/>
  <c r="X87" i="257"/>
  <c r="W87" i="257"/>
  <c r="R87" i="257"/>
  <c r="Q87" i="257"/>
  <c r="N87" i="257"/>
  <c r="J87" i="257"/>
  <c r="I87" i="257"/>
  <c r="H87" i="257"/>
  <c r="G87" i="257"/>
  <c r="E87" i="257"/>
  <c r="D87" i="257"/>
  <c r="C87" i="257"/>
  <c r="B87" i="257"/>
  <c r="AC122" i="257"/>
  <c r="AB122" i="257"/>
  <c r="AA122" i="257"/>
  <c r="Z122" i="257"/>
  <c r="Y122" i="257"/>
  <c r="X122" i="257"/>
  <c r="W122" i="257"/>
  <c r="R122" i="257"/>
  <c r="Q122" i="257"/>
  <c r="N122" i="257"/>
  <c r="J122" i="257"/>
  <c r="I122" i="257"/>
  <c r="H122" i="257"/>
  <c r="G122" i="257"/>
  <c r="E122" i="257"/>
  <c r="D122" i="257"/>
  <c r="C122" i="257"/>
  <c r="B122" i="257"/>
  <c r="AC121" i="257"/>
  <c r="AB121" i="257"/>
  <c r="AA121" i="257"/>
  <c r="Z121" i="257"/>
  <c r="Y121" i="257"/>
  <c r="X121" i="257"/>
  <c r="W121" i="257"/>
  <c r="R121" i="257"/>
  <c r="Q121" i="257"/>
  <c r="N121" i="257"/>
  <c r="J121" i="257"/>
  <c r="I121" i="257"/>
  <c r="H121" i="257"/>
  <c r="G121" i="257"/>
  <c r="E121" i="257"/>
  <c r="D121" i="257"/>
  <c r="C121" i="257"/>
  <c r="B121" i="257"/>
  <c r="AC86" i="257"/>
  <c r="AB86" i="257"/>
  <c r="AA86" i="257"/>
  <c r="Z86" i="257"/>
  <c r="Y86" i="257"/>
  <c r="X86" i="257"/>
  <c r="W86" i="257"/>
  <c r="R86" i="257"/>
  <c r="Q86" i="257"/>
  <c r="N86" i="257"/>
  <c r="J86" i="257"/>
  <c r="I86" i="257"/>
  <c r="H86" i="257"/>
  <c r="G86" i="257"/>
  <c r="E86" i="257"/>
  <c r="D86" i="257"/>
  <c r="C86" i="257"/>
  <c r="B86" i="257"/>
  <c r="AC85" i="257"/>
  <c r="AB85" i="257"/>
  <c r="AA85" i="257"/>
  <c r="Z85" i="257"/>
  <c r="Y85" i="257"/>
  <c r="X85" i="257"/>
  <c r="W85" i="257"/>
  <c r="R85" i="257"/>
  <c r="Q85" i="257"/>
  <c r="N85" i="257"/>
  <c r="J85" i="257"/>
  <c r="I85" i="257"/>
  <c r="H85" i="257"/>
  <c r="G85" i="257"/>
  <c r="E85" i="257"/>
  <c r="D85" i="257"/>
  <c r="C85" i="257"/>
  <c r="B85" i="257"/>
  <c r="AC84" i="257"/>
  <c r="AB84" i="257"/>
  <c r="AA84" i="257"/>
  <c r="Z84" i="257"/>
  <c r="Y84" i="257"/>
  <c r="X84" i="257"/>
  <c r="W84" i="257"/>
  <c r="R84" i="257"/>
  <c r="Q84" i="257"/>
  <c r="N84" i="257"/>
  <c r="J84" i="257"/>
  <c r="I84" i="257"/>
  <c r="H84" i="257"/>
  <c r="G84" i="257"/>
  <c r="E84" i="257"/>
  <c r="D84" i="257"/>
  <c r="C84" i="257"/>
  <c r="B84" i="257"/>
  <c r="AC113" i="257"/>
  <c r="AB113" i="257"/>
  <c r="AA113" i="257"/>
  <c r="Z113" i="257"/>
  <c r="Y113" i="257"/>
  <c r="X113" i="257"/>
  <c r="W113" i="257"/>
  <c r="R113" i="257"/>
  <c r="Q113" i="257"/>
  <c r="N113" i="257"/>
  <c r="J113" i="257"/>
  <c r="I113" i="257"/>
  <c r="H113" i="257"/>
  <c r="G113" i="257"/>
  <c r="E113" i="257"/>
  <c r="D113" i="257"/>
  <c r="C113" i="257"/>
  <c r="B113" i="257"/>
  <c r="AC83" i="257"/>
  <c r="AB83" i="257"/>
  <c r="AA83" i="257"/>
  <c r="Z83" i="257"/>
  <c r="Y83" i="257"/>
  <c r="X83" i="257"/>
  <c r="W83" i="257"/>
  <c r="R83" i="257"/>
  <c r="Q83" i="257"/>
  <c r="N83" i="257"/>
  <c r="J83" i="257"/>
  <c r="I83" i="257"/>
  <c r="H83" i="257"/>
  <c r="G83" i="257"/>
  <c r="E83" i="257"/>
  <c r="D83" i="257"/>
  <c r="C83" i="257"/>
  <c r="B83" i="257"/>
  <c r="AC82" i="257"/>
  <c r="AB82" i="257"/>
  <c r="AA82" i="257"/>
  <c r="Z82" i="257"/>
  <c r="Y82" i="257"/>
  <c r="X82" i="257"/>
  <c r="W82" i="257"/>
  <c r="R82" i="257"/>
  <c r="Q82" i="257"/>
  <c r="N82" i="257"/>
  <c r="J82" i="257"/>
  <c r="I82" i="257"/>
  <c r="H82" i="257"/>
  <c r="G82" i="257"/>
  <c r="E82" i="257"/>
  <c r="D82" i="257"/>
  <c r="C82" i="257"/>
  <c r="B82" i="257"/>
  <c r="AC81" i="257"/>
  <c r="AB81" i="257"/>
  <c r="AA81" i="257"/>
  <c r="Z81" i="257"/>
  <c r="Y81" i="257"/>
  <c r="X81" i="257"/>
  <c r="W81" i="257"/>
  <c r="R81" i="257"/>
  <c r="Q81" i="257"/>
  <c r="N81" i="257"/>
  <c r="J81" i="257"/>
  <c r="I81" i="257"/>
  <c r="H81" i="257"/>
  <c r="G81" i="257"/>
  <c r="E81" i="257"/>
  <c r="D81" i="257"/>
  <c r="C81" i="257"/>
  <c r="B81" i="257"/>
  <c r="AC80" i="257"/>
  <c r="AB80" i="257"/>
  <c r="AA80" i="257"/>
  <c r="Z80" i="257"/>
  <c r="Y80" i="257"/>
  <c r="X80" i="257"/>
  <c r="W80" i="257"/>
  <c r="R80" i="257"/>
  <c r="Q80" i="257"/>
  <c r="N80" i="257"/>
  <c r="J80" i="257"/>
  <c r="I80" i="257"/>
  <c r="H80" i="257"/>
  <c r="G80" i="257"/>
  <c r="E80" i="257"/>
  <c r="D80" i="257"/>
  <c r="C80" i="257"/>
  <c r="B80" i="257"/>
  <c r="AC10" i="257"/>
  <c r="AB10" i="257"/>
  <c r="AA10" i="257"/>
  <c r="Z10" i="257"/>
  <c r="Y10" i="257"/>
  <c r="X10" i="257"/>
  <c r="W10" i="257"/>
  <c r="R10" i="257"/>
  <c r="Q10" i="257"/>
  <c r="N10" i="257"/>
  <c r="J10" i="257"/>
  <c r="I10" i="257"/>
  <c r="H10" i="257"/>
  <c r="G10" i="257"/>
  <c r="E10" i="257"/>
  <c r="D10" i="257"/>
  <c r="C10" i="257"/>
  <c r="B10" i="257"/>
  <c r="AC79" i="257"/>
  <c r="AB79" i="257"/>
  <c r="AA79" i="257"/>
  <c r="Z79" i="257"/>
  <c r="Y79" i="257"/>
  <c r="X79" i="257"/>
  <c r="W79" i="257"/>
  <c r="R79" i="257"/>
  <c r="Q79" i="257"/>
  <c r="N79" i="257"/>
  <c r="J79" i="257"/>
  <c r="I79" i="257"/>
  <c r="H79" i="257"/>
  <c r="G79" i="257"/>
  <c r="E79" i="257"/>
  <c r="D79" i="257"/>
  <c r="C79" i="257"/>
  <c r="B79" i="257"/>
  <c r="AC78" i="257"/>
  <c r="AB78" i="257"/>
  <c r="AA78" i="257"/>
  <c r="Z78" i="257"/>
  <c r="Y78" i="257"/>
  <c r="X78" i="257"/>
  <c r="W78" i="257"/>
  <c r="R78" i="257"/>
  <c r="Q78" i="257"/>
  <c r="N78" i="257"/>
  <c r="J78" i="257"/>
  <c r="I78" i="257"/>
  <c r="H78" i="257"/>
  <c r="G78" i="257"/>
  <c r="E78" i="257"/>
  <c r="D78" i="257"/>
  <c r="C78" i="257"/>
  <c r="B78" i="257"/>
  <c r="AC112" i="257"/>
  <c r="AB112" i="257"/>
  <c r="AA112" i="257"/>
  <c r="Z112" i="257"/>
  <c r="Y112" i="257"/>
  <c r="X112" i="257"/>
  <c r="W112" i="257"/>
  <c r="R112" i="257"/>
  <c r="Q112" i="257"/>
  <c r="N112" i="257"/>
  <c r="J112" i="257"/>
  <c r="I112" i="257"/>
  <c r="H112" i="257"/>
  <c r="G112" i="257"/>
  <c r="E112" i="257"/>
  <c r="D112" i="257"/>
  <c r="C112" i="257"/>
  <c r="B112" i="257"/>
  <c r="AC77" i="257"/>
  <c r="AB77" i="257"/>
  <c r="AA77" i="257"/>
  <c r="Z77" i="257"/>
  <c r="Y77" i="257"/>
  <c r="X77" i="257"/>
  <c r="W77" i="257"/>
  <c r="R77" i="257"/>
  <c r="Q77" i="257"/>
  <c r="N77" i="257"/>
  <c r="J77" i="257"/>
  <c r="I77" i="257"/>
  <c r="H77" i="257"/>
  <c r="G77" i="257"/>
  <c r="E77" i="257"/>
  <c r="D77" i="257"/>
  <c r="C77" i="257"/>
  <c r="B77" i="257"/>
  <c r="AC48" i="257"/>
  <c r="AB48" i="257"/>
  <c r="AA48" i="257"/>
  <c r="Z48" i="257"/>
  <c r="Y48" i="257"/>
  <c r="X48" i="257"/>
  <c r="W48" i="257"/>
  <c r="R48" i="257"/>
  <c r="Q48" i="257"/>
  <c r="N48" i="257"/>
  <c r="J48" i="257"/>
  <c r="I48" i="257"/>
  <c r="H48" i="257"/>
  <c r="G48" i="257"/>
  <c r="E48" i="257"/>
  <c r="D48" i="257"/>
  <c r="C48" i="257"/>
  <c r="B48" i="257"/>
  <c r="AC54" i="257"/>
  <c r="AB54" i="257"/>
  <c r="AA54" i="257"/>
  <c r="Z54" i="257"/>
  <c r="Y54" i="257"/>
  <c r="X54" i="257"/>
  <c r="W54" i="257"/>
  <c r="R54" i="257"/>
  <c r="Q54" i="257"/>
  <c r="N54" i="257"/>
  <c r="J54" i="257"/>
  <c r="I54" i="257"/>
  <c r="H54" i="257"/>
  <c r="G54" i="257"/>
  <c r="E54" i="257"/>
  <c r="D54" i="257"/>
  <c r="C54" i="257"/>
  <c r="B54" i="257"/>
  <c r="AC76" i="257"/>
  <c r="AB76" i="257"/>
  <c r="AA76" i="257"/>
  <c r="Z76" i="257"/>
  <c r="Y76" i="257"/>
  <c r="X76" i="257"/>
  <c r="W76" i="257"/>
  <c r="R76" i="257"/>
  <c r="Q76" i="257"/>
  <c r="N76" i="257"/>
  <c r="J76" i="257"/>
  <c r="I76" i="257"/>
  <c r="H76" i="257"/>
  <c r="G76" i="257"/>
  <c r="E76" i="257"/>
  <c r="D76" i="257"/>
  <c r="C76" i="257"/>
  <c r="B76" i="257"/>
  <c r="AC47" i="257"/>
  <c r="AB47" i="257"/>
  <c r="AA47" i="257"/>
  <c r="Z47" i="257"/>
  <c r="Y47" i="257"/>
  <c r="X47" i="257"/>
  <c r="W47" i="257"/>
  <c r="R47" i="257"/>
  <c r="Q47" i="257"/>
  <c r="N47" i="257"/>
  <c r="J47" i="257"/>
  <c r="I47" i="257"/>
  <c r="H47" i="257"/>
  <c r="G47" i="257"/>
  <c r="E47" i="257"/>
  <c r="D47" i="257"/>
  <c r="C47" i="257"/>
  <c r="B47" i="257"/>
  <c r="AC75" i="257"/>
  <c r="AB75" i="257"/>
  <c r="AA75" i="257"/>
  <c r="Z75" i="257"/>
  <c r="Y75" i="257"/>
  <c r="X75" i="257"/>
  <c r="W75" i="257"/>
  <c r="R75" i="257"/>
  <c r="Q75" i="257"/>
  <c r="N75" i="257"/>
  <c r="J75" i="257"/>
  <c r="I75" i="257"/>
  <c r="H75" i="257"/>
  <c r="G75" i="257"/>
  <c r="E75" i="257"/>
  <c r="D75" i="257"/>
  <c r="C75" i="257"/>
  <c r="B75" i="257"/>
  <c r="AC74" i="257"/>
  <c r="AB74" i="257"/>
  <c r="AA74" i="257"/>
  <c r="Z74" i="257"/>
  <c r="Y74" i="257"/>
  <c r="X74" i="257"/>
  <c r="W74" i="257"/>
  <c r="R74" i="257"/>
  <c r="Q74" i="257"/>
  <c r="N74" i="257"/>
  <c r="J74" i="257"/>
  <c r="I74" i="257"/>
  <c r="H74" i="257"/>
  <c r="G74" i="257"/>
  <c r="E74" i="257"/>
  <c r="D74" i="257"/>
  <c r="C74" i="257"/>
  <c r="B74" i="257"/>
  <c r="AC60" i="257"/>
  <c r="AB60" i="257"/>
  <c r="AA60" i="257"/>
  <c r="Z60" i="257"/>
  <c r="Y60" i="257"/>
  <c r="X60" i="257"/>
  <c r="W60" i="257"/>
  <c r="R60" i="257"/>
  <c r="Q60" i="257"/>
  <c r="N60" i="257"/>
  <c r="J60" i="257"/>
  <c r="I60" i="257"/>
  <c r="H60" i="257"/>
  <c r="G60" i="257"/>
  <c r="E60" i="257"/>
  <c r="D60" i="257"/>
  <c r="C60" i="257"/>
  <c r="B60" i="257"/>
  <c r="AC46" i="257"/>
  <c r="AB46" i="257"/>
  <c r="AA46" i="257"/>
  <c r="Z46" i="257"/>
  <c r="Y46" i="257"/>
  <c r="X46" i="257"/>
  <c r="W46" i="257"/>
  <c r="R46" i="257"/>
  <c r="Q46" i="257"/>
  <c r="N46" i="257"/>
  <c r="J46" i="257"/>
  <c r="I46" i="257"/>
  <c r="H46" i="257"/>
  <c r="G46" i="257"/>
  <c r="E46" i="257"/>
  <c r="D46" i="257"/>
  <c r="C46" i="257"/>
  <c r="B46" i="257"/>
  <c r="AC45" i="257"/>
  <c r="AB45" i="257"/>
  <c r="AA45" i="257"/>
  <c r="Z45" i="257"/>
  <c r="Y45" i="257"/>
  <c r="X45" i="257"/>
  <c r="W45" i="257"/>
  <c r="R45" i="257"/>
  <c r="Q45" i="257"/>
  <c r="N45" i="257"/>
  <c r="J45" i="257"/>
  <c r="I45" i="257"/>
  <c r="H45" i="257"/>
  <c r="G45" i="257"/>
  <c r="E45" i="257"/>
  <c r="D45" i="257"/>
  <c r="C45" i="257"/>
  <c r="B45" i="257"/>
  <c r="AC53" i="257"/>
  <c r="AB53" i="257"/>
  <c r="AA53" i="257"/>
  <c r="Z53" i="257"/>
  <c r="Y53" i="257"/>
  <c r="X53" i="257"/>
  <c r="W53" i="257"/>
  <c r="R53" i="257"/>
  <c r="Q53" i="257"/>
  <c r="N53" i="257"/>
  <c r="J53" i="257"/>
  <c r="I53" i="257"/>
  <c r="H53" i="257"/>
  <c r="G53" i="257"/>
  <c r="E53" i="257"/>
  <c r="D53" i="257"/>
  <c r="C53" i="257"/>
  <c r="B53" i="257"/>
  <c r="AC9" i="257"/>
  <c r="AB9" i="257"/>
  <c r="AA9" i="257"/>
  <c r="Z9" i="257"/>
  <c r="Y9" i="257"/>
  <c r="X9" i="257"/>
  <c r="W9" i="257"/>
  <c r="R9" i="257"/>
  <c r="Q9" i="257"/>
  <c r="N9" i="257"/>
  <c r="J9" i="257"/>
  <c r="I9" i="257"/>
  <c r="H9" i="257"/>
  <c r="G9" i="257"/>
  <c r="E9" i="257"/>
  <c r="D9" i="257"/>
  <c r="C9" i="257"/>
  <c r="B9" i="257"/>
  <c r="AC44" i="257"/>
  <c r="AB44" i="257"/>
  <c r="AA44" i="257"/>
  <c r="Z44" i="257"/>
  <c r="Y44" i="257"/>
  <c r="X44" i="257"/>
  <c r="W44" i="257"/>
  <c r="R44" i="257"/>
  <c r="Q44" i="257"/>
  <c r="N44" i="257"/>
  <c r="J44" i="257"/>
  <c r="I44" i="257"/>
  <c r="H44" i="257"/>
  <c r="G44" i="257"/>
  <c r="E44" i="257"/>
  <c r="D44" i="257"/>
  <c r="C44" i="257"/>
  <c r="B44" i="257"/>
  <c r="AC43" i="257"/>
  <c r="AB43" i="257"/>
  <c r="AA43" i="257"/>
  <c r="Z43" i="257"/>
  <c r="Y43" i="257"/>
  <c r="X43" i="257"/>
  <c r="W43" i="257"/>
  <c r="R43" i="257"/>
  <c r="Q43" i="257"/>
  <c r="N43" i="257"/>
  <c r="J43" i="257"/>
  <c r="I43" i="257"/>
  <c r="H43" i="257"/>
  <c r="G43" i="257"/>
  <c r="E43" i="257"/>
  <c r="D43" i="257"/>
  <c r="C43" i="257"/>
  <c r="B43" i="257"/>
  <c r="AC42" i="257"/>
  <c r="AB42" i="257"/>
  <c r="AA42" i="257"/>
  <c r="Z42" i="257"/>
  <c r="Y42" i="257"/>
  <c r="X42" i="257"/>
  <c r="W42" i="257"/>
  <c r="R42" i="257"/>
  <c r="Q42" i="257"/>
  <c r="N42" i="257"/>
  <c r="J42" i="257"/>
  <c r="I42" i="257"/>
  <c r="H42" i="257"/>
  <c r="G42" i="257"/>
  <c r="E42" i="257"/>
  <c r="D42" i="257"/>
  <c r="C42" i="257"/>
  <c r="B42" i="257"/>
  <c r="AC41" i="257"/>
  <c r="AB41" i="257"/>
  <c r="AA41" i="257"/>
  <c r="Z41" i="257"/>
  <c r="Y41" i="257"/>
  <c r="X41" i="257"/>
  <c r="W41" i="257"/>
  <c r="R41" i="257"/>
  <c r="Q41" i="257"/>
  <c r="N41" i="257"/>
  <c r="J41" i="257"/>
  <c r="I41" i="257"/>
  <c r="H41" i="257"/>
  <c r="G41" i="257"/>
  <c r="E41" i="257"/>
  <c r="D41" i="257"/>
  <c r="C41" i="257"/>
  <c r="B41" i="257"/>
  <c r="AC40" i="257"/>
  <c r="AB40" i="257"/>
  <c r="AA40" i="257"/>
  <c r="Z40" i="257"/>
  <c r="Y40" i="257"/>
  <c r="X40" i="257"/>
  <c r="W40" i="257"/>
  <c r="R40" i="257"/>
  <c r="Q40" i="257"/>
  <c r="N40" i="257"/>
  <c r="J40" i="257"/>
  <c r="I40" i="257"/>
  <c r="H40" i="257"/>
  <c r="G40" i="257"/>
  <c r="E40" i="257"/>
  <c r="D40" i="257"/>
  <c r="C40" i="257"/>
  <c r="B40" i="257"/>
  <c r="AC117" i="257"/>
  <c r="AB117" i="257"/>
  <c r="AA117" i="257"/>
  <c r="Z117" i="257"/>
  <c r="Y117" i="257"/>
  <c r="X117" i="257"/>
  <c r="W117" i="257"/>
  <c r="R117" i="257"/>
  <c r="Q117" i="257"/>
  <c r="N117" i="257"/>
  <c r="J117" i="257"/>
  <c r="I117" i="257"/>
  <c r="H117" i="257"/>
  <c r="G117" i="257"/>
  <c r="E117" i="257"/>
  <c r="D117" i="257"/>
  <c r="C117" i="257"/>
  <c r="B117" i="257"/>
  <c r="AC98" i="257"/>
  <c r="AB98" i="257"/>
  <c r="AA98" i="257"/>
  <c r="Z98" i="257"/>
  <c r="Y98" i="257"/>
  <c r="X98" i="257"/>
  <c r="W98" i="257"/>
  <c r="R98" i="257"/>
  <c r="Q98" i="257"/>
  <c r="N98" i="257"/>
  <c r="J98" i="257"/>
  <c r="I98" i="257"/>
  <c r="H98" i="257"/>
  <c r="G98" i="257"/>
  <c r="E98" i="257"/>
  <c r="D98" i="257"/>
  <c r="C98" i="257"/>
  <c r="B98" i="257"/>
  <c r="AC116" i="257"/>
  <c r="AB116" i="257"/>
  <c r="AA116" i="257"/>
  <c r="Z116" i="257"/>
  <c r="Y116" i="257"/>
  <c r="X116" i="257"/>
  <c r="W116" i="257"/>
  <c r="R116" i="257"/>
  <c r="Q116" i="257"/>
  <c r="N116" i="257"/>
  <c r="J116" i="257"/>
  <c r="I116" i="257"/>
  <c r="H116" i="257"/>
  <c r="G116" i="257"/>
  <c r="E116" i="257"/>
  <c r="D116" i="257"/>
  <c r="C116" i="257"/>
  <c r="B116" i="257"/>
  <c r="AC104" i="257"/>
  <c r="AB104" i="257"/>
  <c r="AA104" i="257"/>
  <c r="Z104" i="257"/>
  <c r="Y104" i="257"/>
  <c r="X104" i="257"/>
  <c r="W104" i="257"/>
  <c r="R104" i="257"/>
  <c r="Q104" i="257"/>
  <c r="N104" i="257"/>
  <c r="J104" i="257"/>
  <c r="I104" i="257"/>
  <c r="H104" i="257"/>
  <c r="G104" i="257"/>
  <c r="E104" i="257"/>
  <c r="D104" i="257"/>
  <c r="C104" i="257"/>
  <c r="B104" i="257"/>
  <c r="AC73" i="257"/>
  <c r="AB73" i="257"/>
  <c r="AA73" i="257"/>
  <c r="Z73" i="257"/>
  <c r="Y73" i="257"/>
  <c r="X73" i="257"/>
  <c r="W73" i="257"/>
  <c r="R73" i="257"/>
  <c r="Q73" i="257"/>
  <c r="N73" i="257"/>
  <c r="J73" i="257"/>
  <c r="I73" i="257"/>
  <c r="H73" i="257"/>
  <c r="G73" i="257"/>
  <c r="E73" i="257"/>
  <c r="D73" i="257"/>
  <c r="C73" i="257"/>
  <c r="B73" i="257"/>
  <c r="AC59" i="257"/>
  <c r="AB59" i="257"/>
  <c r="AA59" i="257"/>
  <c r="Z59" i="257"/>
  <c r="Y59" i="257"/>
  <c r="X59" i="257"/>
  <c r="W59" i="257"/>
  <c r="R59" i="257"/>
  <c r="Q59" i="257"/>
  <c r="N59" i="257"/>
  <c r="J59" i="257"/>
  <c r="I59" i="257"/>
  <c r="H59" i="257"/>
  <c r="G59" i="257"/>
  <c r="E59" i="257"/>
  <c r="D59" i="257"/>
  <c r="C59" i="257"/>
  <c r="B59" i="257"/>
  <c r="AC115" i="257"/>
  <c r="AB115" i="257"/>
  <c r="AA115" i="257"/>
  <c r="AA118" i="257" s="1"/>
  <c r="Z115" i="257"/>
  <c r="Z118" i="257" s="1"/>
  <c r="Y115" i="257"/>
  <c r="Y118" i="257" s="1"/>
  <c r="X115" i="257"/>
  <c r="X118" i="257" s="1"/>
  <c r="W115" i="257"/>
  <c r="W118" i="257" s="1"/>
  <c r="R115" i="257"/>
  <c r="Q115" i="257"/>
  <c r="Q118" i="257" s="1"/>
  <c r="N115" i="257"/>
  <c r="N118" i="257" s="1"/>
  <c r="J115" i="257"/>
  <c r="I115" i="257"/>
  <c r="I118" i="257" s="1"/>
  <c r="H115" i="257"/>
  <c r="G115" i="257"/>
  <c r="G118" i="257" s="1"/>
  <c r="E115" i="257"/>
  <c r="E118" i="257" s="1"/>
  <c r="D115" i="257"/>
  <c r="D118" i="257" s="1"/>
  <c r="C115" i="257"/>
  <c r="B115" i="257"/>
  <c r="AC39" i="257"/>
  <c r="AB39" i="257"/>
  <c r="AA39" i="257"/>
  <c r="Z39" i="257"/>
  <c r="Y39" i="257"/>
  <c r="X39" i="257"/>
  <c r="W39" i="257"/>
  <c r="R39" i="257"/>
  <c r="Q39" i="257"/>
  <c r="N39" i="257"/>
  <c r="J39" i="257"/>
  <c r="I39" i="257"/>
  <c r="H39" i="257"/>
  <c r="G39" i="257"/>
  <c r="E39" i="257"/>
  <c r="D39" i="257"/>
  <c r="C39" i="257"/>
  <c r="B39" i="257"/>
  <c r="AC120" i="257"/>
  <c r="AB120" i="257"/>
  <c r="AA120" i="257"/>
  <c r="Z120" i="257"/>
  <c r="Y120" i="257"/>
  <c r="X120" i="257"/>
  <c r="W120" i="257"/>
  <c r="R120" i="257"/>
  <c r="Q120" i="257"/>
  <c r="N120" i="257"/>
  <c r="J120" i="257"/>
  <c r="I120" i="257"/>
  <c r="H120" i="257"/>
  <c r="G120" i="257"/>
  <c r="E120" i="257"/>
  <c r="D120" i="257"/>
  <c r="C120" i="257"/>
  <c r="B120" i="257"/>
  <c r="AC111" i="257"/>
  <c r="AB111" i="257"/>
  <c r="AA111" i="257"/>
  <c r="Z111" i="257"/>
  <c r="Y111" i="257"/>
  <c r="X111" i="257"/>
  <c r="W111" i="257"/>
  <c r="R111" i="257"/>
  <c r="Q111" i="257"/>
  <c r="N111" i="257"/>
  <c r="J111" i="257"/>
  <c r="I111" i="257"/>
  <c r="H111" i="257"/>
  <c r="G111" i="257"/>
  <c r="E111" i="257"/>
  <c r="D111" i="257"/>
  <c r="C111" i="257"/>
  <c r="B111" i="257"/>
  <c r="AC110" i="257"/>
  <c r="AB110" i="257"/>
  <c r="AA110" i="257"/>
  <c r="Z110" i="257"/>
  <c r="Y110" i="257"/>
  <c r="X110" i="257"/>
  <c r="W110" i="257"/>
  <c r="R110" i="257"/>
  <c r="Q110" i="257"/>
  <c r="N110" i="257"/>
  <c r="J110" i="257"/>
  <c r="I110" i="257"/>
  <c r="H110" i="257"/>
  <c r="G110" i="257"/>
  <c r="E110" i="257"/>
  <c r="D110" i="257"/>
  <c r="C110" i="257"/>
  <c r="B110" i="257"/>
  <c r="AC103" i="257"/>
  <c r="AB103" i="257"/>
  <c r="AA103" i="257"/>
  <c r="Z103" i="257"/>
  <c r="Y103" i="257"/>
  <c r="X103" i="257"/>
  <c r="W103" i="257"/>
  <c r="R103" i="257"/>
  <c r="Q103" i="257"/>
  <c r="N103" i="257"/>
  <c r="J103" i="257"/>
  <c r="I103" i="257"/>
  <c r="H103" i="257"/>
  <c r="G103" i="257"/>
  <c r="E103" i="257"/>
  <c r="D103" i="257"/>
  <c r="C103" i="257"/>
  <c r="B103" i="257"/>
  <c r="AC72" i="257"/>
  <c r="AB72" i="257"/>
  <c r="AA72" i="257"/>
  <c r="Z72" i="257"/>
  <c r="Y72" i="257"/>
  <c r="X72" i="257"/>
  <c r="W72" i="257"/>
  <c r="R72" i="257"/>
  <c r="Q72" i="257"/>
  <c r="N72" i="257"/>
  <c r="J72" i="257"/>
  <c r="I72" i="257"/>
  <c r="H72" i="257"/>
  <c r="G72" i="257"/>
  <c r="E72" i="257"/>
  <c r="D72" i="257"/>
  <c r="C72" i="257"/>
  <c r="B72" i="257"/>
  <c r="AC71" i="257"/>
  <c r="AB71" i="257"/>
  <c r="AA71" i="257"/>
  <c r="Z71" i="257"/>
  <c r="Y71" i="257"/>
  <c r="X71" i="257"/>
  <c r="W71" i="257"/>
  <c r="R71" i="257"/>
  <c r="Q71" i="257"/>
  <c r="N71" i="257"/>
  <c r="J71" i="257"/>
  <c r="I71" i="257"/>
  <c r="H71" i="257"/>
  <c r="G71" i="257"/>
  <c r="E71" i="257"/>
  <c r="D71" i="257"/>
  <c r="C71" i="257"/>
  <c r="B71" i="257"/>
  <c r="AC70" i="257"/>
  <c r="AB70" i="257"/>
  <c r="AA70" i="257"/>
  <c r="Z70" i="257"/>
  <c r="Y70" i="257"/>
  <c r="X70" i="257"/>
  <c r="W70" i="257"/>
  <c r="R70" i="257"/>
  <c r="Q70" i="257"/>
  <c r="N70" i="257"/>
  <c r="J70" i="257"/>
  <c r="I70" i="257"/>
  <c r="H70" i="257"/>
  <c r="G70" i="257"/>
  <c r="E70" i="257"/>
  <c r="D70" i="257"/>
  <c r="C70" i="257"/>
  <c r="B70" i="257"/>
  <c r="AC69" i="257"/>
  <c r="AB69" i="257"/>
  <c r="AA69" i="257"/>
  <c r="Z69" i="257"/>
  <c r="Y69" i="257"/>
  <c r="X69" i="257"/>
  <c r="W69" i="257"/>
  <c r="R69" i="257"/>
  <c r="Q69" i="257"/>
  <c r="N69" i="257"/>
  <c r="J69" i="257"/>
  <c r="I69" i="257"/>
  <c r="H69" i="257"/>
  <c r="G69" i="257"/>
  <c r="E69" i="257"/>
  <c r="D69" i="257"/>
  <c r="C69" i="257"/>
  <c r="B69" i="257"/>
  <c r="AC109" i="257"/>
  <c r="AB109" i="257"/>
  <c r="AA109" i="257"/>
  <c r="Z109" i="257"/>
  <c r="Y109" i="257"/>
  <c r="X109" i="257"/>
  <c r="W109" i="257"/>
  <c r="R109" i="257"/>
  <c r="Q109" i="257"/>
  <c r="N109" i="257"/>
  <c r="J109" i="257"/>
  <c r="I109" i="257"/>
  <c r="H109" i="257"/>
  <c r="G109" i="257"/>
  <c r="E109" i="257"/>
  <c r="D109" i="257"/>
  <c r="C109" i="257"/>
  <c r="B109" i="257"/>
  <c r="AC119" i="257"/>
  <c r="AB119" i="257"/>
  <c r="AA119" i="257"/>
  <c r="AA123" i="257" s="1"/>
  <c r="Z119" i="257"/>
  <c r="Z123" i="257" s="1"/>
  <c r="Y119" i="257"/>
  <c r="X119" i="257"/>
  <c r="X123" i="257" s="1"/>
  <c r="W119" i="257"/>
  <c r="R119" i="257"/>
  <c r="R123" i="257" s="1"/>
  <c r="Q119" i="257"/>
  <c r="N119" i="257"/>
  <c r="N123" i="257" s="1"/>
  <c r="J119" i="257"/>
  <c r="J123" i="257" s="1"/>
  <c r="I119" i="257"/>
  <c r="H119" i="257"/>
  <c r="H123" i="257" s="1"/>
  <c r="G119" i="257"/>
  <c r="E119" i="257"/>
  <c r="D119" i="257"/>
  <c r="D123" i="257" s="1"/>
  <c r="C119" i="257"/>
  <c r="B119" i="257"/>
  <c r="AC38" i="257"/>
  <c r="AB38" i="257"/>
  <c r="AA38" i="257"/>
  <c r="Z38" i="257"/>
  <c r="Y38" i="257"/>
  <c r="X38" i="257"/>
  <c r="W38" i="257"/>
  <c r="R38" i="257"/>
  <c r="Q38" i="257"/>
  <c r="N38" i="257"/>
  <c r="J38" i="257"/>
  <c r="I38" i="257"/>
  <c r="H38" i="257"/>
  <c r="G38" i="257"/>
  <c r="E38" i="257"/>
  <c r="D38" i="257"/>
  <c r="C38" i="257"/>
  <c r="B38" i="257"/>
  <c r="AC37" i="257"/>
  <c r="AB37" i="257"/>
  <c r="AA37" i="257"/>
  <c r="Z37" i="257"/>
  <c r="Y37" i="257"/>
  <c r="X37" i="257"/>
  <c r="W37" i="257"/>
  <c r="R37" i="257"/>
  <c r="Q37" i="257"/>
  <c r="N37" i="257"/>
  <c r="J37" i="257"/>
  <c r="I37" i="257"/>
  <c r="H37" i="257"/>
  <c r="G37" i="257"/>
  <c r="E37" i="257"/>
  <c r="D37" i="257"/>
  <c r="C37" i="257"/>
  <c r="B37" i="257"/>
  <c r="AC101" i="257"/>
  <c r="AB101" i="257"/>
  <c r="AA101" i="257"/>
  <c r="Z101" i="257"/>
  <c r="Y101" i="257"/>
  <c r="X101" i="257"/>
  <c r="W101" i="257"/>
  <c r="R101" i="257"/>
  <c r="Q101" i="257"/>
  <c r="N101" i="257"/>
  <c r="J101" i="257"/>
  <c r="I101" i="257"/>
  <c r="H101" i="257"/>
  <c r="G101" i="257"/>
  <c r="E101" i="257"/>
  <c r="D101" i="257"/>
  <c r="C101" i="257"/>
  <c r="B101" i="257"/>
  <c r="AC68" i="257"/>
  <c r="AB68" i="257"/>
  <c r="AA68" i="257"/>
  <c r="Z68" i="257"/>
  <c r="Y68" i="257"/>
  <c r="X68" i="257"/>
  <c r="W68" i="257"/>
  <c r="R68" i="257"/>
  <c r="Q68" i="257"/>
  <c r="N68" i="257"/>
  <c r="J68" i="257"/>
  <c r="I68" i="257"/>
  <c r="H68" i="257"/>
  <c r="G68" i="257"/>
  <c r="E68" i="257"/>
  <c r="D68" i="257"/>
  <c r="C68" i="257"/>
  <c r="B68" i="257"/>
  <c r="AC36" i="257"/>
  <c r="AB36" i="257"/>
  <c r="AA36" i="257"/>
  <c r="Z36" i="257"/>
  <c r="Y36" i="257"/>
  <c r="X36" i="257"/>
  <c r="W36" i="257"/>
  <c r="R36" i="257"/>
  <c r="Q36" i="257"/>
  <c r="N36" i="257"/>
  <c r="J36" i="257"/>
  <c r="I36" i="257"/>
  <c r="H36" i="257"/>
  <c r="G36" i="257"/>
  <c r="E36" i="257"/>
  <c r="D36" i="257"/>
  <c r="C36" i="257"/>
  <c r="B36" i="257"/>
  <c r="AC35" i="257"/>
  <c r="AB35" i="257"/>
  <c r="AA35" i="257"/>
  <c r="Z35" i="257"/>
  <c r="Y35" i="257"/>
  <c r="X35" i="257"/>
  <c r="W35" i="257"/>
  <c r="R35" i="257"/>
  <c r="Q35" i="257"/>
  <c r="N35" i="257"/>
  <c r="J35" i="257"/>
  <c r="I35" i="257"/>
  <c r="H35" i="257"/>
  <c r="G35" i="257"/>
  <c r="E35" i="257"/>
  <c r="D35" i="257"/>
  <c r="C35" i="257"/>
  <c r="B35" i="257"/>
  <c r="AC34" i="257"/>
  <c r="AB34" i="257"/>
  <c r="AA34" i="257"/>
  <c r="Z34" i="257"/>
  <c r="Y34" i="257"/>
  <c r="X34" i="257"/>
  <c r="W34" i="257"/>
  <c r="R34" i="257"/>
  <c r="Q34" i="257"/>
  <c r="N34" i="257"/>
  <c r="J34" i="257"/>
  <c r="I34" i="257"/>
  <c r="H34" i="257"/>
  <c r="G34" i="257"/>
  <c r="E34" i="257"/>
  <c r="D34" i="257"/>
  <c r="C34" i="257"/>
  <c r="B34" i="257"/>
  <c r="AC33" i="257"/>
  <c r="AB33" i="257"/>
  <c r="AA33" i="257"/>
  <c r="Z33" i="257"/>
  <c r="Y33" i="257"/>
  <c r="X33" i="257"/>
  <c r="W33" i="257"/>
  <c r="R33" i="257"/>
  <c r="Q33" i="257"/>
  <c r="N33" i="257"/>
  <c r="J33" i="257"/>
  <c r="I33" i="257"/>
  <c r="H33" i="257"/>
  <c r="G33" i="257"/>
  <c r="E33" i="257"/>
  <c r="D33" i="257"/>
  <c r="C33" i="257"/>
  <c r="B33" i="257"/>
  <c r="AC124" i="257"/>
  <c r="AB124" i="257"/>
  <c r="AA124" i="257"/>
  <c r="AA125" i="257" s="1"/>
  <c r="Z124" i="257"/>
  <c r="Z125" i="257" s="1"/>
  <c r="Y124" i="257"/>
  <c r="Y125" i="257" s="1"/>
  <c r="X124" i="257"/>
  <c r="X125" i="257" s="1"/>
  <c r="W124" i="257"/>
  <c r="W125" i="257" s="1"/>
  <c r="R124" i="257"/>
  <c r="R125" i="257" s="1"/>
  <c r="Q124" i="257"/>
  <c r="Q125" i="257" s="1"/>
  <c r="N124" i="257"/>
  <c r="N125" i="257" s="1"/>
  <c r="J124" i="257"/>
  <c r="J125" i="257" s="1"/>
  <c r="I124" i="257"/>
  <c r="I125" i="257" s="1"/>
  <c r="H124" i="257"/>
  <c r="H125" i="257" s="1"/>
  <c r="G124" i="257"/>
  <c r="G125" i="257" s="1"/>
  <c r="E124" i="257"/>
  <c r="E125" i="257" s="1"/>
  <c r="D124" i="257"/>
  <c r="D125" i="257" s="1"/>
  <c r="C124" i="257"/>
  <c r="B124" i="257"/>
  <c r="AC52" i="257"/>
  <c r="AB52" i="257"/>
  <c r="AA52" i="257"/>
  <c r="Z52" i="257"/>
  <c r="Y52" i="257"/>
  <c r="X52" i="257"/>
  <c r="W52" i="257"/>
  <c r="R52" i="257"/>
  <c r="Q52" i="257"/>
  <c r="N52" i="257"/>
  <c r="J52" i="257"/>
  <c r="I52" i="257"/>
  <c r="H52" i="257"/>
  <c r="G52" i="257"/>
  <c r="E52" i="257"/>
  <c r="D52" i="257"/>
  <c r="C52" i="257"/>
  <c r="B52" i="257"/>
  <c r="AC32" i="257"/>
  <c r="AB32" i="257"/>
  <c r="AA32" i="257"/>
  <c r="Z32" i="257"/>
  <c r="Y32" i="257"/>
  <c r="X32" i="257"/>
  <c r="W32" i="257"/>
  <c r="R32" i="257"/>
  <c r="Q32" i="257"/>
  <c r="N32" i="257"/>
  <c r="J32" i="257"/>
  <c r="I32" i="257"/>
  <c r="H32" i="257"/>
  <c r="G32" i="257"/>
  <c r="E32" i="257"/>
  <c r="D32" i="257"/>
  <c r="C32" i="257"/>
  <c r="B32" i="257"/>
  <c r="AC67" i="257"/>
  <c r="AB67" i="257"/>
  <c r="AA67" i="257"/>
  <c r="Z67" i="257"/>
  <c r="Y67" i="257"/>
  <c r="X67" i="257"/>
  <c r="W67" i="257"/>
  <c r="R67" i="257"/>
  <c r="Q67" i="257"/>
  <c r="N67" i="257"/>
  <c r="J67" i="257"/>
  <c r="I67" i="257"/>
  <c r="H67" i="257"/>
  <c r="G67" i="257"/>
  <c r="E67" i="257"/>
  <c r="D67" i="257"/>
  <c r="C67" i="257"/>
  <c r="B67" i="257"/>
  <c r="AC31" i="257"/>
  <c r="AB31" i="257"/>
  <c r="AA31" i="257"/>
  <c r="Z31" i="257"/>
  <c r="Y31" i="257"/>
  <c r="X31" i="257"/>
  <c r="W31" i="257"/>
  <c r="R31" i="257"/>
  <c r="Q31" i="257"/>
  <c r="N31" i="257"/>
  <c r="J31" i="257"/>
  <c r="I31" i="257"/>
  <c r="H31" i="257"/>
  <c r="G31" i="257"/>
  <c r="E31" i="257"/>
  <c r="D31" i="257"/>
  <c r="C31" i="257"/>
  <c r="B31" i="257"/>
  <c r="AC30" i="257"/>
  <c r="AB30" i="257"/>
  <c r="AA30" i="257"/>
  <c r="Z30" i="257"/>
  <c r="Y30" i="257"/>
  <c r="X30" i="257"/>
  <c r="W30" i="257"/>
  <c r="R30" i="257"/>
  <c r="Q30" i="257"/>
  <c r="N30" i="257"/>
  <c r="J30" i="257"/>
  <c r="I30" i="257"/>
  <c r="H30" i="257"/>
  <c r="G30" i="257"/>
  <c r="E30" i="257"/>
  <c r="D30" i="257"/>
  <c r="C30" i="257"/>
  <c r="B30" i="257"/>
  <c r="AC8" i="257"/>
  <c r="AB8" i="257"/>
  <c r="AA8" i="257"/>
  <c r="Z8" i="257"/>
  <c r="Y8" i="257"/>
  <c r="X8" i="257"/>
  <c r="W8" i="257"/>
  <c r="R8" i="257"/>
  <c r="Q8" i="257"/>
  <c r="N8" i="257"/>
  <c r="J8" i="257"/>
  <c r="I8" i="257"/>
  <c r="H8" i="257"/>
  <c r="G8" i="257"/>
  <c r="E8" i="257"/>
  <c r="D8" i="257"/>
  <c r="C8" i="257"/>
  <c r="B8" i="257"/>
  <c r="AC108" i="257"/>
  <c r="AB108" i="257"/>
  <c r="AA108" i="257"/>
  <c r="Z108" i="257"/>
  <c r="Y108" i="257"/>
  <c r="X108" i="257"/>
  <c r="W108" i="257"/>
  <c r="R108" i="257"/>
  <c r="Q108" i="257"/>
  <c r="N108" i="257"/>
  <c r="J108" i="257"/>
  <c r="I108" i="257"/>
  <c r="H108" i="257"/>
  <c r="G108" i="257"/>
  <c r="E108" i="257"/>
  <c r="D108" i="257"/>
  <c r="C108" i="257"/>
  <c r="B108" i="257"/>
  <c r="AC29" i="257"/>
  <c r="AB29" i="257"/>
  <c r="AA29" i="257"/>
  <c r="Z29" i="257"/>
  <c r="Y29" i="257"/>
  <c r="X29" i="257"/>
  <c r="W29" i="257"/>
  <c r="R29" i="257"/>
  <c r="Q29" i="257"/>
  <c r="N29" i="257"/>
  <c r="J29" i="257"/>
  <c r="I29" i="257"/>
  <c r="H29" i="257"/>
  <c r="G29" i="257"/>
  <c r="E29" i="257"/>
  <c r="D29" i="257"/>
  <c r="C29" i="257"/>
  <c r="B29" i="257"/>
  <c r="AC107" i="257"/>
  <c r="AB107" i="257"/>
  <c r="AA107" i="257"/>
  <c r="Z107" i="257"/>
  <c r="Y107" i="257"/>
  <c r="X107" i="257"/>
  <c r="W107" i="257"/>
  <c r="R107" i="257"/>
  <c r="Q107" i="257"/>
  <c r="N107" i="257"/>
  <c r="J107" i="257"/>
  <c r="I107" i="257"/>
  <c r="H107" i="257"/>
  <c r="G107" i="257"/>
  <c r="E107" i="257"/>
  <c r="D107" i="257"/>
  <c r="C107" i="257"/>
  <c r="B107" i="257"/>
  <c r="AC28" i="257"/>
  <c r="AB28" i="257"/>
  <c r="AA28" i="257"/>
  <c r="Z28" i="257"/>
  <c r="Y28" i="257"/>
  <c r="X28" i="257"/>
  <c r="W28" i="257"/>
  <c r="R28" i="257"/>
  <c r="Q28" i="257"/>
  <c r="N28" i="257"/>
  <c r="J28" i="257"/>
  <c r="I28" i="257"/>
  <c r="H28" i="257"/>
  <c r="G28" i="257"/>
  <c r="E28" i="257"/>
  <c r="D28" i="257"/>
  <c r="C28" i="257"/>
  <c r="B28" i="257"/>
  <c r="AC27" i="257"/>
  <c r="AB27" i="257"/>
  <c r="AA27" i="257"/>
  <c r="Z27" i="257"/>
  <c r="Y27" i="257"/>
  <c r="X27" i="257"/>
  <c r="W27" i="257"/>
  <c r="R27" i="257"/>
  <c r="Q27" i="257"/>
  <c r="N27" i="257"/>
  <c r="J27" i="257"/>
  <c r="I27" i="257"/>
  <c r="H27" i="257"/>
  <c r="G27" i="257"/>
  <c r="E27" i="257"/>
  <c r="D27" i="257"/>
  <c r="C27" i="257"/>
  <c r="B27" i="257"/>
  <c r="AC100" i="257"/>
  <c r="AB100" i="257"/>
  <c r="AA100" i="257"/>
  <c r="Z100" i="257"/>
  <c r="Y100" i="257"/>
  <c r="X100" i="257"/>
  <c r="W100" i="257"/>
  <c r="R100" i="257"/>
  <c r="Q100" i="257"/>
  <c r="N100" i="257"/>
  <c r="J100" i="257"/>
  <c r="I100" i="257"/>
  <c r="H100" i="257"/>
  <c r="G100" i="257"/>
  <c r="E100" i="257"/>
  <c r="D100" i="257"/>
  <c r="C100" i="257"/>
  <c r="B100" i="257"/>
  <c r="AC99" i="257"/>
  <c r="AB99" i="257"/>
  <c r="AA99" i="257"/>
  <c r="Z99" i="257"/>
  <c r="Y99" i="257"/>
  <c r="X99" i="257"/>
  <c r="W99" i="257"/>
  <c r="R99" i="257"/>
  <c r="Q99" i="257"/>
  <c r="N99" i="257"/>
  <c r="J99" i="257"/>
  <c r="I99" i="257"/>
  <c r="H99" i="257"/>
  <c r="G99" i="257"/>
  <c r="E99" i="257"/>
  <c r="D99" i="257"/>
  <c r="C99" i="257"/>
  <c r="B99" i="257"/>
  <c r="AC106" i="257"/>
  <c r="AB106" i="257"/>
  <c r="AA106" i="257"/>
  <c r="Z106" i="257"/>
  <c r="Y106" i="257"/>
  <c r="X106" i="257"/>
  <c r="W106" i="257"/>
  <c r="R106" i="257"/>
  <c r="Q106" i="257"/>
  <c r="N106" i="257"/>
  <c r="J106" i="257"/>
  <c r="I106" i="257"/>
  <c r="H106" i="257"/>
  <c r="G106" i="257"/>
  <c r="E106" i="257"/>
  <c r="D106" i="257"/>
  <c r="C106" i="257"/>
  <c r="B106" i="257"/>
  <c r="AC26" i="257"/>
  <c r="AB26" i="257"/>
  <c r="AA26" i="257"/>
  <c r="Z26" i="257"/>
  <c r="Y26" i="257"/>
  <c r="X26" i="257"/>
  <c r="W26" i="257"/>
  <c r="R26" i="257"/>
  <c r="Q26" i="257"/>
  <c r="N26" i="257"/>
  <c r="J26" i="257"/>
  <c r="I26" i="257"/>
  <c r="H26" i="257"/>
  <c r="G26" i="257"/>
  <c r="E26" i="257"/>
  <c r="D26" i="257"/>
  <c r="C26" i="257"/>
  <c r="B26" i="257"/>
  <c r="AC7" i="257"/>
  <c r="AB7" i="257"/>
  <c r="AA7" i="257"/>
  <c r="Z7" i="257"/>
  <c r="Y7" i="257"/>
  <c r="X7" i="257"/>
  <c r="W7" i="257"/>
  <c r="R7" i="257"/>
  <c r="Q7" i="257"/>
  <c r="N7" i="257"/>
  <c r="J7" i="257"/>
  <c r="I7" i="257"/>
  <c r="H7" i="257"/>
  <c r="G7" i="257"/>
  <c r="E7" i="257"/>
  <c r="D7" i="257"/>
  <c r="C7" i="257"/>
  <c r="B7" i="257"/>
  <c r="AC66" i="257"/>
  <c r="AB66" i="257"/>
  <c r="AA66" i="257"/>
  <c r="Z66" i="257"/>
  <c r="Z97" i="257" s="1"/>
  <c r="Y66" i="257"/>
  <c r="X66" i="257"/>
  <c r="W66" i="257"/>
  <c r="R66" i="257"/>
  <c r="R97" i="257" s="1"/>
  <c r="Q66" i="257"/>
  <c r="N66" i="257"/>
  <c r="N97" i="257" s="1"/>
  <c r="J66" i="257"/>
  <c r="J97" i="257" s="1"/>
  <c r="I66" i="257"/>
  <c r="H66" i="257"/>
  <c r="G66" i="257"/>
  <c r="E66" i="257"/>
  <c r="E97" i="257" s="1"/>
  <c r="D66" i="257"/>
  <c r="D97" i="257" s="1"/>
  <c r="C66" i="257"/>
  <c r="B66" i="257"/>
  <c r="AC6" i="257"/>
  <c r="AB6" i="257"/>
  <c r="AA6" i="257"/>
  <c r="Z6" i="257"/>
  <c r="Y6" i="257"/>
  <c r="X6" i="257"/>
  <c r="W6" i="257"/>
  <c r="R6" i="257"/>
  <c r="Q6" i="257"/>
  <c r="N6" i="257"/>
  <c r="J6" i="257"/>
  <c r="I6" i="257"/>
  <c r="H6" i="257"/>
  <c r="G6" i="257"/>
  <c r="E6" i="257"/>
  <c r="D6" i="257"/>
  <c r="C6" i="257"/>
  <c r="B6" i="257"/>
  <c r="AC25" i="257"/>
  <c r="AB25" i="257"/>
  <c r="AA25" i="257"/>
  <c r="Z25" i="257"/>
  <c r="Y25" i="257"/>
  <c r="X25" i="257"/>
  <c r="W25" i="257"/>
  <c r="R25" i="257"/>
  <c r="Q25" i="257"/>
  <c r="N25" i="257"/>
  <c r="J25" i="257"/>
  <c r="I25" i="257"/>
  <c r="H25" i="257"/>
  <c r="G25" i="257"/>
  <c r="E25" i="257"/>
  <c r="D25" i="257"/>
  <c r="C25" i="257"/>
  <c r="B25" i="257"/>
  <c r="AC24" i="257"/>
  <c r="AB24" i="257"/>
  <c r="AA24" i="257"/>
  <c r="Z24" i="257"/>
  <c r="Y24" i="257"/>
  <c r="X24" i="257"/>
  <c r="W24" i="257"/>
  <c r="R24" i="257"/>
  <c r="Q24" i="257"/>
  <c r="N24" i="257"/>
  <c r="J24" i="257"/>
  <c r="I24" i="257"/>
  <c r="H24" i="257"/>
  <c r="G24" i="257"/>
  <c r="E24" i="257"/>
  <c r="D24" i="257"/>
  <c r="C24" i="257"/>
  <c r="B24" i="257"/>
  <c r="AC23" i="257"/>
  <c r="AB23" i="257"/>
  <c r="AA23" i="257"/>
  <c r="Z23" i="257"/>
  <c r="Y23" i="257"/>
  <c r="X23" i="257"/>
  <c r="W23" i="257"/>
  <c r="R23" i="257"/>
  <c r="Q23" i="257"/>
  <c r="N23" i="257"/>
  <c r="J23" i="257"/>
  <c r="I23" i="257"/>
  <c r="H23" i="257"/>
  <c r="G23" i="257"/>
  <c r="E23" i="257"/>
  <c r="D23" i="257"/>
  <c r="C23" i="257"/>
  <c r="B23" i="257"/>
  <c r="AC22" i="257"/>
  <c r="AB22" i="257"/>
  <c r="AA22" i="257"/>
  <c r="Z22" i="257"/>
  <c r="Y22" i="257"/>
  <c r="X22" i="257"/>
  <c r="W22" i="257"/>
  <c r="R22" i="257"/>
  <c r="Q22" i="257"/>
  <c r="N22" i="257"/>
  <c r="J22" i="257"/>
  <c r="I22" i="257"/>
  <c r="H22" i="257"/>
  <c r="G22" i="257"/>
  <c r="E22" i="257"/>
  <c r="D22" i="257"/>
  <c r="C22" i="257"/>
  <c r="B22" i="257"/>
  <c r="AC21" i="257"/>
  <c r="AB21" i="257"/>
  <c r="AA21" i="257"/>
  <c r="Z21" i="257"/>
  <c r="Y21" i="257"/>
  <c r="X21" i="257"/>
  <c r="W21" i="257"/>
  <c r="R21" i="257"/>
  <c r="Q21" i="257"/>
  <c r="N21" i="257"/>
  <c r="J21" i="257"/>
  <c r="I21" i="257"/>
  <c r="H21" i="257"/>
  <c r="G21" i="257"/>
  <c r="E21" i="257"/>
  <c r="D21" i="257"/>
  <c r="C21" i="257"/>
  <c r="B21" i="257"/>
  <c r="AC20" i="257"/>
  <c r="AB20" i="257"/>
  <c r="AA20" i="257"/>
  <c r="Z20" i="257"/>
  <c r="Y20" i="257"/>
  <c r="X20" i="257"/>
  <c r="W20" i="257"/>
  <c r="R20" i="257"/>
  <c r="Q20" i="257"/>
  <c r="N20" i="257"/>
  <c r="J20" i="257"/>
  <c r="I20" i="257"/>
  <c r="H20" i="257"/>
  <c r="G20" i="257"/>
  <c r="E20" i="257"/>
  <c r="D20" i="257"/>
  <c r="C20" i="257"/>
  <c r="B20" i="257"/>
  <c r="AC62" i="257"/>
  <c r="AB62" i="257"/>
  <c r="AA62" i="257"/>
  <c r="AA63" i="257" s="1"/>
  <c r="Z62" i="257"/>
  <c r="Z63" i="257" s="1"/>
  <c r="Y62" i="257"/>
  <c r="Y63" i="257" s="1"/>
  <c r="X62" i="257"/>
  <c r="X63" i="257" s="1"/>
  <c r="W62" i="257"/>
  <c r="W63" i="257" s="1"/>
  <c r="R62" i="257"/>
  <c r="R63" i="257" s="1"/>
  <c r="Q62" i="257"/>
  <c r="Q63" i="257" s="1"/>
  <c r="N62" i="257"/>
  <c r="N63" i="257" s="1"/>
  <c r="J62" i="257"/>
  <c r="J63" i="257" s="1"/>
  <c r="I62" i="257"/>
  <c r="I63" i="257" s="1"/>
  <c r="H62" i="257"/>
  <c r="H63" i="257" s="1"/>
  <c r="G62" i="257"/>
  <c r="G63" i="257" s="1"/>
  <c r="E62" i="257"/>
  <c r="E63" i="257" s="1"/>
  <c r="D62" i="257"/>
  <c r="D63" i="257" s="1"/>
  <c r="C62" i="257"/>
  <c r="B62" i="257"/>
  <c r="AC102" i="257"/>
  <c r="AB102" i="257"/>
  <c r="AA102" i="257"/>
  <c r="Z102" i="257"/>
  <c r="Y102" i="257"/>
  <c r="X102" i="257"/>
  <c r="W102" i="257"/>
  <c r="R102" i="257"/>
  <c r="Q102" i="257"/>
  <c r="N102" i="257"/>
  <c r="J102" i="257"/>
  <c r="I102" i="257"/>
  <c r="H102" i="257"/>
  <c r="G102" i="257"/>
  <c r="E102" i="257"/>
  <c r="D102" i="257"/>
  <c r="C102" i="257"/>
  <c r="B102" i="257"/>
  <c r="AC58" i="257"/>
  <c r="AB58" i="257"/>
  <c r="AA58" i="257"/>
  <c r="AA61" i="257" s="1"/>
  <c r="Z58" i="257"/>
  <c r="Z61" i="257" s="1"/>
  <c r="Y58" i="257"/>
  <c r="Y61" i="257" s="1"/>
  <c r="X58" i="257"/>
  <c r="W58" i="257"/>
  <c r="R58" i="257"/>
  <c r="R61" i="257" s="1"/>
  <c r="Q58" i="257"/>
  <c r="Q61" i="257" s="1"/>
  <c r="N58" i="257"/>
  <c r="N61" i="257" s="1"/>
  <c r="J58" i="257"/>
  <c r="J61" i="257" s="1"/>
  <c r="I58" i="257"/>
  <c r="I61" i="257" s="1"/>
  <c r="H58" i="257"/>
  <c r="G58" i="257"/>
  <c r="E58" i="257"/>
  <c r="E61" i="257" s="1"/>
  <c r="D58" i="257"/>
  <c r="D61" i="257" s="1"/>
  <c r="C58" i="257"/>
  <c r="B58" i="257"/>
  <c r="AC105" i="257"/>
  <c r="AB105" i="257"/>
  <c r="AA105" i="257"/>
  <c r="Z105" i="257"/>
  <c r="Y105" i="257"/>
  <c r="X105" i="257"/>
  <c r="W105" i="257"/>
  <c r="R105" i="257"/>
  <c r="Q105" i="257"/>
  <c r="N105" i="257"/>
  <c r="J105" i="257"/>
  <c r="I105" i="257"/>
  <c r="H105" i="257"/>
  <c r="G105" i="257"/>
  <c r="E105" i="257"/>
  <c r="D105" i="257"/>
  <c r="C105" i="257"/>
  <c r="B105" i="257"/>
  <c r="AC19" i="257"/>
  <c r="AB19" i="257"/>
  <c r="AA19" i="257"/>
  <c r="Z19" i="257"/>
  <c r="Y19" i="257"/>
  <c r="X19" i="257"/>
  <c r="W19" i="257"/>
  <c r="R19" i="257"/>
  <c r="Q19" i="257"/>
  <c r="N19" i="257"/>
  <c r="J19" i="257"/>
  <c r="I19" i="257"/>
  <c r="H19" i="257"/>
  <c r="G19" i="257"/>
  <c r="E19" i="257"/>
  <c r="D19" i="257"/>
  <c r="C19" i="257"/>
  <c r="B19" i="257"/>
  <c r="AC18" i="257"/>
  <c r="AB18" i="257"/>
  <c r="AA18" i="257"/>
  <c r="Z18" i="257"/>
  <c r="Y18" i="257"/>
  <c r="X18" i="257"/>
  <c r="W18" i="257"/>
  <c r="R18" i="257"/>
  <c r="Q18" i="257"/>
  <c r="N18" i="257"/>
  <c r="J18" i="257"/>
  <c r="I18" i="257"/>
  <c r="H18" i="257"/>
  <c r="G18" i="257"/>
  <c r="E18" i="257"/>
  <c r="D18" i="257"/>
  <c r="C18" i="257"/>
  <c r="B18" i="257"/>
  <c r="AC126" i="257"/>
  <c r="AB126" i="257"/>
  <c r="AA126" i="257"/>
  <c r="AA127" i="257" s="1"/>
  <c r="Z126" i="257"/>
  <c r="Z127" i="257" s="1"/>
  <c r="Y126" i="257"/>
  <c r="Y127" i="257" s="1"/>
  <c r="X126" i="257"/>
  <c r="X127" i="257" s="1"/>
  <c r="W126" i="257"/>
  <c r="W127" i="257" s="1"/>
  <c r="R126" i="257"/>
  <c r="R127" i="257" s="1"/>
  <c r="Q126" i="257"/>
  <c r="Q127" i="257" s="1"/>
  <c r="N126" i="257"/>
  <c r="N127" i="257" s="1"/>
  <c r="J126" i="257"/>
  <c r="J127" i="257" s="1"/>
  <c r="I126" i="257"/>
  <c r="I127" i="257" s="1"/>
  <c r="H126" i="257"/>
  <c r="H127" i="257" s="1"/>
  <c r="G126" i="257"/>
  <c r="G127" i="257" s="1"/>
  <c r="E126" i="257"/>
  <c r="E127" i="257" s="1"/>
  <c r="D126" i="257"/>
  <c r="D127" i="257" s="1"/>
  <c r="C126" i="257"/>
  <c r="B126" i="257"/>
  <c r="AC17" i="257"/>
  <c r="AB17" i="257"/>
  <c r="AA17" i="257"/>
  <c r="Z17" i="257"/>
  <c r="Y17" i="257"/>
  <c r="X17" i="257"/>
  <c r="W17" i="257"/>
  <c r="R17" i="257"/>
  <c r="Q17" i="257"/>
  <c r="N17" i="257"/>
  <c r="J17" i="257"/>
  <c r="I17" i="257"/>
  <c r="H17" i="257"/>
  <c r="G17" i="257"/>
  <c r="E17" i="257"/>
  <c r="D17" i="257"/>
  <c r="C17" i="257"/>
  <c r="B17" i="257"/>
  <c r="AC16" i="257"/>
  <c r="AB16" i="257"/>
  <c r="AA16" i="257"/>
  <c r="Z16" i="257"/>
  <c r="Y16" i="257"/>
  <c r="X16" i="257"/>
  <c r="W16" i="257"/>
  <c r="R16" i="257"/>
  <c r="Q16" i="257"/>
  <c r="N16" i="257"/>
  <c r="J16" i="257"/>
  <c r="I16" i="257"/>
  <c r="H16" i="257"/>
  <c r="G16" i="257"/>
  <c r="E16" i="257"/>
  <c r="D16" i="257"/>
  <c r="C16" i="257"/>
  <c r="B16" i="257"/>
  <c r="AC15" i="257"/>
  <c r="AB15" i="257"/>
  <c r="AA15" i="257"/>
  <c r="Z15" i="257"/>
  <c r="Y15" i="257"/>
  <c r="X15" i="257"/>
  <c r="W15" i="257"/>
  <c r="R15" i="257"/>
  <c r="Q15" i="257"/>
  <c r="N15" i="257"/>
  <c r="J15" i="257"/>
  <c r="I15" i="257"/>
  <c r="H15" i="257"/>
  <c r="G15" i="257"/>
  <c r="E15" i="257"/>
  <c r="D15" i="257"/>
  <c r="C15" i="257"/>
  <c r="B15" i="257"/>
  <c r="AC14" i="257"/>
  <c r="AB14" i="257"/>
  <c r="AA14" i="257"/>
  <c r="Z14" i="257"/>
  <c r="Y14" i="257"/>
  <c r="X14" i="257"/>
  <c r="W14" i="257"/>
  <c r="R14" i="257"/>
  <c r="Q14" i="257"/>
  <c r="N14" i="257"/>
  <c r="J14" i="257"/>
  <c r="I14" i="257"/>
  <c r="H14" i="257"/>
  <c r="G14" i="257"/>
  <c r="E14" i="257"/>
  <c r="D14" i="257"/>
  <c r="C14" i="257"/>
  <c r="B14" i="257"/>
  <c r="AC5" i="257"/>
  <c r="AB5" i="257"/>
  <c r="AA5" i="257"/>
  <c r="Z5" i="257"/>
  <c r="Z11" i="257" s="1"/>
  <c r="Y5" i="257"/>
  <c r="X5" i="257"/>
  <c r="X11" i="257" s="1"/>
  <c r="W5" i="257"/>
  <c r="W11" i="257" s="1"/>
  <c r="R5" i="257"/>
  <c r="R11" i="257" s="1"/>
  <c r="Q5" i="257"/>
  <c r="Q11" i="257" s="1"/>
  <c r="N5" i="257"/>
  <c r="N11" i="257" s="1"/>
  <c r="J5" i="257"/>
  <c r="J11" i="257" s="1"/>
  <c r="I5" i="257"/>
  <c r="I11" i="257" s="1"/>
  <c r="H5" i="257"/>
  <c r="G5" i="257"/>
  <c r="E5" i="257"/>
  <c r="E11" i="257" s="1"/>
  <c r="D5" i="257"/>
  <c r="C5" i="257"/>
  <c r="B5" i="257"/>
  <c r="AC64" i="257"/>
  <c r="AB64" i="257"/>
  <c r="AA64" i="257"/>
  <c r="AA65" i="257" s="1"/>
  <c r="Z64" i="257"/>
  <c r="Z65" i="257" s="1"/>
  <c r="Y64" i="257"/>
  <c r="Y65" i="257" s="1"/>
  <c r="X64" i="257"/>
  <c r="X65" i="257" s="1"/>
  <c r="W64" i="257"/>
  <c r="W65" i="257" s="1"/>
  <c r="R64" i="257"/>
  <c r="R65" i="257" s="1"/>
  <c r="Q64" i="257"/>
  <c r="Q65" i="257" s="1"/>
  <c r="N64" i="257"/>
  <c r="N65" i="257" s="1"/>
  <c r="J64" i="257"/>
  <c r="J65" i="257" s="1"/>
  <c r="I64" i="257"/>
  <c r="I65" i="257" s="1"/>
  <c r="H64" i="257"/>
  <c r="H65" i="257" s="1"/>
  <c r="G64" i="257"/>
  <c r="G65" i="257" s="1"/>
  <c r="E64" i="257"/>
  <c r="E65" i="257" s="1"/>
  <c r="D64" i="257"/>
  <c r="D65" i="257" s="1"/>
  <c r="C64" i="257"/>
  <c r="B64" i="257"/>
  <c r="AC13" i="257"/>
  <c r="AB13" i="257"/>
  <c r="AA13" i="257"/>
  <c r="Z13" i="257"/>
  <c r="Y13" i="257"/>
  <c r="X13" i="257"/>
  <c r="W13" i="257"/>
  <c r="R13" i="257"/>
  <c r="Q13" i="257"/>
  <c r="N13" i="257"/>
  <c r="J13" i="257"/>
  <c r="I13" i="257"/>
  <c r="H13" i="257"/>
  <c r="G13" i="257"/>
  <c r="E13" i="257"/>
  <c r="D13" i="257"/>
  <c r="C13" i="257"/>
  <c r="B13" i="257"/>
  <c r="AC12" i="257"/>
  <c r="AB12" i="257"/>
  <c r="AA12" i="257"/>
  <c r="Z12" i="257"/>
  <c r="Y12" i="257"/>
  <c r="X12" i="257"/>
  <c r="W12" i="257"/>
  <c r="R12" i="257"/>
  <c r="R57" i="257" s="1"/>
  <c r="Q12" i="257"/>
  <c r="N12" i="257"/>
  <c r="J12" i="257"/>
  <c r="J57" i="257" s="1"/>
  <c r="I12" i="257"/>
  <c r="H12" i="257"/>
  <c r="G12" i="257"/>
  <c r="E12" i="257"/>
  <c r="E57" i="257" s="1"/>
  <c r="D12" i="257"/>
  <c r="D57" i="257" s="1"/>
  <c r="C12" i="257"/>
  <c r="B12" i="257"/>
  <c r="B109" i="256"/>
  <c r="C109" i="256"/>
  <c r="D109" i="256"/>
  <c r="E109" i="256"/>
  <c r="G109" i="256"/>
  <c r="H109" i="256"/>
  <c r="I109" i="256"/>
  <c r="J109" i="256"/>
  <c r="N109" i="256"/>
  <c r="Q109" i="256"/>
  <c r="R109" i="256"/>
  <c r="W109" i="256"/>
  <c r="X109" i="256"/>
  <c r="Y109" i="256"/>
  <c r="Z109" i="256"/>
  <c r="AA109" i="256"/>
  <c r="AB109" i="256"/>
  <c r="AC109" i="256"/>
  <c r="B110" i="256"/>
  <c r="C110" i="256"/>
  <c r="D110" i="256"/>
  <c r="E110" i="256"/>
  <c r="G110" i="256"/>
  <c r="H110" i="256"/>
  <c r="I110" i="256"/>
  <c r="J110" i="256"/>
  <c r="N110" i="256"/>
  <c r="Q110" i="256"/>
  <c r="R110" i="256"/>
  <c r="W110" i="256"/>
  <c r="X110" i="256"/>
  <c r="Y110" i="256"/>
  <c r="Z110" i="256"/>
  <c r="AA110" i="256"/>
  <c r="AB110" i="256"/>
  <c r="AC110" i="256"/>
  <c r="B111" i="256"/>
  <c r="C111" i="256"/>
  <c r="D111" i="256"/>
  <c r="E111" i="256"/>
  <c r="G111" i="256"/>
  <c r="H111" i="256"/>
  <c r="I111" i="256"/>
  <c r="J111" i="256"/>
  <c r="N111" i="256"/>
  <c r="Q111" i="256"/>
  <c r="R111" i="256"/>
  <c r="W111" i="256"/>
  <c r="X111" i="256"/>
  <c r="Y111" i="256"/>
  <c r="Z111" i="256"/>
  <c r="AA111" i="256"/>
  <c r="AB111" i="256"/>
  <c r="AC111" i="256"/>
  <c r="B112" i="256"/>
  <c r="C112" i="256"/>
  <c r="D112" i="256"/>
  <c r="E112" i="256"/>
  <c r="G112" i="256"/>
  <c r="H112" i="256"/>
  <c r="I112" i="256"/>
  <c r="J112" i="256"/>
  <c r="N112" i="256"/>
  <c r="Q112" i="256"/>
  <c r="R112" i="256"/>
  <c r="R121" i="256" s="1"/>
  <c r="W112" i="256"/>
  <c r="X112" i="256"/>
  <c r="Y112" i="256"/>
  <c r="Z112" i="256"/>
  <c r="AA112" i="256"/>
  <c r="AB112" i="256"/>
  <c r="AC112" i="256"/>
  <c r="B113" i="256"/>
  <c r="C113" i="256"/>
  <c r="D113" i="256"/>
  <c r="E113" i="256"/>
  <c r="G113" i="256"/>
  <c r="H113" i="256"/>
  <c r="I113" i="256"/>
  <c r="J113" i="256"/>
  <c r="N113" i="256"/>
  <c r="Q113" i="256"/>
  <c r="R113" i="256"/>
  <c r="W113" i="256"/>
  <c r="X113" i="256"/>
  <c r="Y113" i="256"/>
  <c r="Z113" i="256"/>
  <c r="AA113" i="256"/>
  <c r="AB113" i="256"/>
  <c r="AC113" i="256"/>
  <c r="B114" i="256"/>
  <c r="C114" i="256"/>
  <c r="D114" i="256"/>
  <c r="E114" i="256"/>
  <c r="G114" i="256"/>
  <c r="H114" i="256"/>
  <c r="I114" i="256"/>
  <c r="J114" i="256"/>
  <c r="N114" i="256"/>
  <c r="Q114" i="256"/>
  <c r="R114" i="256"/>
  <c r="W114" i="256"/>
  <c r="X114" i="256"/>
  <c r="Y114" i="256"/>
  <c r="Z114" i="256"/>
  <c r="AA114" i="256"/>
  <c r="AB114" i="256"/>
  <c r="AC114" i="256"/>
  <c r="B115" i="256"/>
  <c r="C115" i="256"/>
  <c r="D115" i="256"/>
  <c r="E115" i="256"/>
  <c r="G115" i="256"/>
  <c r="H115" i="256"/>
  <c r="I115" i="256"/>
  <c r="J115" i="256"/>
  <c r="N115" i="256"/>
  <c r="Q115" i="256"/>
  <c r="R115" i="256"/>
  <c r="W115" i="256"/>
  <c r="X115" i="256"/>
  <c r="Y115" i="256"/>
  <c r="Z115" i="256"/>
  <c r="AA115" i="256"/>
  <c r="AB115" i="256"/>
  <c r="AC115" i="256"/>
  <c r="B116" i="256"/>
  <c r="C116" i="256"/>
  <c r="D116" i="256"/>
  <c r="E116" i="256"/>
  <c r="G116" i="256"/>
  <c r="H116" i="256"/>
  <c r="I116" i="256"/>
  <c r="J116" i="256"/>
  <c r="J121" i="256" s="1"/>
  <c r="N116" i="256"/>
  <c r="Q116" i="256"/>
  <c r="R116" i="256"/>
  <c r="W116" i="256"/>
  <c r="X116" i="256"/>
  <c r="Y116" i="256"/>
  <c r="Z116" i="256"/>
  <c r="AA116" i="256"/>
  <c r="AB116" i="256"/>
  <c r="AC116" i="256"/>
  <c r="B117" i="256"/>
  <c r="C117" i="256"/>
  <c r="D117" i="256"/>
  <c r="E117" i="256"/>
  <c r="G117" i="256"/>
  <c r="H117" i="256"/>
  <c r="I117" i="256"/>
  <c r="J117" i="256"/>
  <c r="N117" i="256"/>
  <c r="Q117" i="256"/>
  <c r="R117" i="256"/>
  <c r="W117" i="256"/>
  <c r="X117" i="256"/>
  <c r="Y117" i="256"/>
  <c r="Z117" i="256"/>
  <c r="AA117" i="256"/>
  <c r="AB117" i="256"/>
  <c r="AC117" i="256"/>
  <c r="B118" i="256"/>
  <c r="C118" i="256"/>
  <c r="D118" i="256"/>
  <c r="E118" i="256"/>
  <c r="G118" i="256"/>
  <c r="H118" i="256"/>
  <c r="I118" i="256"/>
  <c r="J118" i="256"/>
  <c r="N118" i="256"/>
  <c r="Q118" i="256"/>
  <c r="R118" i="256"/>
  <c r="W118" i="256"/>
  <c r="X118" i="256"/>
  <c r="Y118" i="256"/>
  <c r="Z118" i="256"/>
  <c r="AA118" i="256"/>
  <c r="AB118" i="256"/>
  <c r="AC118" i="256"/>
  <c r="B119" i="256"/>
  <c r="C119" i="256"/>
  <c r="D119" i="256"/>
  <c r="E119" i="256"/>
  <c r="G119" i="256"/>
  <c r="H119" i="256"/>
  <c r="I119" i="256"/>
  <c r="J119" i="256"/>
  <c r="N119" i="256"/>
  <c r="Q119" i="256"/>
  <c r="R119" i="256"/>
  <c r="W119" i="256"/>
  <c r="X119" i="256"/>
  <c r="Y119" i="256"/>
  <c r="Z119" i="256"/>
  <c r="AA119" i="256"/>
  <c r="AB119" i="256"/>
  <c r="AC119" i="256"/>
  <c r="B120" i="256"/>
  <c r="C120" i="256"/>
  <c r="D120" i="256"/>
  <c r="E120" i="256"/>
  <c r="G120" i="256"/>
  <c r="H120" i="256"/>
  <c r="I120" i="256"/>
  <c r="J120" i="256"/>
  <c r="N120" i="256"/>
  <c r="Q120" i="256"/>
  <c r="R120" i="256"/>
  <c r="W120" i="256"/>
  <c r="X120" i="256"/>
  <c r="Y120" i="256"/>
  <c r="Z120" i="256"/>
  <c r="AA120" i="256"/>
  <c r="AB120" i="256"/>
  <c r="AC120" i="256"/>
  <c r="AC108" i="256"/>
  <c r="AB108" i="256"/>
  <c r="E108" i="256"/>
  <c r="G108" i="256"/>
  <c r="H108" i="256"/>
  <c r="I108" i="256"/>
  <c r="J108" i="256"/>
  <c r="N108" i="256"/>
  <c r="Q108" i="256"/>
  <c r="R108" i="256"/>
  <c r="W108" i="256"/>
  <c r="X108" i="256"/>
  <c r="Y108" i="256"/>
  <c r="Z108" i="256"/>
  <c r="AA108" i="256"/>
  <c r="D108" i="256"/>
  <c r="C108" i="256"/>
  <c r="B108" i="256"/>
  <c r="B6" i="256"/>
  <c r="C6" i="256"/>
  <c r="D6" i="256"/>
  <c r="E6" i="256"/>
  <c r="G6" i="256"/>
  <c r="H6" i="256"/>
  <c r="I6" i="256"/>
  <c r="J6" i="256"/>
  <c r="N6" i="256"/>
  <c r="Q6" i="256"/>
  <c r="R6" i="256"/>
  <c r="W6" i="256"/>
  <c r="X6" i="256"/>
  <c r="Y6" i="256"/>
  <c r="Z6" i="256"/>
  <c r="AA6" i="256"/>
  <c r="AB6" i="256"/>
  <c r="AC6" i="256"/>
  <c r="B7" i="256"/>
  <c r="C7" i="256"/>
  <c r="D7" i="256"/>
  <c r="E7" i="256"/>
  <c r="G7" i="256"/>
  <c r="H7" i="256"/>
  <c r="I7" i="256"/>
  <c r="J7" i="256"/>
  <c r="N7" i="256"/>
  <c r="Q7" i="256"/>
  <c r="R7" i="256"/>
  <c r="W7" i="256"/>
  <c r="X7" i="256"/>
  <c r="Y7" i="256"/>
  <c r="Z7" i="256"/>
  <c r="AA7" i="256"/>
  <c r="AB7" i="256"/>
  <c r="AC7" i="256"/>
  <c r="B8" i="256"/>
  <c r="C8" i="256"/>
  <c r="D8" i="256"/>
  <c r="E8" i="256"/>
  <c r="G8" i="256"/>
  <c r="H8" i="256"/>
  <c r="I8" i="256"/>
  <c r="J8" i="256"/>
  <c r="N8" i="256"/>
  <c r="Q8" i="256"/>
  <c r="R8" i="256"/>
  <c r="W8" i="256"/>
  <c r="X8" i="256"/>
  <c r="Y8" i="256"/>
  <c r="Z8" i="256"/>
  <c r="AA8" i="256"/>
  <c r="AB8" i="256"/>
  <c r="AC8" i="256"/>
  <c r="B9" i="256"/>
  <c r="C9" i="256"/>
  <c r="D9" i="256"/>
  <c r="E9" i="256"/>
  <c r="G9" i="256"/>
  <c r="H9" i="256"/>
  <c r="I9" i="256"/>
  <c r="J9" i="256"/>
  <c r="N9" i="256"/>
  <c r="Q9" i="256"/>
  <c r="R9" i="256"/>
  <c r="W9" i="256"/>
  <c r="X9" i="256"/>
  <c r="Y9" i="256"/>
  <c r="Z9" i="256"/>
  <c r="AA9" i="256"/>
  <c r="AB9" i="256"/>
  <c r="AC9" i="256"/>
  <c r="B10" i="256"/>
  <c r="C10" i="256"/>
  <c r="D10" i="256"/>
  <c r="E10" i="256"/>
  <c r="G10" i="256"/>
  <c r="H10" i="256"/>
  <c r="I10" i="256"/>
  <c r="J10" i="256"/>
  <c r="N10" i="256"/>
  <c r="Q10" i="256"/>
  <c r="R10" i="256"/>
  <c r="W10" i="256"/>
  <c r="X10" i="256"/>
  <c r="Y10" i="256"/>
  <c r="Z10" i="256"/>
  <c r="AA10" i="256"/>
  <c r="AB10" i="256"/>
  <c r="AC10" i="256"/>
  <c r="B11" i="256"/>
  <c r="C11" i="256"/>
  <c r="D11" i="256"/>
  <c r="E11" i="256"/>
  <c r="G11" i="256"/>
  <c r="H11" i="256"/>
  <c r="I11" i="256"/>
  <c r="J11" i="256"/>
  <c r="N11" i="256"/>
  <c r="Q11" i="256"/>
  <c r="R11" i="256"/>
  <c r="W11" i="256"/>
  <c r="X11" i="256"/>
  <c r="Y11" i="256"/>
  <c r="Z11" i="256"/>
  <c r="AA11" i="256"/>
  <c r="AB11" i="256"/>
  <c r="AC11" i="256"/>
  <c r="B12" i="256"/>
  <c r="C12" i="256"/>
  <c r="D12" i="256"/>
  <c r="E12" i="256"/>
  <c r="G12" i="256"/>
  <c r="H12" i="256"/>
  <c r="I12" i="256"/>
  <c r="J12" i="256"/>
  <c r="N12" i="256"/>
  <c r="Q12" i="256"/>
  <c r="R12" i="256"/>
  <c r="W12" i="256"/>
  <c r="X12" i="256"/>
  <c r="Y12" i="256"/>
  <c r="Z12" i="256"/>
  <c r="AA12" i="256"/>
  <c r="AB12" i="256"/>
  <c r="AC12" i="256"/>
  <c r="B13" i="256"/>
  <c r="C13" i="256"/>
  <c r="D13" i="256"/>
  <c r="E13" i="256"/>
  <c r="G13" i="256"/>
  <c r="H13" i="256"/>
  <c r="I13" i="256"/>
  <c r="J13" i="256"/>
  <c r="N13" i="256"/>
  <c r="Q13" i="256"/>
  <c r="R13" i="256"/>
  <c r="W13" i="256"/>
  <c r="X13" i="256"/>
  <c r="Y13" i="256"/>
  <c r="Z13" i="256"/>
  <c r="AA13" i="256"/>
  <c r="AB13" i="256"/>
  <c r="AC13" i="256"/>
  <c r="B14" i="256"/>
  <c r="C14" i="256"/>
  <c r="D14" i="256"/>
  <c r="E14" i="256"/>
  <c r="G14" i="256"/>
  <c r="H14" i="256"/>
  <c r="I14" i="256"/>
  <c r="J14" i="256"/>
  <c r="N14" i="256"/>
  <c r="Q14" i="256"/>
  <c r="R14" i="256"/>
  <c r="W14" i="256"/>
  <c r="X14" i="256"/>
  <c r="Y14" i="256"/>
  <c r="Z14" i="256"/>
  <c r="AA14" i="256"/>
  <c r="AB14" i="256"/>
  <c r="AC14" i="256"/>
  <c r="B15" i="256"/>
  <c r="C15" i="256"/>
  <c r="D15" i="256"/>
  <c r="E15" i="256"/>
  <c r="G15" i="256"/>
  <c r="H15" i="256"/>
  <c r="I15" i="256"/>
  <c r="J15" i="256"/>
  <c r="N15" i="256"/>
  <c r="Q15" i="256"/>
  <c r="R15" i="256"/>
  <c r="W15" i="256"/>
  <c r="X15" i="256"/>
  <c r="Y15" i="256"/>
  <c r="Z15" i="256"/>
  <c r="AA15" i="256"/>
  <c r="AB15" i="256"/>
  <c r="AC15" i="256"/>
  <c r="B16" i="256"/>
  <c r="C16" i="256"/>
  <c r="D16" i="256"/>
  <c r="E16" i="256"/>
  <c r="G16" i="256"/>
  <c r="H16" i="256"/>
  <c r="I16" i="256"/>
  <c r="J16" i="256"/>
  <c r="N16" i="256"/>
  <c r="Q16" i="256"/>
  <c r="R16" i="256"/>
  <c r="W16" i="256"/>
  <c r="X16" i="256"/>
  <c r="Y16" i="256"/>
  <c r="Z16" i="256"/>
  <c r="AA16" i="256"/>
  <c r="AB16" i="256"/>
  <c r="AC16" i="256"/>
  <c r="B17" i="256"/>
  <c r="C17" i="256"/>
  <c r="D17" i="256"/>
  <c r="E17" i="256"/>
  <c r="G17" i="256"/>
  <c r="H17" i="256"/>
  <c r="I17" i="256"/>
  <c r="J17" i="256"/>
  <c r="N17" i="256"/>
  <c r="Q17" i="256"/>
  <c r="R17" i="256"/>
  <c r="W17" i="256"/>
  <c r="X17" i="256"/>
  <c r="Y17" i="256"/>
  <c r="Z17" i="256"/>
  <c r="AA17" i="256"/>
  <c r="AB17" i="256"/>
  <c r="AC17" i="256"/>
  <c r="B18" i="256"/>
  <c r="C18" i="256"/>
  <c r="D18" i="256"/>
  <c r="E18" i="256"/>
  <c r="G18" i="256"/>
  <c r="H18" i="256"/>
  <c r="I18" i="256"/>
  <c r="J18" i="256"/>
  <c r="N18" i="256"/>
  <c r="Q18" i="256"/>
  <c r="R18" i="256"/>
  <c r="W18" i="256"/>
  <c r="X18" i="256"/>
  <c r="Y18" i="256"/>
  <c r="Z18" i="256"/>
  <c r="AA18" i="256"/>
  <c r="AB18" i="256"/>
  <c r="AC18" i="256"/>
  <c r="B19" i="256"/>
  <c r="C19" i="256"/>
  <c r="D19" i="256"/>
  <c r="E19" i="256"/>
  <c r="G19" i="256"/>
  <c r="H19" i="256"/>
  <c r="I19" i="256"/>
  <c r="J19" i="256"/>
  <c r="N19" i="256"/>
  <c r="Q19" i="256"/>
  <c r="R19" i="256"/>
  <c r="W19" i="256"/>
  <c r="X19" i="256"/>
  <c r="Y19" i="256"/>
  <c r="Z19" i="256"/>
  <c r="AA19" i="256"/>
  <c r="AB19" i="256"/>
  <c r="AC19" i="256"/>
  <c r="B20" i="256"/>
  <c r="C20" i="256"/>
  <c r="D20" i="256"/>
  <c r="E20" i="256"/>
  <c r="G20" i="256"/>
  <c r="H20" i="256"/>
  <c r="I20" i="256"/>
  <c r="J20" i="256"/>
  <c r="N20" i="256"/>
  <c r="Q20" i="256"/>
  <c r="R20" i="256"/>
  <c r="W20" i="256"/>
  <c r="X20" i="256"/>
  <c r="Y20" i="256"/>
  <c r="Z20" i="256"/>
  <c r="AA20" i="256"/>
  <c r="AB20" i="256"/>
  <c r="AC20" i="256"/>
  <c r="B21" i="256"/>
  <c r="C21" i="256"/>
  <c r="D21" i="256"/>
  <c r="E21" i="256"/>
  <c r="G21" i="256"/>
  <c r="H21" i="256"/>
  <c r="I21" i="256"/>
  <c r="J21" i="256"/>
  <c r="N21" i="256"/>
  <c r="Q21" i="256"/>
  <c r="R21" i="256"/>
  <c r="W21" i="256"/>
  <c r="X21" i="256"/>
  <c r="Y21" i="256"/>
  <c r="Z21" i="256"/>
  <c r="AA21" i="256"/>
  <c r="AB21" i="256"/>
  <c r="AC21" i="256"/>
  <c r="B22" i="256"/>
  <c r="C22" i="256"/>
  <c r="D22" i="256"/>
  <c r="E22" i="256"/>
  <c r="G22" i="256"/>
  <c r="H22" i="256"/>
  <c r="I22" i="256"/>
  <c r="J22" i="256"/>
  <c r="N22" i="256"/>
  <c r="Q22" i="256"/>
  <c r="R22" i="256"/>
  <c r="W22" i="256"/>
  <c r="X22" i="256"/>
  <c r="Y22" i="256"/>
  <c r="Z22" i="256"/>
  <c r="AA22" i="256"/>
  <c r="AB22" i="256"/>
  <c r="AC22" i="256"/>
  <c r="B23" i="256"/>
  <c r="C23" i="256"/>
  <c r="D23" i="256"/>
  <c r="E23" i="256"/>
  <c r="G23" i="256"/>
  <c r="H23" i="256"/>
  <c r="I23" i="256"/>
  <c r="J23" i="256"/>
  <c r="N23" i="256"/>
  <c r="Q23" i="256"/>
  <c r="R23" i="256"/>
  <c r="W23" i="256"/>
  <c r="X23" i="256"/>
  <c r="Y23" i="256"/>
  <c r="Z23" i="256"/>
  <c r="AA23" i="256"/>
  <c r="AB23" i="256"/>
  <c r="AC23" i="256"/>
  <c r="B24" i="256"/>
  <c r="C24" i="256"/>
  <c r="D24" i="256"/>
  <c r="E24" i="256"/>
  <c r="G24" i="256"/>
  <c r="H24" i="256"/>
  <c r="I24" i="256"/>
  <c r="J24" i="256"/>
  <c r="N24" i="256"/>
  <c r="Q24" i="256"/>
  <c r="R24" i="256"/>
  <c r="W24" i="256"/>
  <c r="X24" i="256"/>
  <c r="Y24" i="256"/>
  <c r="Z24" i="256"/>
  <c r="AA24" i="256"/>
  <c r="AB24" i="256"/>
  <c r="AC24" i="256"/>
  <c r="B25" i="256"/>
  <c r="C25" i="256"/>
  <c r="D25" i="256"/>
  <c r="E25" i="256"/>
  <c r="G25" i="256"/>
  <c r="H25" i="256"/>
  <c r="I25" i="256"/>
  <c r="J25" i="256"/>
  <c r="N25" i="256"/>
  <c r="Q25" i="256"/>
  <c r="R25" i="256"/>
  <c r="W25" i="256"/>
  <c r="X25" i="256"/>
  <c r="Y25" i="256"/>
  <c r="Z25" i="256"/>
  <c r="AA25" i="256"/>
  <c r="AB25" i="256"/>
  <c r="AC25" i="256"/>
  <c r="B26" i="256"/>
  <c r="C26" i="256"/>
  <c r="D26" i="256"/>
  <c r="E26" i="256"/>
  <c r="G26" i="256"/>
  <c r="H26" i="256"/>
  <c r="I26" i="256"/>
  <c r="J26" i="256"/>
  <c r="N26" i="256"/>
  <c r="Q26" i="256"/>
  <c r="R26" i="256"/>
  <c r="W26" i="256"/>
  <c r="X26" i="256"/>
  <c r="Y26" i="256"/>
  <c r="Z26" i="256"/>
  <c r="AA26" i="256"/>
  <c r="AB26" i="256"/>
  <c r="AC26" i="256"/>
  <c r="B27" i="256"/>
  <c r="C27" i="256"/>
  <c r="D27" i="256"/>
  <c r="E27" i="256"/>
  <c r="G27" i="256"/>
  <c r="H27" i="256"/>
  <c r="I27" i="256"/>
  <c r="J27" i="256"/>
  <c r="N27" i="256"/>
  <c r="Q27" i="256"/>
  <c r="R27" i="256"/>
  <c r="W27" i="256"/>
  <c r="X27" i="256"/>
  <c r="Y27" i="256"/>
  <c r="Z27" i="256"/>
  <c r="AA27" i="256"/>
  <c r="AB27" i="256"/>
  <c r="AC27" i="256"/>
  <c r="B28" i="256"/>
  <c r="C28" i="256"/>
  <c r="D28" i="256"/>
  <c r="E28" i="256"/>
  <c r="G28" i="256"/>
  <c r="H28" i="256"/>
  <c r="I28" i="256"/>
  <c r="J28" i="256"/>
  <c r="N28" i="256"/>
  <c r="Q28" i="256"/>
  <c r="R28" i="256"/>
  <c r="W28" i="256"/>
  <c r="X28" i="256"/>
  <c r="Y28" i="256"/>
  <c r="Z28" i="256"/>
  <c r="AA28" i="256"/>
  <c r="AB28" i="256"/>
  <c r="AC28" i="256"/>
  <c r="B29" i="256"/>
  <c r="C29" i="256"/>
  <c r="D29" i="256"/>
  <c r="E29" i="256"/>
  <c r="G29" i="256"/>
  <c r="H29" i="256"/>
  <c r="I29" i="256"/>
  <c r="J29" i="256"/>
  <c r="N29" i="256"/>
  <c r="Q29" i="256"/>
  <c r="R29" i="256"/>
  <c r="W29" i="256"/>
  <c r="X29" i="256"/>
  <c r="Y29" i="256"/>
  <c r="Z29" i="256"/>
  <c r="AA29" i="256"/>
  <c r="AB29" i="256"/>
  <c r="AC29" i="256"/>
  <c r="B30" i="256"/>
  <c r="C30" i="256"/>
  <c r="D30" i="256"/>
  <c r="E30" i="256"/>
  <c r="G30" i="256"/>
  <c r="H30" i="256"/>
  <c r="I30" i="256"/>
  <c r="J30" i="256"/>
  <c r="N30" i="256"/>
  <c r="Q30" i="256"/>
  <c r="R30" i="256"/>
  <c r="W30" i="256"/>
  <c r="X30" i="256"/>
  <c r="Y30" i="256"/>
  <c r="Z30" i="256"/>
  <c r="AA30" i="256"/>
  <c r="AB30" i="256"/>
  <c r="AC30" i="256"/>
  <c r="B31" i="256"/>
  <c r="C31" i="256"/>
  <c r="D31" i="256"/>
  <c r="E31" i="256"/>
  <c r="G31" i="256"/>
  <c r="H31" i="256"/>
  <c r="I31" i="256"/>
  <c r="J31" i="256"/>
  <c r="N31" i="256"/>
  <c r="Q31" i="256"/>
  <c r="R31" i="256"/>
  <c r="W31" i="256"/>
  <c r="X31" i="256"/>
  <c r="Y31" i="256"/>
  <c r="Z31" i="256"/>
  <c r="AA31" i="256"/>
  <c r="AB31" i="256"/>
  <c r="AC31" i="256"/>
  <c r="B32" i="256"/>
  <c r="C32" i="256"/>
  <c r="D32" i="256"/>
  <c r="E32" i="256"/>
  <c r="G32" i="256"/>
  <c r="H32" i="256"/>
  <c r="I32" i="256"/>
  <c r="J32" i="256"/>
  <c r="N32" i="256"/>
  <c r="Q32" i="256"/>
  <c r="R32" i="256"/>
  <c r="W32" i="256"/>
  <c r="X32" i="256"/>
  <c r="Y32" i="256"/>
  <c r="Z32" i="256"/>
  <c r="AA32" i="256"/>
  <c r="AB32" i="256"/>
  <c r="AC32" i="256"/>
  <c r="B33" i="256"/>
  <c r="C33" i="256"/>
  <c r="D33" i="256"/>
  <c r="E33" i="256"/>
  <c r="G33" i="256"/>
  <c r="H33" i="256"/>
  <c r="I33" i="256"/>
  <c r="J33" i="256"/>
  <c r="N33" i="256"/>
  <c r="Q33" i="256"/>
  <c r="R33" i="256"/>
  <c r="W33" i="256"/>
  <c r="X33" i="256"/>
  <c r="Y33" i="256"/>
  <c r="Z33" i="256"/>
  <c r="AA33" i="256"/>
  <c r="AB33" i="256"/>
  <c r="AC33" i="256"/>
  <c r="B34" i="256"/>
  <c r="C34" i="256"/>
  <c r="D34" i="256"/>
  <c r="E34" i="256"/>
  <c r="G34" i="256"/>
  <c r="H34" i="256"/>
  <c r="I34" i="256"/>
  <c r="J34" i="256"/>
  <c r="N34" i="256"/>
  <c r="Q34" i="256"/>
  <c r="R34" i="256"/>
  <c r="W34" i="256"/>
  <c r="X34" i="256"/>
  <c r="Y34" i="256"/>
  <c r="Z34" i="256"/>
  <c r="AA34" i="256"/>
  <c r="AB34" i="256"/>
  <c r="AC34" i="256"/>
  <c r="B35" i="256"/>
  <c r="C35" i="256"/>
  <c r="D35" i="256"/>
  <c r="E35" i="256"/>
  <c r="G35" i="256"/>
  <c r="H35" i="256"/>
  <c r="I35" i="256"/>
  <c r="J35" i="256"/>
  <c r="N35" i="256"/>
  <c r="Q35" i="256"/>
  <c r="R35" i="256"/>
  <c r="W35" i="256"/>
  <c r="X35" i="256"/>
  <c r="Y35" i="256"/>
  <c r="Z35" i="256"/>
  <c r="AA35" i="256"/>
  <c r="AB35" i="256"/>
  <c r="AC35" i="256"/>
  <c r="B36" i="256"/>
  <c r="C36" i="256"/>
  <c r="D36" i="256"/>
  <c r="E36" i="256"/>
  <c r="G36" i="256"/>
  <c r="H36" i="256"/>
  <c r="I36" i="256"/>
  <c r="J36" i="256"/>
  <c r="N36" i="256"/>
  <c r="Q36" i="256"/>
  <c r="R36" i="256"/>
  <c r="W36" i="256"/>
  <c r="X36" i="256"/>
  <c r="Y36" i="256"/>
  <c r="Z36" i="256"/>
  <c r="AA36" i="256"/>
  <c r="AB36" i="256"/>
  <c r="AC36" i="256"/>
  <c r="B37" i="256"/>
  <c r="C37" i="256"/>
  <c r="D37" i="256"/>
  <c r="E37" i="256"/>
  <c r="G37" i="256"/>
  <c r="H37" i="256"/>
  <c r="I37" i="256"/>
  <c r="J37" i="256"/>
  <c r="N37" i="256"/>
  <c r="Q37" i="256"/>
  <c r="R37" i="256"/>
  <c r="W37" i="256"/>
  <c r="X37" i="256"/>
  <c r="Y37" i="256"/>
  <c r="Z37" i="256"/>
  <c r="AA37" i="256"/>
  <c r="AB37" i="256"/>
  <c r="AC37" i="256"/>
  <c r="B38" i="256"/>
  <c r="C38" i="256"/>
  <c r="D38" i="256"/>
  <c r="E38" i="256"/>
  <c r="G38" i="256"/>
  <c r="H38" i="256"/>
  <c r="I38" i="256"/>
  <c r="J38" i="256"/>
  <c r="N38" i="256"/>
  <c r="Q38" i="256"/>
  <c r="R38" i="256"/>
  <c r="W38" i="256"/>
  <c r="X38" i="256"/>
  <c r="Y38" i="256"/>
  <c r="Z38" i="256"/>
  <c r="AA38" i="256"/>
  <c r="AB38" i="256"/>
  <c r="AC38" i="256"/>
  <c r="B39" i="256"/>
  <c r="C39" i="256"/>
  <c r="D39" i="256"/>
  <c r="E39" i="256"/>
  <c r="G39" i="256"/>
  <c r="H39" i="256"/>
  <c r="I39" i="256"/>
  <c r="J39" i="256"/>
  <c r="N39" i="256"/>
  <c r="Q39" i="256"/>
  <c r="R39" i="256"/>
  <c r="W39" i="256"/>
  <c r="X39" i="256"/>
  <c r="Y39" i="256"/>
  <c r="Z39" i="256"/>
  <c r="AA39" i="256"/>
  <c r="AB39" i="256"/>
  <c r="AC39" i="256"/>
  <c r="B40" i="256"/>
  <c r="C40" i="256"/>
  <c r="D40" i="256"/>
  <c r="E40" i="256"/>
  <c r="G40" i="256"/>
  <c r="H40" i="256"/>
  <c r="I40" i="256"/>
  <c r="J40" i="256"/>
  <c r="N40" i="256"/>
  <c r="Q40" i="256"/>
  <c r="R40" i="256"/>
  <c r="W40" i="256"/>
  <c r="X40" i="256"/>
  <c r="Y40" i="256"/>
  <c r="Z40" i="256"/>
  <c r="AA40" i="256"/>
  <c r="AB40" i="256"/>
  <c r="AC40" i="256"/>
  <c r="B41" i="256"/>
  <c r="C41" i="256"/>
  <c r="D41" i="256"/>
  <c r="E41" i="256"/>
  <c r="G41" i="256"/>
  <c r="H41" i="256"/>
  <c r="I41" i="256"/>
  <c r="J41" i="256"/>
  <c r="N41" i="256"/>
  <c r="Q41" i="256"/>
  <c r="R41" i="256"/>
  <c r="W41" i="256"/>
  <c r="X41" i="256"/>
  <c r="Y41" i="256"/>
  <c r="Z41" i="256"/>
  <c r="AA41" i="256"/>
  <c r="AB41" i="256"/>
  <c r="AC41" i="256"/>
  <c r="B42" i="256"/>
  <c r="C42" i="256"/>
  <c r="D42" i="256"/>
  <c r="E42" i="256"/>
  <c r="G42" i="256"/>
  <c r="H42" i="256"/>
  <c r="I42" i="256"/>
  <c r="J42" i="256"/>
  <c r="N42" i="256"/>
  <c r="Q42" i="256"/>
  <c r="R42" i="256"/>
  <c r="W42" i="256"/>
  <c r="X42" i="256"/>
  <c r="Y42" i="256"/>
  <c r="Z42" i="256"/>
  <c r="AA42" i="256"/>
  <c r="AB42" i="256"/>
  <c r="AC42" i="256"/>
  <c r="B43" i="256"/>
  <c r="C43" i="256"/>
  <c r="D43" i="256"/>
  <c r="E43" i="256"/>
  <c r="G43" i="256"/>
  <c r="H43" i="256"/>
  <c r="I43" i="256"/>
  <c r="J43" i="256"/>
  <c r="N43" i="256"/>
  <c r="Q43" i="256"/>
  <c r="R43" i="256"/>
  <c r="W43" i="256"/>
  <c r="X43" i="256"/>
  <c r="Y43" i="256"/>
  <c r="Z43" i="256"/>
  <c r="AA43" i="256"/>
  <c r="AB43" i="256"/>
  <c r="AC43" i="256"/>
  <c r="B44" i="256"/>
  <c r="C44" i="256"/>
  <c r="D44" i="256"/>
  <c r="E44" i="256"/>
  <c r="G44" i="256"/>
  <c r="H44" i="256"/>
  <c r="I44" i="256"/>
  <c r="J44" i="256"/>
  <c r="N44" i="256"/>
  <c r="Q44" i="256"/>
  <c r="R44" i="256"/>
  <c r="W44" i="256"/>
  <c r="X44" i="256"/>
  <c r="Y44" i="256"/>
  <c r="Z44" i="256"/>
  <c r="AA44" i="256"/>
  <c r="AB44" i="256"/>
  <c r="AC44" i="256"/>
  <c r="B45" i="256"/>
  <c r="C45" i="256"/>
  <c r="D45" i="256"/>
  <c r="E45" i="256"/>
  <c r="G45" i="256"/>
  <c r="H45" i="256"/>
  <c r="I45" i="256"/>
  <c r="J45" i="256"/>
  <c r="N45" i="256"/>
  <c r="Q45" i="256"/>
  <c r="R45" i="256"/>
  <c r="W45" i="256"/>
  <c r="X45" i="256"/>
  <c r="Y45" i="256"/>
  <c r="Z45" i="256"/>
  <c r="AA45" i="256"/>
  <c r="AB45" i="256"/>
  <c r="AC45" i="256"/>
  <c r="B46" i="256"/>
  <c r="C46" i="256"/>
  <c r="D46" i="256"/>
  <c r="E46" i="256"/>
  <c r="G46" i="256"/>
  <c r="H46" i="256"/>
  <c r="I46" i="256"/>
  <c r="J46" i="256"/>
  <c r="N46" i="256"/>
  <c r="Q46" i="256"/>
  <c r="R46" i="256"/>
  <c r="W46" i="256"/>
  <c r="X46" i="256"/>
  <c r="Y46" i="256"/>
  <c r="Z46" i="256"/>
  <c r="AA46" i="256"/>
  <c r="AB46" i="256"/>
  <c r="AC46" i="256"/>
  <c r="B47" i="256"/>
  <c r="C47" i="256"/>
  <c r="D47" i="256"/>
  <c r="E47" i="256"/>
  <c r="G47" i="256"/>
  <c r="H47" i="256"/>
  <c r="I47" i="256"/>
  <c r="J47" i="256"/>
  <c r="N47" i="256"/>
  <c r="Q47" i="256"/>
  <c r="R47" i="256"/>
  <c r="W47" i="256"/>
  <c r="X47" i="256"/>
  <c r="Y47" i="256"/>
  <c r="Z47" i="256"/>
  <c r="AA47" i="256"/>
  <c r="AB47" i="256"/>
  <c r="AC47" i="256"/>
  <c r="B48" i="256"/>
  <c r="C48" i="256"/>
  <c r="D48" i="256"/>
  <c r="E48" i="256"/>
  <c r="G48" i="256"/>
  <c r="H48" i="256"/>
  <c r="I48" i="256"/>
  <c r="J48" i="256"/>
  <c r="N48" i="256"/>
  <c r="Q48" i="256"/>
  <c r="R48" i="256"/>
  <c r="W48" i="256"/>
  <c r="X48" i="256"/>
  <c r="Y48" i="256"/>
  <c r="Z48" i="256"/>
  <c r="AA48" i="256"/>
  <c r="AB48" i="256"/>
  <c r="AC48" i="256"/>
  <c r="B49" i="256"/>
  <c r="C49" i="256"/>
  <c r="D49" i="256"/>
  <c r="E49" i="256"/>
  <c r="G49" i="256"/>
  <c r="H49" i="256"/>
  <c r="I49" i="256"/>
  <c r="J49" i="256"/>
  <c r="N49" i="256"/>
  <c r="Q49" i="256"/>
  <c r="R49" i="256"/>
  <c r="W49" i="256"/>
  <c r="X49" i="256"/>
  <c r="Y49" i="256"/>
  <c r="Z49" i="256"/>
  <c r="AA49" i="256"/>
  <c r="AB49" i="256"/>
  <c r="AC49" i="256"/>
  <c r="B50" i="256"/>
  <c r="C50" i="256"/>
  <c r="D50" i="256"/>
  <c r="E50" i="256"/>
  <c r="G50" i="256"/>
  <c r="H50" i="256"/>
  <c r="I50" i="256"/>
  <c r="J50" i="256"/>
  <c r="N50" i="256"/>
  <c r="Q50" i="256"/>
  <c r="R50" i="256"/>
  <c r="W50" i="256"/>
  <c r="X50" i="256"/>
  <c r="Y50" i="256"/>
  <c r="Z50" i="256"/>
  <c r="AA50" i="256"/>
  <c r="AB50" i="256"/>
  <c r="AC50" i="256"/>
  <c r="B51" i="256"/>
  <c r="C51" i="256"/>
  <c r="D51" i="256"/>
  <c r="E51" i="256"/>
  <c r="G51" i="256"/>
  <c r="H51" i="256"/>
  <c r="I51" i="256"/>
  <c r="J51" i="256"/>
  <c r="N51" i="256"/>
  <c r="Q51" i="256"/>
  <c r="R51" i="256"/>
  <c r="W51" i="256"/>
  <c r="X51" i="256"/>
  <c r="Y51" i="256"/>
  <c r="Z51" i="256"/>
  <c r="AA51" i="256"/>
  <c r="AB51" i="256"/>
  <c r="AC51" i="256"/>
  <c r="B52" i="256"/>
  <c r="C52" i="256"/>
  <c r="D52" i="256"/>
  <c r="E52" i="256"/>
  <c r="G52" i="256"/>
  <c r="H52" i="256"/>
  <c r="I52" i="256"/>
  <c r="J52" i="256"/>
  <c r="N52" i="256"/>
  <c r="Q52" i="256"/>
  <c r="R52" i="256"/>
  <c r="W52" i="256"/>
  <c r="X52" i="256"/>
  <c r="Y52" i="256"/>
  <c r="Z52" i="256"/>
  <c r="AA52" i="256"/>
  <c r="AB52" i="256"/>
  <c r="AC52" i="256"/>
  <c r="B53" i="256"/>
  <c r="C53" i="256"/>
  <c r="D53" i="256"/>
  <c r="E53" i="256"/>
  <c r="G53" i="256"/>
  <c r="H53" i="256"/>
  <c r="I53" i="256"/>
  <c r="J53" i="256"/>
  <c r="N53" i="256"/>
  <c r="Q53" i="256"/>
  <c r="R53" i="256"/>
  <c r="W53" i="256"/>
  <c r="X53" i="256"/>
  <c r="Y53" i="256"/>
  <c r="Z53" i="256"/>
  <c r="AA53" i="256"/>
  <c r="AB53" i="256"/>
  <c r="AC53" i="256"/>
  <c r="B54" i="256"/>
  <c r="C54" i="256"/>
  <c r="D54" i="256"/>
  <c r="E54" i="256"/>
  <c r="G54" i="256"/>
  <c r="H54" i="256"/>
  <c r="I54" i="256"/>
  <c r="J54" i="256"/>
  <c r="N54" i="256"/>
  <c r="Q54" i="256"/>
  <c r="R54" i="256"/>
  <c r="W54" i="256"/>
  <c r="X54" i="256"/>
  <c r="Y54" i="256"/>
  <c r="Z54" i="256"/>
  <c r="AA54" i="256"/>
  <c r="AB54" i="256"/>
  <c r="AC54" i="256"/>
  <c r="B55" i="256"/>
  <c r="C55" i="256"/>
  <c r="D55" i="256"/>
  <c r="E55" i="256"/>
  <c r="G55" i="256"/>
  <c r="H55" i="256"/>
  <c r="I55" i="256"/>
  <c r="J55" i="256"/>
  <c r="N55" i="256"/>
  <c r="Q55" i="256"/>
  <c r="R55" i="256"/>
  <c r="W55" i="256"/>
  <c r="X55" i="256"/>
  <c r="Y55" i="256"/>
  <c r="Z55" i="256"/>
  <c r="AA55" i="256"/>
  <c r="AB55" i="256"/>
  <c r="AC55" i="256"/>
  <c r="B56" i="256"/>
  <c r="C56" i="256"/>
  <c r="D56" i="256"/>
  <c r="E56" i="256"/>
  <c r="G56" i="256"/>
  <c r="H56" i="256"/>
  <c r="I56" i="256"/>
  <c r="J56" i="256"/>
  <c r="N56" i="256"/>
  <c r="Q56" i="256"/>
  <c r="R56" i="256"/>
  <c r="W56" i="256"/>
  <c r="X56" i="256"/>
  <c r="Y56" i="256"/>
  <c r="Z56" i="256"/>
  <c r="AA56" i="256"/>
  <c r="AB56" i="256"/>
  <c r="AC56" i="256"/>
  <c r="B57" i="256"/>
  <c r="C57" i="256"/>
  <c r="D57" i="256"/>
  <c r="E57" i="256"/>
  <c r="G57" i="256"/>
  <c r="H57" i="256"/>
  <c r="I57" i="256"/>
  <c r="J57" i="256"/>
  <c r="N57" i="256"/>
  <c r="Q57" i="256"/>
  <c r="R57" i="256"/>
  <c r="W57" i="256"/>
  <c r="X57" i="256"/>
  <c r="Y57" i="256"/>
  <c r="Z57" i="256"/>
  <c r="AA57" i="256"/>
  <c r="AB57" i="256"/>
  <c r="AC57" i="256"/>
  <c r="B58" i="256"/>
  <c r="C58" i="256"/>
  <c r="D58" i="256"/>
  <c r="E58" i="256"/>
  <c r="G58" i="256"/>
  <c r="H58" i="256"/>
  <c r="I58" i="256"/>
  <c r="J58" i="256"/>
  <c r="N58" i="256"/>
  <c r="Q58" i="256"/>
  <c r="R58" i="256"/>
  <c r="W58" i="256"/>
  <c r="X58" i="256"/>
  <c r="Y58" i="256"/>
  <c r="Z58" i="256"/>
  <c r="AA58" i="256"/>
  <c r="AB58" i="256"/>
  <c r="AC58" i="256"/>
  <c r="B59" i="256"/>
  <c r="C59" i="256"/>
  <c r="D59" i="256"/>
  <c r="E59" i="256"/>
  <c r="G59" i="256"/>
  <c r="H59" i="256"/>
  <c r="I59" i="256"/>
  <c r="J59" i="256"/>
  <c r="N59" i="256"/>
  <c r="Q59" i="256"/>
  <c r="R59" i="256"/>
  <c r="W59" i="256"/>
  <c r="X59" i="256"/>
  <c r="Y59" i="256"/>
  <c r="Z59" i="256"/>
  <c r="AA59" i="256"/>
  <c r="AB59" i="256"/>
  <c r="AC59" i="256"/>
  <c r="B60" i="256"/>
  <c r="C60" i="256"/>
  <c r="D60" i="256"/>
  <c r="E60" i="256"/>
  <c r="G60" i="256"/>
  <c r="H60" i="256"/>
  <c r="I60" i="256"/>
  <c r="J60" i="256"/>
  <c r="N60" i="256"/>
  <c r="Q60" i="256"/>
  <c r="R60" i="256"/>
  <c r="W60" i="256"/>
  <c r="X60" i="256"/>
  <c r="Y60" i="256"/>
  <c r="Z60" i="256"/>
  <c r="AA60" i="256"/>
  <c r="AB60" i="256"/>
  <c r="AC60" i="256"/>
  <c r="B61" i="256"/>
  <c r="C61" i="256"/>
  <c r="D61" i="256"/>
  <c r="E61" i="256"/>
  <c r="G61" i="256"/>
  <c r="H61" i="256"/>
  <c r="I61" i="256"/>
  <c r="J61" i="256"/>
  <c r="N61" i="256"/>
  <c r="Q61" i="256"/>
  <c r="R61" i="256"/>
  <c r="W61" i="256"/>
  <c r="X61" i="256"/>
  <c r="Y61" i="256"/>
  <c r="Z61" i="256"/>
  <c r="AA61" i="256"/>
  <c r="AB61" i="256"/>
  <c r="AC61" i="256"/>
  <c r="B62" i="256"/>
  <c r="C62" i="256"/>
  <c r="D62" i="256"/>
  <c r="E62" i="256"/>
  <c r="G62" i="256"/>
  <c r="H62" i="256"/>
  <c r="I62" i="256"/>
  <c r="J62" i="256"/>
  <c r="N62" i="256"/>
  <c r="Q62" i="256"/>
  <c r="R62" i="256"/>
  <c r="W62" i="256"/>
  <c r="X62" i="256"/>
  <c r="Y62" i="256"/>
  <c r="Z62" i="256"/>
  <c r="AA62" i="256"/>
  <c r="AB62" i="256"/>
  <c r="AC62" i="256"/>
  <c r="B63" i="256"/>
  <c r="C63" i="256"/>
  <c r="D63" i="256"/>
  <c r="E63" i="256"/>
  <c r="G63" i="256"/>
  <c r="H63" i="256"/>
  <c r="I63" i="256"/>
  <c r="J63" i="256"/>
  <c r="N63" i="256"/>
  <c r="Q63" i="256"/>
  <c r="R63" i="256"/>
  <c r="W63" i="256"/>
  <c r="X63" i="256"/>
  <c r="Y63" i="256"/>
  <c r="Z63" i="256"/>
  <c r="AA63" i="256"/>
  <c r="AB63" i="256"/>
  <c r="AC63" i="256"/>
  <c r="B64" i="256"/>
  <c r="C64" i="256"/>
  <c r="D64" i="256"/>
  <c r="E64" i="256"/>
  <c r="G64" i="256"/>
  <c r="H64" i="256"/>
  <c r="I64" i="256"/>
  <c r="J64" i="256"/>
  <c r="N64" i="256"/>
  <c r="Q64" i="256"/>
  <c r="R64" i="256"/>
  <c r="W64" i="256"/>
  <c r="X64" i="256"/>
  <c r="Y64" i="256"/>
  <c r="Z64" i="256"/>
  <c r="AA64" i="256"/>
  <c r="AB64" i="256"/>
  <c r="AC64" i="256"/>
  <c r="B65" i="256"/>
  <c r="C65" i="256"/>
  <c r="D65" i="256"/>
  <c r="E65" i="256"/>
  <c r="G65" i="256"/>
  <c r="H65" i="256"/>
  <c r="I65" i="256"/>
  <c r="J65" i="256"/>
  <c r="N65" i="256"/>
  <c r="Q65" i="256"/>
  <c r="R65" i="256"/>
  <c r="W65" i="256"/>
  <c r="X65" i="256"/>
  <c r="Y65" i="256"/>
  <c r="Z65" i="256"/>
  <c r="AA65" i="256"/>
  <c r="AB65" i="256"/>
  <c r="AC65" i="256"/>
  <c r="B66" i="256"/>
  <c r="C66" i="256"/>
  <c r="D66" i="256"/>
  <c r="E66" i="256"/>
  <c r="G66" i="256"/>
  <c r="H66" i="256"/>
  <c r="I66" i="256"/>
  <c r="J66" i="256"/>
  <c r="N66" i="256"/>
  <c r="Q66" i="256"/>
  <c r="R66" i="256"/>
  <c r="W66" i="256"/>
  <c r="X66" i="256"/>
  <c r="Y66" i="256"/>
  <c r="Z66" i="256"/>
  <c r="AA66" i="256"/>
  <c r="AB66" i="256"/>
  <c r="AC66" i="256"/>
  <c r="B67" i="256"/>
  <c r="C67" i="256"/>
  <c r="D67" i="256"/>
  <c r="E67" i="256"/>
  <c r="G67" i="256"/>
  <c r="H67" i="256"/>
  <c r="I67" i="256"/>
  <c r="J67" i="256"/>
  <c r="N67" i="256"/>
  <c r="Q67" i="256"/>
  <c r="R67" i="256"/>
  <c r="W67" i="256"/>
  <c r="X67" i="256"/>
  <c r="Y67" i="256"/>
  <c r="Z67" i="256"/>
  <c r="AA67" i="256"/>
  <c r="AB67" i="256"/>
  <c r="AC67" i="256"/>
  <c r="B68" i="256"/>
  <c r="C68" i="256"/>
  <c r="D68" i="256"/>
  <c r="E68" i="256"/>
  <c r="G68" i="256"/>
  <c r="H68" i="256"/>
  <c r="I68" i="256"/>
  <c r="J68" i="256"/>
  <c r="N68" i="256"/>
  <c r="Q68" i="256"/>
  <c r="R68" i="256"/>
  <c r="W68" i="256"/>
  <c r="X68" i="256"/>
  <c r="Y68" i="256"/>
  <c r="Z68" i="256"/>
  <c r="AA68" i="256"/>
  <c r="AB68" i="256"/>
  <c r="AC68" i="256"/>
  <c r="B69" i="256"/>
  <c r="C69" i="256"/>
  <c r="D69" i="256"/>
  <c r="E69" i="256"/>
  <c r="G69" i="256"/>
  <c r="H69" i="256"/>
  <c r="I69" i="256"/>
  <c r="J69" i="256"/>
  <c r="N69" i="256"/>
  <c r="Q69" i="256"/>
  <c r="R69" i="256"/>
  <c r="W69" i="256"/>
  <c r="X69" i="256"/>
  <c r="Y69" i="256"/>
  <c r="Z69" i="256"/>
  <c r="AA69" i="256"/>
  <c r="AB69" i="256"/>
  <c r="AC69" i="256"/>
  <c r="B70" i="256"/>
  <c r="C70" i="256"/>
  <c r="D70" i="256"/>
  <c r="E70" i="256"/>
  <c r="G70" i="256"/>
  <c r="H70" i="256"/>
  <c r="I70" i="256"/>
  <c r="J70" i="256"/>
  <c r="N70" i="256"/>
  <c r="Q70" i="256"/>
  <c r="R70" i="256"/>
  <c r="W70" i="256"/>
  <c r="X70" i="256"/>
  <c r="Y70" i="256"/>
  <c r="Z70" i="256"/>
  <c r="AA70" i="256"/>
  <c r="AB70" i="256"/>
  <c r="AC70" i="256"/>
  <c r="B71" i="256"/>
  <c r="C71" i="256"/>
  <c r="D71" i="256"/>
  <c r="E71" i="256"/>
  <c r="G71" i="256"/>
  <c r="H71" i="256"/>
  <c r="I71" i="256"/>
  <c r="J71" i="256"/>
  <c r="N71" i="256"/>
  <c r="Q71" i="256"/>
  <c r="R71" i="256"/>
  <c r="W71" i="256"/>
  <c r="X71" i="256"/>
  <c r="Y71" i="256"/>
  <c r="Z71" i="256"/>
  <c r="AA71" i="256"/>
  <c r="AB71" i="256"/>
  <c r="AC71" i="256"/>
  <c r="B72" i="256"/>
  <c r="C72" i="256"/>
  <c r="D72" i="256"/>
  <c r="E72" i="256"/>
  <c r="G72" i="256"/>
  <c r="G104" i="256" s="1"/>
  <c r="H72" i="256"/>
  <c r="I72" i="256"/>
  <c r="J72" i="256"/>
  <c r="N72" i="256"/>
  <c r="Q72" i="256"/>
  <c r="R72" i="256"/>
  <c r="W72" i="256"/>
  <c r="X72" i="256"/>
  <c r="Y72" i="256"/>
  <c r="Z72" i="256"/>
  <c r="AA72" i="256"/>
  <c r="AB72" i="256"/>
  <c r="AC72" i="256"/>
  <c r="B73" i="256"/>
  <c r="C73" i="256"/>
  <c r="D73" i="256"/>
  <c r="E73" i="256"/>
  <c r="G73" i="256"/>
  <c r="H73" i="256"/>
  <c r="I73" i="256"/>
  <c r="J73" i="256"/>
  <c r="N73" i="256"/>
  <c r="Q73" i="256"/>
  <c r="R73" i="256"/>
  <c r="W73" i="256"/>
  <c r="X73" i="256"/>
  <c r="Y73" i="256"/>
  <c r="Z73" i="256"/>
  <c r="AA73" i="256"/>
  <c r="AB73" i="256"/>
  <c r="AC73" i="256"/>
  <c r="B74" i="256"/>
  <c r="C74" i="256"/>
  <c r="D74" i="256"/>
  <c r="E74" i="256"/>
  <c r="G74" i="256"/>
  <c r="H74" i="256"/>
  <c r="I74" i="256"/>
  <c r="J74" i="256"/>
  <c r="N74" i="256"/>
  <c r="Q74" i="256"/>
  <c r="R74" i="256"/>
  <c r="W74" i="256"/>
  <c r="X74" i="256"/>
  <c r="Y74" i="256"/>
  <c r="Z74" i="256"/>
  <c r="AA74" i="256"/>
  <c r="AB74" i="256"/>
  <c r="AC74" i="256"/>
  <c r="B75" i="256"/>
  <c r="C75" i="256"/>
  <c r="D75" i="256"/>
  <c r="E75" i="256"/>
  <c r="G75" i="256"/>
  <c r="H75" i="256"/>
  <c r="I75" i="256"/>
  <c r="J75" i="256"/>
  <c r="N75" i="256"/>
  <c r="Q75" i="256"/>
  <c r="R75" i="256"/>
  <c r="W75" i="256"/>
  <c r="X75" i="256"/>
  <c r="Y75" i="256"/>
  <c r="Z75" i="256"/>
  <c r="AA75" i="256"/>
  <c r="AB75" i="256"/>
  <c r="AC75" i="256"/>
  <c r="B76" i="256"/>
  <c r="C76" i="256"/>
  <c r="D76" i="256"/>
  <c r="E76" i="256"/>
  <c r="G76" i="256"/>
  <c r="H76" i="256"/>
  <c r="I76" i="256"/>
  <c r="J76" i="256"/>
  <c r="N76" i="256"/>
  <c r="Q76" i="256"/>
  <c r="R76" i="256"/>
  <c r="W76" i="256"/>
  <c r="X76" i="256"/>
  <c r="Y76" i="256"/>
  <c r="Z76" i="256"/>
  <c r="AA76" i="256"/>
  <c r="AB76" i="256"/>
  <c r="AC76" i="256"/>
  <c r="B77" i="256"/>
  <c r="C77" i="256"/>
  <c r="D77" i="256"/>
  <c r="E77" i="256"/>
  <c r="G77" i="256"/>
  <c r="H77" i="256"/>
  <c r="I77" i="256"/>
  <c r="J77" i="256"/>
  <c r="N77" i="256"/>
  <c r="Q77" i="256"/>
  <c r="R77" i="256"/>
  <c r="W77" i="256"/>
  <c r="X77" i="256"/>
  <c r="Y77" i="256"/>
  <c r="Z77" i="256"/>
  <c r="AA77" i="256"/>
  <c r="AB77" i="256"/>
  <c r="AC77" i="256"/>
  <c r="B78" i="256"/>
  <c r="C78" i="256"/>
  <c r="D78" i="256"/>
  <c r="E78" i="256"/>
  <c r="G78" i="256"/>
  <c r="H78" i="256"/>
  <c r="I78" i="256"/>
  <c r="J78" i="256"/>
  <c r="N78" i="256"/>
  <c r="Q78" i="256"/>
  <c r="R78" i="256"/>
  <c r="W78" i="256"/>
  <c r="X78" i="256"/>
  <c r="Y78" i="256"/>
  <c r="Z78" i="256"/>
  <c r="AA78" i="256"/>
  <c r="AB78" i="256"/>
  <c r="AC78" i="256"/>
  <c r="B79" i="256"/>
  <c r="C79" i="256"/>
  <c r="D79" i="256"/>
  <c r="E79" i="256"/>
  <c r="G79" i="256"/>
  <c r="H79" i="256"/>
  <c r="I79" i="256"/>
  <c r="J79" i="256"/>
  <c r="N79" i="256"/>
  <c r="Q79" i="256"/>
  <c r="R79" i="256"/>
  <c r="W79" i="256"/>
  <c r="X79" i="256"/>
  <c r="Y79" i="256"/>
  <c r="Z79" i="256"/>
  <c r="AA79" i="256"/>
  <c r="AB79" i="256"/>
  <c r="AC79" i="256"/>
  <c r="B80" i="256"/>
  <c r="C80" i="256"/>
  <c r="D80" i="256"/>
  <c r="E80" i="256"/>
  <c r="G80" i="256"/>
  <c r="H80" i="256"/>
  <c r="I80" i="256"/>
  <c r="J80" i="256"/>
  <c r="N80" i="256"/>
  <c r="Q80" i="256"/>
  <c r="R80" i="256"/>
  <c r="W80" i="256"/>
  <c r="X80" i="256"/>
  <c r="Y80" i="256"/>
  <c r="Z80" i="256"/>
  <c r="AA80" i="256"/>
  <c r="AB80" i="256"/>
  <c r="AC80" i="256"/>
  <c r="B81" i="256"/>
  <c r="C81" i="256"/>
  <c r="D81" i="256"/>
  <c r="E81" i="256"/>
  <c r="G81" i="256"/>
  <c r="H81" i="256"/>
  <c r="I81" i="256"/>
  <c r="J81" i="256"/>
  <c r="N81" i="256"/>
  <c r="Q81" i="256"/>
  <c r="R81" i="256"/>
  <c r="W81" i="256"/>
  <c r="X81" i="256"/>
  <c r="Y81" i="256"/>
  <c r="Z81" i="256"/>
  <c r="AA81" i="256"/>
  <c r="AB81" i="256"/>
  <c r="AC81" i="256"/>
  <c r="B82" i="256"/>
  <c r="C82" i="256"/>
  <c r="D82" i="256"/>
  <c r="E82" i="256"/>
  <c r="G82" i="256"/>
  <c r="H82" i="256"/>
  <c r="I82" i="256"/>
  <c r="J82" i="256"/>
  <c r="N82" i="256"/>
  <c r="Q82" i="256"/>
  <c r="R82" i="256"/>
  <c r="W82" i="256"/>
  <c r="X82" i="256"/>
  <c r="Y82" i="256"/>
  <c r="Z82" i="256"/>
  <c r="AA82" i="256"/>
  <c r="AB82" i="256"/>
  <c r="AC82" i="256"/>
  <c r="B83" i="256"/>
  <c r="C83" i="256"/>
  <c r="D83" i="256"/>
  <c r="E83" i="256"/>
  <c r="G83" i="256"/>
  <c r="H83" i="256"/>
  <c r="I83" i="256"/>
  <c r="J83" i="256"/>
  <c r="N83" i="256"/>
  <c r="Q83" i="256"/>
  <c r="R83" i="256"/>
  <c r="W83" i="256"/>
  <c r="X83" i="256"/>
  <c r="Y83" i="256"/>
  <c r="Z83" i="256"/>
  <c r="AA83" i="256"/>
  <c r="AB83" i="256"/>
  <c r="AC83" i="256"/>
  <c r="B84" i="256"/>
  <c r="C84" i="256"/>
  <c r="D84" i="256"/>
  <c r="E84" i="256"/>
  <c r="G84" i="256"/>
  <c r="H84" i="256"/>
  <c r="I84" i="256"/>
  <c r="J84" i="256"/>
  <c r="N84" i="256"/>
  <c r="Q84" i="256"/>
  <c r="R84" i="256"/>
  <c r="W84" i="256"/>
  <c r="X84" i="256"/>
  <c r="Y84" i="256"/>
  <c r="Z84" i="256"/>
  <c r="AA84" i="256"/>
  <c r="AB84" i="256"/>
  <c r="AC84" i="256"/>
  <c r="B85" i="256"/>
  <c r="C85" i="256"/>
  <c r="D85" i="256"/>
  <c r="E85" i="256"/>
  <c r="G85" i="256"/>
  <c r="H85" i="256"/>
  <c r="I85" i="256"/>
  <c r="J85" i="256"/>
  <c r="N85" i="256"/>
  <c r="Q85" i="256"/>
  <c r="R85" i="256"/>
  <c r="W85" i="256"/>
  <c r="X85" i="256"/>
  <c r="Y85" i="256"/>
  <c r="Z85" i="256"/>
  <c r="AA85" i="256"/>
  <c r="AB85" i="256"/>
  <c r="AC85" i="256"/>
  <c r="B86" i="256"/>
  <c r="C86" i="256"/>
  <c r="D86" i="256"/>
  <c r="E86" i="256"/>
  <c r="G86" i="256"/>
  <c r="H86" i="256"/>
  <c r="I86" i="256"/>
  <c r="J86" i="256"/>
  <c r="N86" i="256"/>
  <c r="Q86" i="256"/>
  <c r="R86" i="256"/>
  <c r="W86" i="256"/>
  <c r="X86" i="256"/>
  <c r="Y86" i="256"/>
  <c r="Z86" i="256"/>
  <c r="AA86" i="256"/>
  <c r="AB86" i="256"/>
  <c r="AC86" i="256"/>
  <c r="B87" i="256"/>
  <c r="C87" i="256"/>
  <c r="D87" i="256"/>
  <c r="E87" i="256"/>
  <c r="G87" i="256"/>
  <c r="H87" i="256"/>
  <c r="I87" i="256"/>
  <c r="J87" i="256"/>
  <c r="N87" i="256"/>
  <c r="Q87" i="256"/>
  <c r="R87" i="256"/>
  <c r="W87" i="256"/>
  <c r="X87" i="256"/>
  <c r="Y87" i="256"/>
  <c r="Z87" i="256"/>
  <c r="AA87" i="256"/>
  <c r="AB87" i="256"/>
  <c r="AC87" i="256"/>
  <c r="B88" i="256"/>
  <c r="C88" i="256"/>
  <c r="D88" i="256"/>
  <c r="E88" i="256"/>
  <c r="G88" i="256"/>
  <c r="H88" i="256"/>
  <c r="I88" i="256"/>
  <c r="J88" i="256"/>
  <c r="N88" i="256"/>
  <c r="Q88" i="256"/>
  <c r="R88" i="256"/>
  <c r="W88" i="256"/>
  <c r="X88" i="256"/>
  <c r="Y88" i="256"/>
  <c r="Z88" i="256"/>
  <c r="AA88" i="256"/>
  <c r="AB88" i="256"/>
  <c r="AC88" i="256"/>
  <c r="B89" i="256"/>
  <c r="C89" i="256"/>
  <c r="D89" i="256"/>
  <c r="E89" i="256"/>
  <c r="G89" i="256"/>
  <c r="H89" i="256"/>
  <c r="I89" i="256"/>
  <c r="J89" i="256"/>
  <c r="N89" i="256"/>
  <c r="Q89" i="256"/>
  <c r="R89" i="256"/>
  <c r="W89" i="256"/>
  <c r="X89" i="256"/>
  <c r="Y89" i="256"/>
  <c r="Z89" i="256"/>
  <c r="AA89" i="256"/>
  <c r="AB89" i="256"/>
  <c r="AC89" i="256"/>
  <c r="B90" i="256"/>
  <c r="C90" i="256"/>
  <c r="D90" i="256"/>
  <c r="E90" i="256"/>
  <c r="G90" i="256"/>
  <c r="H90" i="256"/>
  <c r="I90" i="256"/>
  <c r="J90" i="256"/>
  <c r="N90" i="256"/>
  <c r="Q90" i="256"/>
  <c r="R90" i="256"/>
  <c r="W90" i="256"/>
  <c r="X90" i="256"/>
  <c r="Y90" i="256"/>
  <c r="Z90" i="256"/>
  <c r="AA90" i="256"/>
  <c r="AB90" i="256"/>
  <c r="AC90" i="256"/>
  <c r="B91" i="256"/>
  <c r="C91" i="256"/>
  <c r="D91" i="256"/>
  <c r="E91" i="256"/>
  <c r="G91" i="256"/>
  <c r="H91" i="256"/>
  <c r="I91" i="256"/>
  <c r="J91" i="256"/>
  <c r="N91" i="256"/>
  <c r="Q91" i="256"/>
  <c r="R91" i="256"/>
  <c r="W91" i="256"/>
  <c r="X91" i="256"/>
  <c r="Y91" i="256"/>
  <c r="Z91" i="256"/>
  <c r="AA91" i="256"/>
  <c r="AB91" i="256"/>
  <c r="AC91" i="256"/>
  <c r="B92" i="256"/>
  <c r="C92" i="256"/>
  <c r="D92" i="256"/>
  <c r="E92" i="256"/>
  <c r="G92" i="256"/>
  <c r="H92" i="256"/>
  <c r="I92" i="256"/>
  <c r="J92" i="256"/>
  <c r="N92" i="256"/>
  <c r="Q92" i="256"/>
  <c r="R92" i="256"/>
  <c r="W92" i="256"/>
  <c r="X92" i="256"/>
  <c r="Y92" i="256"/>
  <c r="Z92" i="256"/>
  <c r="AA92" i="256"/>
  <c r="AB92" i="256"/>
  <c r="AC92" i="256"/>
  <c r="B93" i="256"/>
  <c r="C93" i="256"/>
  <c r="D93" i="256"/>
  <c r="E93" i="256"/>
  <c r="G93" i="256"/>
  <c r="H93" i="256"/>
  <c r="I93" i="256"/>
  <c r="J93" i="256"/>
  <c r="N93" i="256"/>
  <c r="Q93" i="256"/>
  <c r="R93" i="256"/>
  <c r="W93" i="256"/>
  <c r="X93" i="256"/>
  <c r="Y93" i="256"/>
  <c r="Z93" i="256"/>
  <c r="AA93" i="256"/>
  <c r="AB93" i="256"/>
  <c r="AC93" i="256"/>
  <c r="B94" i="256"/>
  <c r="C94" i="256"/>
  <c r="D94" i="256"/>
  <c r="E94" i="256"/>
  <c r="G94" i="256"/>
  <c r="H94" i="256"/>
  <c r="I94" i="256"/>
  <c r="J94" i="256"/>
  <c r="N94" i="256"/>
  <c r="Q94" i="256"/>
  <c r="R94" i="256"/>
  <c r="W94" i="256"/>
  <c r="X94" i="256"/>
  <c r="Y94" i="256"/>
  <c r="Z94" i="256"/>
  <c r="AA94" i="256"/>
  <c r="AB94" i="256"/>
  <c r="AC94" i="256"/>
  <c r="B95" i="256"/>
  <c r="C95" i="256"/>
  <c r="D95" i="256"/>
  <c r="E95" i="256"/>
  <c r="G95" i="256"/>
  <c r="H95" i="256"/>
  <c r="I95" i="256"/>
  <c r="J95" i="256"/>
  <c r="N95" i="256"/>
  <c r="Q95" i="256"/>
  <c r="R95" i="256"/>
  <c r="W95" i="256"/>
  <c r="X95" i="256"/>
  <c r="Y95" i="256"/>
  <c r="Z95" i="256"/>
  <c r="AA95" i="256"/>
  <c r="AB95" i="256"/>
  <c r="AC95" i="256"/>
  <c r="B96" i="256"/>
  <c r="C96" i="256"/>
  <c r="D96" i="256"/>
  <c r="E96" i="256"/>
  <c r="G96" i="256"/>
  <c r="H96" i="256"/>
  <c r="I96" i="256"/>
  <c r="J96" i="256"/>
  <c r="N96" i="256"/>
  <c r="Q96" i="256"/>
  <c r="R96" i="256"/>
  <c r="W96" i="256"/>
  <c r="X96" i="256"/>
  <c r="Y96" i="256"/>
  <c r="Z96" i="256"/>
  <c r="AA96" i="256"/>
  <c r="AB96" i="256"/>
  <c r="AC96" i="256"/>
  <c r="B97" i="256"/>
  <c r="C97" i="256"/>
  <c r="D97" i="256"/>
  <c r="E97" i="256"/>
  <c r="G97" i="256"/>
  <c r="H97" i="256"/>
  <c r="I97" i="256"/>
  <c r="J97" i="256"/>
  <c r="N97" i="256"/>
  <c r="Q97" i="256"/>
  <c r="R97" i="256"/>
  <c r="W97" i="256"/>
  <c r="X97" i="256"/>
  <c r="Y97" i="256"/>
  <c r="Z97" i="256"/>
  <c r="AA97" i="256"/>
  <c r="AB97" i="256"/>
  <c r="AC97" i="256"/>
  <c r="B98" i="256"/>
  <c r="C98" i="256"/>
  <c r="D98" i="256"/>
  <c r="E98" i="256"/>
  <c r="G98" i="256"/>
  <c r="H98" i="256"/>
  <c r="I98" i="256"/>
  <c r="J98" i="256"/>
  <c r="N98" i="256"/>
  <c r="Q98" i="256"/>
  <c r="R98" i="256"/>
  <c r="W98" i="256"/>
  <c r="X98" i="256"/>
  <c r="Y98" i="256"/>
  <c r="Z98" i="256"/>
  <c r="AA98" i="256"/>
  <c r="AB98" i="256"/>
  <c r="AC98" i="256"/>
  <c r="B99" i="256"/>
  <c r="C99" i="256"/>
  <c r="D99" i="256"/>
  <c r="E99" i="256"/>
  <c r="G99" i="256"/>
  <c r="H99" i="256"/>
  <c r="I99" i="256"/>
  <c r="J99" i="256"/>
  <c r="N99" i="256"/>
  <c r="Q99" i="256"/>
  <c r="R99" i="256"/>
  <c r="W99" i="256"/>
  <c r="X99" i="256"/>
  <c r="Y99" i="256"/>
  <c r="Z99" i="256"/>
  <c r="AA99" i="256"/>
  <c r="AB99" i="256"/>
  <c r="AC99" i="256"/>
  <c r="B100" i="256"/>
  <c r="C100" i="256"/>
  <c r="D100" i="256"/>
  <c r="E100" i="256"/>
  <c r="G100" i="256"/>
  <c r="H100" i="256"/>
  <c r="I100" i="256"/>
  <c r="J100" i="256"/>
  <c r="N100" i="256"/>
  <c r="Q100" i="256"/>
  <c r="R100" i="256"/>
  <c r="W100" i="256"/>
  <c r="X100" i="256"/>
  <c r="Y100" i="256"/>
  <c r="Z100" i="256"/>
  <c r="AA100" i="256"/>
  <c r="AB100" i="256"/>
  <c r="AC100" i="256"/>
  <c r="B101" i="256"/>
  <c r="C101" i="256"/>
  <c r="D101" i="256"/>
  <c r="E101" i="256"/>
  <c r="G101" i="256"/>
  <c r="H101" i="256"/>
  <c r="I101" i="256"/>
  <c r="J101" i="256"/>
  <c r="N101" i="256"/>
  <c r="Q101" i="256"/>
  <c r="R101" i="256"/>
  <c r="W101" i="256"/>
  <c r="X101" i="256"/>
  <c r="Y101" i="256"/>
  <c r="Z101" i="256"/>
  <c r="AA101" i="256"/>
  <c r="AB101" i="256"/>
  <c r="AC101" i="256"/>
  <c r="B102" i="256"/>
  <c r="C102" i="256"/>
  <c r="D102" i="256"/>
  <c r="E102" i="256"/>
  <c r="G102" i="256"/>
  <c r="H102" i="256"/>
  <c r="I102" i="256"/>
  <c r="J102" i="256"/>
  <c r="N102" i="256"/>
  <c r="Q102" i="256"/>
  <c r="R102" i="256"/>
  <c r="W102" i="256"/>
  <c r="X102" i="256"/>
  <c r="Y102" i="256"/>
  <c r="Z102" i="256"/>
  <c r="AA102" i="256"/>
  <c r="AB102" i="256"/>
  <c r="AC102" i="256"/>
  <c r="B103" i="256"/>
  <c r="C103" i="256"/>
  <c r="D103" i="256"/>
  <c r="E103" i="256"/>
  <c r="G103" i="256"/>
  <c r="H103" i="256"/>
  <c r="I103" i="256"/>
  <c r="J103" i="256"/>
  <c r="N103" i="256"/>
  <c r="Q103" i="256"/>
  <c r="R103" i="256"/>
  <c r="W103" i="256"/>
  <c r="X103" i="256"/>
  <c r="Y103" i="256"/>
  <c r="Z103" i="256"/>
  <c r="AA103" i="256"/>
  <c r="AB103" i="256"/>
  <c r="AC103" i="256"/>
  <c r="AB5" i="256"/>
  <c r="AC5" i="256"/>
  <c r="E5" i="256"/>
  <c r="G5" i="256"/>
  <c r="H5" i="256"/>
  <c r="I5" i="256"/>
  <c r="J5" i="256"/>
  <c r="J104" i="256" s="1"/>
  <c r="N5" i="256"/>
  <c r="Q5" i="256"/>
  <c r="R5" i="256"/>
  <c r="W5" i="256"/>
  <c r="X5" i="256"/>
  <c r="Y5" i="256"/>
  <c r="Z5" i="256"/>
  <c r="AA5" i="256"/>
  <c r="D5" i="256"/>
  <c r="C5" i="256"/>
  <c r="B5" i="256"/>
  <c r="Z121" i="256"/>
  <c r="X121" i="256"/>
  <c r="H121" i="256"/>
  <c r="D121" i="256"/>
  <c r="P107" i="256"/>
  <c r="P106" i="256"/>
  <c r="A6" i="256"/>
  <c r="A7" i="256" s="1"/>
  <c r="A8" i="256" s="1"/>
  <c r="A9" i="256" s="1"/>
  <c r="A10" i="256" s="1"/>
  <c r="A11" i="256" s="1"/>
  <c r="A12" i="256" s="1"/>
  <c r="A13" i="256" s="1"/>
  <c r="A14" i="256" s="1"/>
  <c r="A15" i="256" s="1"/>
  <c r="A16" i="256" s="1"/>
  <c r="A17" i="256" s="1"/>
  <c r="A18" i="256" s="1"/>
  <c r="A19" i="256" s="1"/>
  <c r="A20" i="256" s="1"/>
  <c r="A21" i="256" s="1"/>
  <c r="A22" i="256" s="1"/>
  <c r="A23" i="256" s="1"/>
  <c r="A24" i="256" s="1"/>
  <c r="A25" i="256" s="1"/>
  <c r="A26" i="256" s="1"/>
  <c r="A27" i="256" s="1"/>
  <c r="A28" i="256" s="1"/>
  <c r="A29" i="256" s="1"/>
  <c r="A30" i="256" s="1"/>
  <c r="A31" i="256" s="1"/>
  <c r="A32" i="256" s="1"/>
  <c r="A33" i="256" s="1"/>
  <c r="A34" i="256" s="1"/>
  <c r="A35" i="256" s="1"/>
  <c r="A36" i="256" s="1"/>
  <c r="A37" i="256" s="1"/>
  <c r="A38" i="256" s="1"/>
  <c r="A39" i="256" s="1"/>
  <c r="A40" i="256" s="1"/>
  <c r="A41" i="256" s="1"/>
  <c r="A42" i="256" s="1"/>
  <c r="A43" i="256" s="1"/>
  <c r="A44" i="256" s="1"/>
  <c r="A45" i="256" s="1"/>
  <c r="A46" i="256" s="1"/>
  <c r="A47" i="256" s="1"/>
  <c r="A48" i="256" s="1"/>
  <c r="A49" i="256" s="1"/>
  <c r="A50" i="256" s="1"/>
  <c r="A51" i="256" s="1"/>
  <c r="A52" i="256" s="1"/>
  <c r="A53" i="256" s="1"/>
  <c r="A54" i="256" s="1"/>
  <c r="A55" i="256" s="1"/>
  <c r="A56" i="256" s="1"/>
  <c r="A57" i="256" s="1"/>
  <c r="A58" i="256" s="1"/>
  <c r="A59" i="256" s="1"/>
  <c r="A60" i="256" s="1"/>
  <c r="A61" i="256" s="1"/>
  <c r="A62" i="256" s="1"/>
  <c r="A63" i="256" s="1"/>
  <c r="A64" i="256" s="1"/>
  <c r="A65" i="256" s="1"/>
  <c r="A66" i="256" s="1"/>
  <c r="A67" i="256" s="1"/>
  <c r="A68" i="256" s="1"/>
  <c r="A69" i="256" s="1"/>
  <c r="A70" i="256" s="1"/>
  <c r="A71" i="256" s="1"/>
  <c r="A72" i="256" s="1"/>
  <c r="A73" i="256" s="1"/>
  <c r="A74" i="256" s="1"/>
  <c r="A75" i="256" s="1"/>
  <c r="A76" i="256" s="1"/>
  <c r="A77" i="256" s="1"/>
  <c r="A78" i="256" s="1"/>
  <c r="A79" i="256" s="1"/>
  <c r="A80" i="256" s="1"/>
  <c r="A81" i="256" s="1"/>
  <c r="A82" i="256" s="1"/>
  <c r="A83" i="256" s="1"/>
  <c r="A84" i="256" s="1"/>
  <c r="A85" i="256" s="1"/>
  <c r="A86" i="256" s="1"/>
  <c r="A87" i="256" s="1"/>
  <c r="A88" i="256" s="1"/>
  <c r="A89" i="256" s="1"/>
  <c r="A90" i="256" s="1"/>
  <c r="A91" i="256" s="1"/>
  <c r="A92" i="256" s="1"/>
  <c r="A93" i="256" s="1"/>
  <c r="A94" i="256" s="1"/>
  <c r="A95" i="256" s="1"/>
  <c r="A96" i="256" s="1"/>
  <c r="A97" i="256" s="1"/>
  <c r="A98" i="256" s="1"/>
  <c r="A99" i="256" s="1"/>
  <c r="A100" i="256" s="1"/>
  <c r="A101" i="256" s="1"/>
  <c r="A102" i="256" s="1"/>
  <c r="A103" i="256" s="1"/>
  <c r="A108" i="256" s="1"/>
  <c r="A109" i="256" s="1"/>
  <c r="A110" i="256" s="1"/>
  <c r="A111" i="256" s="1"/>
  <c r="A112" i="256" s="1"/>
  <c r="A113" i="256" s="1"/>
  <c r="A114" i="256" s="1"/>
  <c r="A115" i="256" s="1"/>
  <c r="A116" i="256" s="1"/>
  <c r="A117" i="256" s="1"/>
  <c r="A118" i="256" s="1"/>
  <c r="A119" i="256" s="1"/>
  <c r="A120" i="256" s="1"/>
  <c r="A122" i="256" s="1"/>
  <c r="B6" i="255"/>
  <c r="C6" i="255"/>
  <c r="D6" i="255"/>
  <c r="E6" i="255"/>
  <c r="G6" i="255"/>
  <c r="H6" i="255"/>
  <c r="I6" i="255"/>
  <c r="J6" i="255"/>
  <c r="N6" i="255"/>
  <c r="Q6" i="255"/>
  <c r="R6" i="255"/>
  <c r="W6" i="255"/>
  <c r="X6" i="255"/>
  <c r="Y6" i="255"/>
  <c r="Z6" i="255"/>
  <c r="AA6" i="255"/>
  <c r="AB6" i="255"/>
  <c r="AC6" i="255"/>
  <c r="B7" i="255"/>
  <c r="C7" i="255"/>
  <c r="E7" i="255"/>
  <c r="G7" i="255"/>
  <c r="H7" i="255"/>
  <c r="I7" i="255"/>
  <c r="J7" i="255"/>
  <c r="N7" i="255"/>
  <c r="Q7" i="255"/>
  <c r="R7" i="255"/>
  <c r="W7" i="255"/>
  <c r="X7" i="255"/>
  <c r="Y7" i="255"/>
  <c r="Z7" i="255"/>
  <c r="AA7" i="255"/>
  <c r="AB7" i="255"/>
  <c r="AC7" i="255"/>
  <c r="B8" i="255"/>
  <c r="C8" i="255"/>
  <c r="D8" i="255"/>
  <c r="E8" i="255"/>
  <c r="G8" i="255"/>
  <c r="H8" i="255"/>
  <c r="I8" i="255"/>
  <c r="J8" i="255"/>
  <c r="N8" i="255"/>
  <c r="Q8" i="255"/>
  <c r="R8" i="255"/>
  <c r="W8" i="255"/>
  <c r="X8" i="255"/>
  <c r="Y8" i="255"/>
  <c r="Z8" i="255"/>
  <c r="AA8" i="255"/>
  <c r="AB8" i="255"/>
  <c r="AC8" i="255"/>
  <c r="B9" i="255"/>
  <c r="C9" i="255"/>
  <c r="D9" i="255"/>
  <c r="E9" i="255"/>
  <c r="G9" i="255"/>
  <c r="H9" i="255"/>
  <c r="I9" i="255"/>
  <c r="J9" i="255"/>
  <c r="N9" i="255"/>
  <c r="Q9" i="255"/>
  <c r="R9" i="255"/>
  <c r="W9" i="255"/>
  <c r="X9" i="255"/>
  <c r="Y9" i="255"/>
  <c r="Z9" i="255"/>
  <c r="AA9" i="255"/>
  <c r="AB9" i="255"/>
  <c r="AC9" i="255"/>
  <c r="B10" i="255"/>
  <c r="C10" i="255"/>
  <c r="D10" i="255"/>
  <c r="E10" i="255"/>
  <c r="G10" i="255"/>
  <c r="H10" i="255"/>
  <c r="I10" i="255"/>
  <c r="J10" i="255"/>
  <c r="N10" i="255"/>
  <c r="Q10" i="255"/>
  <c r="R10" i="255"/>
  <c r="W10" i="255"/>
  <c r="X10" i="255"/>
  <c r="Y10" i="255"/>
  <c r="Z10" i="255"/>
  <c r="AA10" i="255"/>
  <c r="AB10" i="255"/>
  <c r="AC10" i="255"/>
  <c r="B11" i="255"/>
  <c r="C11" i="255"/>
  <c r="E11" i="255"/>
  <c r="G11" i="255"/>
  <c r="H11" i="255"/>
  <c r="I11" i="255"/>
  <c r="J11" i="255"/>
  <c r="Q11" i="255"/>
  <c r="R11" i="255"/>
  <c r="W11" i="255"/>
  <c r="X11" i="255"/>
  <c r="Y11" i="255"/>
  <c r="Z11" i="255"/>
  <c r="AA11" i="255"/>
  <c r="AB11" i="255"/>
  <c r="AC11" i="255"/>
  <c r="B12" i="255"/>
  <c r="C12" i="255"/>
  <c r="D12" i="255"/>
  <c r="E12" i="255"/>
  <c r="G12" i="255"/>
  <c r="H12" i="255"/>
  <c r="I12" i="255"/>
  <c r="J12" i="255"/>
  <c r="N12" i="255"/>
  <c r="Q12" i="255"/>
  <c r="R12" i="255"/>
  <c r="W12" i="255"/>
  <c r="X12" i="255"/>
  <c r="Y12" i="255"/>
  <c r="Z12" i="255"/>
  <c r="AA12" i="255"/>
  <c r="AB12" i="255"/>
  <c r="AC12" i="255"/>
  <c r="B13" i="255"/>
  <c r="C13" i="255"/>
  <c r="D13" i="255"/>
  <c r="E13" i="255"/>
  <c r="G13" i="255"/>
  <c r="H13" i="255"/>
  <c r="I13" i="255"/>
  <c r="J13" i="255"/>
  <c r="N13" i="255"/>
  <c r="Q13" i="255"/>
  <c r="R13" i="255"/>
  <c r="W13" i="255"/>
  <c r="X13" i="255"/>
  <c r="Y13" i="255"/>
  <c r="Z13" i="255"/>
  <c r="AA13" i="255"/>
  <c r="AB13" i="255"/>
  <c r="AC13" i="255"/>
  <c r="B14" i="255"/>
  <c r="C14" i="255"/>
  <c r="D14" i="255"/>
  <c r="E14" i="255"/>
  <c r="G14" i="255"/>
  <c r="H14" i="255"/>
  <c r="I14" i="255"/>
  <c r="J14" i="255"/>
  <c r="N14" i="255"/>
  <c r="Q14" i="255"/>
  <c r="R14" i="255"/>
  <c r="W14" i="255"/>
  <c r="X14" i="255"/>
  <c r="Y14" i="255"/>
  <c r="Z14" i="255"/>
  <c r="AA14" i="255"/>
  <c r="AB14" i="255"/>
  <c r="AC14" i="255"/>
  <c r="B15" i="255"/>
  <c r="C15" i="255"/>
  <c r="D15" i="255"/>
  <c r="E15" i="255"/>
  <c r="G15" i="255"/>
  <c r="H15" i="255"/>
  <c r="I15" i="255"/>
  <c r="J15" i="255"/>
  <c r="N15" i="255"/>
  <c r="Q15" i="255"/>
  <c r="R15" i="255"/>
  <c r="W15" i="255"/>
  <c r="X15" i="255"/>
  <c r="Y15" i="255"/>
  <c r="Z15" i="255"/>
  <c r="AA15" i="255"/>
  <c r="AB15" i="255"/>
  <c r="AC15" i="255"/>
  <c r="B16" i="255"/>
  <c r="C16" i="255"/>
  <c r="D16" i="255"/>
  <c r="E16" i="255"/>
  <c r="G16" i="255"/>
  <c r="H16" i="255"/>
  <c r="I16" i="255"/>
  <c r="J16" i="255"/>
  <c r="Q16" i="255"/>
  <c r="R16" i="255"/>
  <c r="W16" i="255"/>
  <c r="X16" i="255"/>
  <c r="Y16" i="255"/>
  <c r="Z16" i="255"/>
  <c r="AA16" i="255"/>
  <c r="AB16" i="255"/>
  <c r="AC16" i="255"/>
  <c r="B17" i="255"/>
  <c r="C17" i="255"/>
  <c r="E17" i="255"/>
  <c r="G17" i="255"/>
  <c r="H17" i="255"/>
  <c r="I17" i="255"/>
  <c r="J17" i="255"/>
  <c r="N17" i="255"/>
  <c r="Q17" i="255"/>
  <c r="R17" i="255"/>
  <c r="W17" i="255"/>
  <c r="X17" i="255"/>
  <c r="Y17" i="255"/>
  <c r="Z17" i="255"/>
  <c r="AA17" i="255"/>
  <c r="AB17" i="255"/>
  <c r="AC17" i="255"/>
  <c r="B18" i="255"/>
  <c r="C18" i="255"/>
  <c r="E18" i="255"/>
  <c r="G18" i="255"/>
  <c r="H18" i="255"/>
  <c r="I18" i="255"/>
  <c r="J18" i="255"/>
  <c r="N18" i="255"/>
  <c r="Q18" i="255"/>
  <c r="R18" i="255"/>
  <c r="W18" i="255"/>
  <c r="X18" i="255"/>
  <c r="Y18" i="255"/>
  <c r="Z18" i="255"/>
  <c r="AA18" i="255"/>
  <c r="AB18" i="255"/>
  <c r="AC18" i="255"/>
  <c r="B19" i="255"/>
  <c r="C19" i="255"/>
  <c r="D19" i="255"/>
  <c r="E19" i="255"/>
  <c r="G19" i="255"/>
  <c r="H19" i="255"/>
  <c r="I19" i="255"/>
  <c r="J19" i="255"/>
  <c r="Q19" i="255"/>
  <c r="R19" i="255"/>
  <c r="W19" i="255"/>
  <c r="X19" i="255"/>
  <c r="Y19" i="255"/>
  <c r="Z19" i="255"/>
  <c r="AA19" i="255"/>
  <c r="AB19" i="255"/>
  <c r="AC19" i="255"/>
  <c r="B20" i="255"/>
  <c r="C20" i="255"/>
  <c r="E20" i="255"/>
  <c r="G20" i="255"/>
  <c r="H20" i="255"/>
  <c r="I20" i="255"/>
  <c r="J20" i="255"/>
  <c r="N20" i="255"/>
  <c r="Q20" i="255"/>
  <c r="R20" i="255"/>
  <c r="W20" i="255"/>
  <c r="X20" i="255"/>
  <c r="Y20" i="255"/>
  <c r="Z20" i="255"/>
  <c r="AA20" i="255"/>
  <c r="AB20" i="255"/>
  <c r="AC20" i="255"/>
  <c r="B21" i="255"/>
  <c r="C21" i="255"/>
  <c r="E21" i="255"/>
  <c r="G21" i="255"/>
  <c r="H21" i="255"/>
  <c r="I21" i="255"/>
  <c r="J21" i="255"/>
  <c r="Q21" i="255"/>
  <c r="R21" i="255"/>
  <c r="W21" i="255"/>
  <c r="X21" i="255"/>
  <c r="Y21" i="255"/>
  <c r="Z21" i="255"/>
  <c r="AA21" i="255"/>
  <c r="AB21" i="255"/>
  <c r="AC21" i="255"/>
  <c r="B22" i="255"/>
  <c r="C22" i="255"/>
  <c r="D22" i="255"/>
  <c r="E22" i="255"/>
  <c r="G22" i="255"/>
  <c r="H22" i="255"/>
  <c r="I22" i="255"/>
  <c r="J22" i="255"/>
  <c r="N22" i="255"/>
  <c r="Q22" i="255"/>
  <c r="R22" i="255"/>
  <c r="W22" i="255"/>
  <c r="X22" i="255"/>
  <c r="Y22" i="255"/>
  <c r="Z22" i="255"/>
  <c r="AA22" i="255"/>
  <c r="AB22" i="255"/>
  <c r="AC22" i="255"/>
  <c r="B23" i="255"/>
  <c r="C23" i="255"/>
  <c r="E23" i="255"/>
  <c r="G23" i="255"/>
  <c r="H23" i="255"/>
  <c r="I23" i="255"/>
  <c r="J23" i="255"/>
  <c r="N23" i="255"/>
  <c r="Q23" i="255"/>
  <c r="R23" i="255"/>
  <c r="W23" i="255"/>
  <c r="X23" i="255"/>
  <c r="Y23" i="255"/>
  <c r="Z23" i="255"/>
  <c r="AA23" i="255"/>
  <c r="AB23" i="255"/>
  <c r="AC23" i="255"/>
  <c r="B24" i="255"/>
  <c r="C24" i="255"/>
  <c r="D24" i="255"/>
  <c r="E24" i="255"/>
  <c r="G24" i="255"/>
  <c r="H24" i="255"/>
  <c r="I24" i="255"/>
  <c r="J24" i="255"/>
  <c r="Q24" i="255"/>
  <c r="R24" i="255"/>
  <c r="W24" i="255"/>
  <c r="X24" i="255"/>
  <c r="Y24" i="255"/>
  <c r="Z24" i="255"/>
  <c r="AA24" i="255"/>
  <c r="AB24" i="255"/>
  <c r="AC24" i="255"/>
  <c r="B25" i="255"/>
  <c r="C25" i="255"/>
  <c r="D25" i="255"/>
  <c r="E25" i="255"/>
  <c r="G25" i="255"/>
  <c r="H25" i="255"/>
  <c r="I25" i="255"/>
  <c r="J25" i="255"/>
  <c r="N25" i="255"/>
  <c r="Q25" i="255"/>
  <c r="R25" i="255"/>
  <c r="W25" i="255"/>
  <c r="X25" i="255"/>
  <c r="Y25" i="255"/>
  <c r="Z25" i="255"/>
  <c r="AA25" i="255"/>
  <c r="AB25" i="255"/>
  <c r="AC25" i="255"/>
  <c r="B26" i="255"/>
  <c r="C26" i="255"/>
  <c r="D26" i="255"/>
  <c r="E26" i="255"/>
  <c r="G26" i="255"/>
  <c r="H26" i="255"/>
  <c r="I26" i="255"/>
  <c r="J26" i="255"/>
  <c r="N26" i="255"/>
  <c r="Q26" i="255"/>
  <c r="R26" i="255"/>
  <c r="W26" i="255"/>
  <c r="X26" i="255"/>
  <c r="Y26" i="255"/>
  <c r="Z26" i="255"/>
  <c r="AA26" i="255"/>
  <c r="AB26" i="255"/>
  <c r="AC26" i="255"/>
  <c r="B27" i="255"/>
  <c r="C27" i="255"/>
  <c r="D27" i="255"/>
  <c r="E27" i="255"/>
  <c r="G27" i="255"/>
  <c r="H27" i="255"/>
  <c r="I27" i="255"/>
  <c r="J27" i="255"/>
  <c r="N27" i="255"/>
  <c r="Q27" i="255"/>
  <c r="R27" i="255"/>
  <c r="W27" i="255"/>
  <c r="X27" i="255"/>
  <c r="Y27" i="255"/>
  <c r="Z27" i="255"/>
  <c r="AA27" i="255"/>
  <c r="AB27" i="255"/>
  <c r="AC27" i="255"/>
  <c r="B28" i="255"/>
  <c r="C28" i="255"/>
  <c r="E28" i="255"/>
  <c r="G28" i="255"/>
  <c r="H28" i="255"/>
  <c r="I28" i="255"/>
  <c r="J28" i="255"/>
  <c r="Q28" i="255"/>
  <c r="R28" i="255"/>
  <c r="W28" i="255"/>
  <c r="X28" i="255"/>
  <c r="Y28" i="255"/>
  <c r="Z28" i="255"/>
  <c r="AA28" i="255"/>
  <c r="AB28" i="255"/>
  <c r="AC28" i="255"/>
  <c r="B29" i="255"/>
  <c r="C29" i="255"/>
  <c r="D29" i="255"/>
  <c r="E29" i="255"/>
  <c r="G29" i="255"/>
  <c r="H29" i="255"/>
  <c r="I29" i="255"/>
  <c r="J29" i="255"/>
  <c r="Q29" i="255"/>
  <c r="R29" i="255"/>
  <c r="W29" i="255"/>
  <c r="X29" i="255"/>
  <c r="Y29" i="255"/>
  <c r="Z29" i="255"/>
  <c r="AA29" i="255"/>
  <c r="AB29" i="255"/>
  <c r="AC29" i="255"/>
  <c r="B30" i="255"/>
  <c r="C30" i="255"/>
  <c r="D30" i="255"/>
  <c r="E30" i="255"/>
  <c r="G30" i="255"/>
  <c r="H30" i="255"/>
  <c r="I30" i="255"/>
  <c r="J30" i="255"/>
  <c r="N30" i="255"/>
  <c r="Q30" i="255"/>
  <c r="R30" i="255"/>
  <c r="W30" i="255"/>
  <c r="X30" i="255"/>
  <c r="Y30" i="255"/>
  <c r="Z30" i="255"/>
  <c r="AA30" i="255"/>
  <c r="AB30" i="255"/>
  <c r="AC30" i="255"/>
  <c r="B31" i="255"/>
  <c r="C31" i="255"/>
  <c r="D31" i="255"/>
  <c r="E31" i="255"/>
  <c r="G31" i="255"/>
  <c r="H31" i="255"/>
  <c r="I31" i="255"/>
  <c r="J31" i="255"/>
  <c r="N31" i="255"/>
  <c r="Q31" i="255"/>
  <c r="R31" i="255"/>
  <c r="W31" i="255"/>
  <c r="X31" i="255"/>
  <c r="Y31" i="255"/>
  <c r="Z31" i="255"/>
  <c r="AA31" i="255"/>
  <c r="AB31" i="255"/>
  <c r="AC31" i="255"/>
  <c r="B32" i="255"/>
  <c r="C32" i="255"/>
  <c r="D32" i="255"/>
  <c r="E32" i="255"/>
  <c r="G32" i="255"/>
  <c r="H32" i="255"/>
  <c r="I32" i="255"/>
  <c r="J32" i="255"/>
  <c r="N32" i="255"/>
  <c r="Q32" i="255"/>
  <c r="R32" i="255"/>
  <c r="W32" i="255"/>
  <c r="X32" i="255"/>
  <c r="Y32" i="255"/>
  <c r="Z32" i="255"/>
  <c r="AA32" i="255"/>
  <c r="AB32" i="255"/>
  <c r="AC32" i="255"/>
  <c r="B33" i="255"/>
  <c r="C33" i="255"/>
  <c r="E33" i="255"/>
  <c r="G33" i="255"/>
  <c r="H33" i="255"/>
  <c r="I33" i="255"/>
  <c r="J33" i="255"/>
  <c r="N33" i="255"/>
  <c r="Q33" i="255"/>
  <c r="R33" i="255"/>
  <c r="W33" i="255"/>
  <c r="X33" i="255"/>
  <c r="Y33" i="255"/>
  <c r="Z33" i="255"/>
  <c r="AA33" i="255"/>
  <c r="AB33" i="255"/>
  <c r="AC33" i="255"/>
  <c r="B34" i="255"/>
  <c r="C34" i="255"/>
  <c r="D34" i="255"/>
  <c r="E34" i="255"/>
  <c r="G34" i="255"/>
  <c r="H34" i="255"/>
  <c r="I34" i="255"/>
  <c r="J34" i="255"/>
  <c r="N34" i="255"/>
  <c r="Q34" i="255"/>
  <c r="R34" i="255"/>
  <c r="W34" i="255"/>
  <c r="X34" i="255"/>
  <c r="Y34" i="255"/>
  <c r="Z34" i="255"/>
  <c r="AA34" i="255"/>
  <c r="AB34" i="255"/>
  <c r="AC34" i="255"/>
  <c r="B35" i="255"/>
  <c r="C35" i="255"/>
  <c r="D35" i="255"/>
  <c r="E35" i="255"/>
  <c r="G35" i="255"/>
  <c r="H35" i="255"/>
  <c r="I35" i="255"/>
  <c r="J35" i="255"/>
  <c r="Q35" i="255"/>
  <c r="R35" i="255"/>
  <c r="W35" i="255"/>
  <c r="X35" i="255"/>
  <c r="Y35" i="255"/>
  <c r="Z35" i="255"/>
  <c r="AA35" i="255"/>
  <c r="AB35" i="255"/>
  <c r="AC35" i="255"/>
  <c r="B36" i="255"/>
  <c r="C36" i="255"/>
  <c r="D36" i="255"/>
  <c r="E36" i="255"/>
  <c r="G36" i="255"/>
  <c r="H36" i="255"/>
  <c r="I36" i="255"/>
  <c r="J36" i="255"/>
  <c r="Q36" i="255"/>
  <c r="R36" i="255"/>
  <c r="W36" i="255"/>
  <c r="X36" i="255"/>
  <c r="Y36" i="255"/>
  <c r="Z36" i="255"/>
  <c r="AA36" i="255"/>
  <c r="AB36" i="255"/>
  <c r="AC36" i="255"/>
  <c r="B37" i="255"/>
  <c r="C37" i="255"/>
  <c r="E37" i="255"/>
  <c r="G37" i="255"/>
  <c r="H37" i="255"/>
  <c r="I37" i="255"/>
  <c r="J37" i="255"/>
  <c r="N37" i="255"/>
  <c r="Q37" i="255"/>
  <c r="R37" i="255"/>
  <c r="W37" i="255"/>
  <c r="X37" i="255"/>
  <c r="Y37" i="255"/>
  <c r="Z37" i="255"/>
  <c r="AA37" i="255"/>
  <c r="AB37" i="255"/>
  <c r="AC37" i="255"/>
  <c r="B38" i="255"/>
  <c r="C38" i="255"/>
  <c r="D38" i="255"/>
  <c r="E38" i="255"/>
  <c r="G38" i="255"/>
  <c r="H38" i="255"/>
  <c r="I38" i="255"/>
  <c r="J38" i="255"/>
  <c r="N38" i="255"/>
  <c r="Q38" i="255"/>
  <c r="R38" i="255"/>
  <c r="W38" i="255"/>
  <c r="X38" i="255"/>
  <c r="Y38" i="255"/>
  <c r="Z38" i="255"/>
  <c r="AA38" i="255"/>
  <c r="AB38" i="255"/>
  <c r="AC38" i="255"/>
  <c r="B39" i="255"/>
  <c r="C39" i="255"/>
  <c r="D39" i="255"/>
  <c r="E39" i="255"/>
  <c r="G39" i="255"/>
  <c r="H39" i="255"/>
  <c r="I39" i="255"/>
  <c r="J39" i="255"/>
  <c r="N39" i="255"/>
  <c r="Q39" i="255"/>
  <c r="R39" i="255"/>
  <c r="W39" i="255"/>
  <c r="X39" i="255"/>
  <c r="Y39" i="255"/>
  <c r="Z39" i="255"/>
  <c r="AA39" i="255"/>
  <c r="AB39" i="255"/>
  <c r="AC39" i="255"/>
  <c r="B40" i="255"/>
  <c r="C40" i="255"/>
  <c r="D40" i="255"/>
  <c r="E40" i="255"/>
  <c r="G40" i="255"/>
  <c r="H40" i="255"/>
  <c r="I40" i="255"/>
  <c r="J40" i="255"/>
  <c r="Q40" i="255"/>
  <c r="R40" i="255"/>
  <c r="W40" i="255"/>
  <c r="X40" i="255"/>
  <c r="Y40" i="255"/>
  <c r="Z40" i="255"/>
  <c r="AA40" i="255"/>
  <c r="AB40" i="255"/>
  <c r="AC40" i="255"/>
  <c r="B41" i="255"/>
  <c r="C41" i="255"/>
  <c r="D41" i="255"/>
  <c r="E41" i="255"/>
  <c r="G41" i="255"/>
  <c r="H41" i="255"/>
  <c r="I41" i="255"/>
  <c r="J41" i="255"/>
  <c r="N41" i="255"/>
  <c r="Q41" i="255"/>
  <c r="R41" i="255"/>
  <c r="W41" i="255"/>
  <c r="X41" i="255"/>
  <c r="Y41" i="255"/>
  <c r="Z41" i="255"/>
  <c r="AA41" i="255"/>
  <c r="AB41" i="255"/>
  <c r="AC41" i="255"/>
  <c r="B42" i="255"/>
  <c r="C42" i="255"/>
  <c r="D42" i="255"/>
  <c r="E42" i="255"/>
  <c r="G42" i="255"/>
  <c r="H42" i="255"/>
  <c r="I42" i="255"/>
  <c r="J42" i="255"/>
  <c r="N42" i="255"/>
  <c r="Q42" i="255"/>
  <c r="R42" i="255"/>
  <c r="W42" i="255"/>
  <c r="X42" i="255"/>
  <c r="Y42" i="255"/>
  <c r="Z42" i="255"/>
  <c r="AA42" i="255"/>
  <c r="AB42" i="255"/>
  <c r="AC42" i="255"/>
  <c r="B43" i="255"/>
  <c r="C43" i="255"/>
  <c r="E43" i="255"/>
  <c r="G43" i="255"/>
  <c r="H43" i="255"/>
  <c r="I43" i="255"/>
  <c r="J43" i="255"/>
  <c r="Q43" i="255"/>
  <c r="R43" i="255"/>
  <c r="W43" i="255"/>
  <c r="X43" i="255"/>
  <c r="Y43" i="255"/>
  <c r="Z43" i="255"/>
  <c r="AA43" i="255"/>
  <c r="AB43" i="255"/>
  <c r="AC43" i="255"/>
  <c r="B44" i="255"/>
  <c r="C44" i="255"/>
  <c r="E44" i="255"/>
  <c r="G44" i="255"/>
  <c r="H44" i="255"/>
  <c r="I44" i="255"/>
  <c r="J44" i="255"/>
  <c r="N44" i="255"/>
  <c r="Q44" i="255"/>
  <c r="R44" i="255"/>
  <c r="W44" i="255"/>
  <c r="X44" i="255"/>
  <c r="Y44" i="255"/>
  <c r="Z44" i="255"/>
  <c r="AA44" i="255"/>
  <c r="AB44" i="255"/>
  <c r="AC44" i="255"/>
  <c r="B45" i="255"/>
  <c r="C45" i="255"/>
  <c r="D45" i="255"/>
  <c r="E45" i="255"/>
  <c r="G45" i="255"/>
  <c r="H45" i="255"/>
  <c r="I45" i="255"/>
  <c r="J45" i="255"/>
  <c r="N45" i="255"/>
  <c r="Q45" i="255"/>
  <c r="R45" i="255"/>
  <c r="W45" i="255"/>
  <c r="X45" i="255"/>
  <c r="Y45" i="255"/>
  <c r="Z45" i="255"/>
  <c r="AA45" i="255"/>
  <c r="AB45" i="255"/>
  <c r="AC45" i="255"/>
  <c r="B46" i="255"/>
  <c r="C46" i="255"/>
  <c r="D46" i="255"/>
  <c r="E46" i="255"/>
  <c r="G46" i="255"/>
  <c r="H46" i="255"/>
  <c r="I46" i="255"/>
  <c r="J46" i="255"/>
  <c r="Q46" i="255"/>
  <c r="R46" i="255"/>
  <c r="W46" i="255"/>
  <c r="X46" i="255"/>
  <c r="Y46" i="255"/>
  <c r="Z46" i="255"/>
  <c r="AA46" i="255"/>
  <c r="AB46" i="255"/>
  <c r="AC46" i="255"/>
  <c r="B47" i="255"/>
  <c r="C47" i="255"/>
  <c r="D47" i="255"/>
  <c r="E47" i="255"/>
  <c r="G47" i="255"/>
  <c r="H47" i="255"/>
  <c r="I47" i="255"/>
  <c r="J47" i="255"/>
  <c r="N47" i="255"/>
  <c r="Q47" i="255"/>
  <c r="R47" i="255"/>
  <c r="W47" i="255"/>
  <c r="X47" i="255"/>
  <c r="Y47" i="255"/>
  <c r="Z47" i="255"/>
  <c r="AA47" i="255"/>
  <c r="AB47" i="255"/>
  <c r="AC47" i="255"/>
  <c r="B48" i="255"/>
  <c r="C48" i="255"/>
  <c r="D48" i="255"/>
  <c r="E48" i="255"/>
  <c r="G48" i="255"/>
  <c r="H48" i="255"/>
  <c r="I48" i="255"/>
  <c r="J48" i="255"/>
  <c r="N48" i="255"/>
  <c r="Q48" i="255"/>
  <c r="R48" i="255"/>
  <c r="W48" i="255"/>
  <c r="X48" i="255"/>
  <c r="Y48" i="255"/>
  <c r="Z48" i="255"/>
  <c r="AA48" i="255"/>
  <c r="AB48" i="255"/>
  <c r="AC48" i="255"/>
  <c r="B49" i="255"/>
  <c r="C49" i="255"/>
  <c r="D49" i="255"/>
  <c r="E49" i="255"/>
  <c r="G49" i="255"/>
  <c r="H49" i="255"/>
  <c r="I49" i="255"/>
  <c r="J49" i="255"/>
  <c r="N49" i="255"/>
  <c r="Q49" i="255"/>
  <c r="R49" i="255"/>
  <c r="W49" i="255"/>
  <c r="X49" i="255"/>
  <c r="Y49" i="255"/>
  <c r="Z49" i="255"/>
  <c r="AA49" i="255"/>
  <c r="AB49" i="255"/>
  <c r="AC49" i="255"/>
  <c r="B50" i="255"/>
  <c r="C50" i="255"/>
  <c r="D50" i="255"/>
  <c r="E50" i="255"/>
  <c r="G50" i="255"/>
  <c r="H50" i="255"/>
  <c r="I50" i="255"/>
  <c r="J50" i="255"/>
  <c r="Q50" i="255"/>
  <c r="R50" i="255"/>
  <c r="W50" i="255"/>
  <c r="X50" i="255"/>
  <c r="Y50" i="255"/>
  <c r="Z50" i="255"/>
  <c r="AA50" i="255"/>
  <c r="AB50" i="255"/>
  <c r="AC50" i="255"/>
  <c r="B51" i="255"/>
  <c r="C51" i="255"/>
  <c r="D51" i="255"/>
  <c r="E51" i="255"/>
  <c r="G51" i="255"/>
  <c r="H51" i="255"/>
  <c r="I51" i="255"/>
  <c r="J51" i="255"/>
  <c r="N51" i="255"/>
  <c r="Q51" i="255"/>
  <c r="R51" i="255"/>
  <c r="W51" i="255"/>
  <c r="X51" i="255"/>
  <c r="Y51" i="255"/>
  <c r="Z51" i="255"/>
  <c r="AA51" i="255"/>
  <c r="AB51" i="255"/>
  <c r="AC51" i="255"/>
  <c r="B52" i="255"/>
  <c r="C52" i="255"/>
  <c r="E52" i="255"/>
  <c r="G52" i="255"/>
  <c r="H52" i="255"/>
  <c r="I52" i="255"/>
  <c r="J52" i="255"/>
  <c r="N52" i="255"/>
  <c r="Q52" i="255"/>
  <c r="R52" i="255"/>
  <c r="W52" i="255"/>
  <c r="X52" i="255"/>
  <c r="Y52" i="255"/>
  <c r="Z52" i="255"/>
  <c r="AA52" i="255"/>
  <c r="AB52" i="255"/>
  <c r="AC52" i="255"/>
  <c r="B53" i="255"/>
  <c r="C53" i="255"/>
  <c r="D53" i="255"/>
  <c r="E53" i="255"/>
  <c r="G53" i="255"/>
  <c r="H53" i="255"/>
  <c r="I53" i="255"/>
  <c r="J53" i="255"/>
  <c r="N53" i="255"/>
  <c r="Q53" i="255"/>
  <c r="R53" i="255"/>
  <c r="W53" i="255"/>
  <c r="X53" i="255"/>
  <c r="Y53" i="255"/>
  <c r="Z53" i="255"/>
  <c r="AA53" i="255"/>
  <c r="AB53" i="255"/>
  <c r="AC53" i="255"/>
  <c r="B54" i="255"/>
  <c r="C54" i="255"/>
  <c r="D54" i="255"/>
  <c r="E54" i="255"/>
  <c r="G54" i="255"/>
  <c r="H54" i="255"/>
  <c r="I54" i="255"/>
  <c r="J54" i="255"/>
  <c r="Q54" i="255"/>
  <c r="R54" i="255"/>
  <c r="W54" i="255"/>
  <c r="X54" i="255"/>
  <c r="Y54" i="255"/>
  <c r="Z54" i="255"/>
  <c r="AA54" i="255"/>
  <c r="AB54" i="255"/>
  <c r="AC54" i="255"/>
  <c r="B55" i="255"/>
  <c r="C55" i="255"/>
  <c r="D55" i="255"/>
  <c r="E55" i="255"/>
  <c r="G55" i="255"/>
  <c r="H55" i="255"/>
  <c r="I55" i="255"/>
  <c r="J55" i="255"/>
  <c r="Q55" i="255"/>
  <c r="R55" i="255"/>
  <c r="W55" i="255"/>
  <c r="X55" i="255"/>
  <c r="Y55" i="255"/>
  <c r="Z55" i="255"/>
  <c r="AA55" i="255"/>
  <c r="AB55" i="255"/>
  <c r="AC55" i="255"/>
  <c r="B56" i="255"/>
  <c r="C56" i="255"/>
  <c r="D56" i="255"/>
  <c r="E56" i="255"/>
  <c r="G56" i="255"/>
  <c r="H56" i="255"/>
  <c r="I56" i="255"/>
  <c r="J56" i="255"/>
  <c r="N56" i="255"/>
  <c r="Q56" i="255"/>
  <c r="R56" i="255"/>
  <c r="W56" i="255"/>
  <c r="X56" i="255"/>
  <c r="Y56" i="255"/>
  <c r="Z56" i="255"/>
  <c r="AA56" i="255"/>
  <c r="AB56" i="255"/>
  <c r="AC56" i="255"/>
  <c r="B57" i="255"/>
  <c r="C57" i="255"/>
  <c r="D57" i="255"/>
  <c r="E57" i="255"/>
  <c r="G57" i="255"/>
  <c r="H57" i="255"/>
  <c r="I57" i="255"/>
  <c r="J57" i="255"/>
  <c r="N57" i="255"/>
  <c r="Q57" i="255"/>
  <c r="R57" i="255"/>
  <c r="W57" i="255"/>
  <c r="X57" i="255"/>
  <c r="Y57" i="255"/>
  <c r="Z57" i="255"/>
  <c r="AA57" i="255"/>
  <c r="AB57" i="255"/>
  <c r="AC57" i="255"/>
  <c r="B58" i="255"/>
  <c r="C58" i="255"/>
  <c r="D58" i="255"/>
  <c r="E58" i="255"/>
  <c r="G58" i="255"/>
  <c r="H58" i="255"/>
  <c r="I58" i="255"/>
  <c r="J58" i="255"/>
  <c r="N58" i="255"/>
  <c r="Q58" i="255"/>
  <c r="R58" i="255"/>
  <c r="W58" i="255"/>
  <c r="X58" i="255"/>
  <c r="Y58" i="255"/>
  <c r="Z58" i="255"/>
  <c r="AA58" i="255"/>
  <c r="AB58" i="255"/>
  <c r="AC58" i="255"/>
  <c r="B59" i="255"/>
  <c r="C59" i="255"/>
  <c r="D59" i="255"/>
  <c r="E59" i="255"/>
  <c r="G59" i="255"/>
  <c r="H59" i="255"/>
  <c r="I59" i="255"/>
  <c r="J59" i="255"/>
  <c r="N59" i="255"/>
  <c r="Q59" i="255"/>
  <c r="R59" i="255"/>
  <c r="W59" i="255"/>
  <c r="X59" i="255"/>
  <c r="Y59" i="255"/>
  <c r="Z59" i="255"/>
  <c r="AA59" i="255"/>
  <c r="AB59" i="255"/>
  <c r="AC59" i="255"/>
  <c r="B60" i="255"/>
  <c r="C60" i="255"/>
  <c r="D60" i="255"/>
  <c r="E60" i="255"/>
  <c r="G60" i="255"/>
  <c r="H60" i="255"/>
  <c r="I60" i="255"/>
  <c r="J60" i="255"/>
  <c r="Q60" i="255"/>
  <c r="R60" i="255"/>
  <c r="W60" i="255"/>
  <c r="X60" i="255"/>
  <c r="Y60" i="255"/>
  <c r="Z60" i="255"/>
  <c r="AA60" i="255"/>
  <c r="AB60" i="255"/>
  <c r="AC60" i="255"/>
  <c r="B61" i="255"/>
  <c r="C61" i="255"/>
  <c r="D61" i="255"/>
  <c r="E61" i="255"/>
  <c r="G61" i="255"/>
  <c r="H61" i="255"/>
  <c r="I61" i="255"/>
  <c r="J61" i="255"/>
  <c r="Q61" i="255"/>
  <c r="R61" i="255"/>
  <c r="W61" i="255"/>
  <c r="X61" i="255"/>
  <c r="Y61" i="255"/>
  <c r="Z61" i="255"/>
  <c r="AA61" i="255"/>
  <c r="AB61" i="255"/>
  <c r="AC61" i="255"/>
  <c r="B62" i="255"/>
  <c r="C62" i="255"/>
  <c r="D62" i="255"/>
  <c r="E62" i="255"/>
  <c r="G62" i="255"/>
  <c r="H62" i="255"/>
  <c r="I62" i="255"/>
  <c r="J62" i="255"/>
  <c r="N62" i="255"/>
  <c r="Q62" i="255"/>
  <c r="R62" i="255"/>
  <c r="W62" i="255"/>
  <c r="X62" i="255"/>
  <c r="Y62" i="255"/>
  <c r="Z62" i="255"/>
  <c r="AA62" i="255"/>
  <c r="AB62" i="255"/>
  <c r="AC62" i="255"/>
  <c r="B63" i="255"/>
  <c r="C63" i="255"/>
  <c r="D63" i="255"/>
  <c r="E63" i="255"/>
  <c r="G63" i="255"/>
  <c r="H63" i="255"/>
  <c r="I63" i="255"/>
  <c r="J63" i="255"/>
  <c r="N63" i="255"/>
  <c r="Q63" i="255"/>
  <c r="R63" i="255"/>
  <c r="W63" i="255"/>
  <c r="X63" i="255"/>
  <c r="Y63" i="255"/>
  <c r="Z63" i="255"/>
  <c r="AA63" i="255"/>
  <c r="AB63" i="255"/>
  <c r="AC63" i="255"/>
  <c r="B64" i="255"/>
  <c r="C64" i="255"/>
  <c r="D64" i="255"/>
  <c r="E64" i="255"/>
  <c r="G64" i="255"/>
  <c r="H64" i="255"/>
  <c r="I64" i="255"/>
  <c r="J64" i="255"/>
  <c r="N64" i="255"/>
  <c r="Q64" i="255"/>
  <c r="R64" i="255"/>
  <c r="W64" i="255"/>
  <c r="X64" i="255"/>
  <c r="Y64" i="255"/>
  <c r="Z64" i="255"/>
  <c r="AA64" i="255"/>
  <c r="AB64" i="255"/>
  <c r="AC64" i="255"/>
  <c r="B65" i="255"/>
  <c r="C65" i="255"/>
  <c r="D65" i="255"/>
  <c r="E65" i="255"/>
  <c r="G65" i="255"/>
  <c r="H65" i="255"/>
  <c r="I65" i="255"/>
  <c r="J65" i="255"/>
  <c r="Q65" i="255"/>
  <c r="R65" i="255"/>
  <c r="W65" i="255"/>
  <c r="X65" i="255"/>
  <c r="Y65" i="255"/>
  <c r="Z65" i="255"/>
  <c r="AA65" i="255"/>
  <c r="AB65" i="255"/>
  <c r="AC65" i="255"/>
  <c r="B66" i="255"/>
  <c r="C66" i="255"/>
  <c r="D66" i="255"/>
  <c r="E66" i="255"/>
  <c r="G66" i="255"/>
  <c r="H66" i="255"/>
  <c r="I66" i="255"/>
  <c r="J66" i="255"/>
  <c r="Q66" i="255"/>
  <c r="R66" i="255"/>
  <c r="W66" i="255"/>
  <c r="X66" i="255"/>
  <c r="Y66" i="255"/>
  <c r="Z66" i="255"/>
  <c r="AA66" i="255"/>
  <c r="AB66" i="255"/>
  <c r="AC66" i="255"/>
  <c r="B67" i="255"/>
  <c r="C67" i="255"/>
  <c r="D67" i="255"/>
  <c r="E67" i="255"/>
  <c r="G67" i="255"/>
  <c r="H67" i="255"/>
  <c r="I67" i="255"/>
  <c r="J67" i="255"/>
  <c r="N67" i="255"/>
  <c r="Q67" i="255"/>
  <c r="R67" i="255"/>
  <c r="W67" i="255"/>
  <c r="X67" i="255"/>
  <c r="Y67" i="255"/>
  <c r="Z67" i="255"/>
  <c r="AA67" i="255"/>
  <c r="AB67" i="255"/>
  <c r="AC67" i="255"/>
  <c r="B68" i="255"/>
  <c r="C68" i="255"/>
  <c r="D68" i="255"/>
  <c r="E68" i="255"/>
  <c r="G68" i="255"/>
  <c r="H68" i="255"/>
  <c r="I68" i="255"/>
  <c r="J68" i="255"/>
  <c r="N68" i="255"/>
  <c r="Q68" i="255"/>
  <c r="R68" i="255"/>
  <c r="W68" i="255"/>
  <c r="X68" i="255"/>
  <c r="Y68" i="255"/>
  <c r="Z68" i="255"/>
  <c r="AA68" i="255"/>
  <c r="AB68" i="255"/>
  <c r="AC68" i="255"/>
  <c r="B69" i="255"/>
  <c r="C69" i="255"/>
  <c r="D69" i="255"/>
  <c r="E69" i="255"/>
  <c r="G69" i="255"/>
  <c r="H69" i="255"/>
  <c r="I69" i="255"/>
  <c r="J69" i="255"/>
  <c r="N69" i="255"/>
  <c r="Q69" i="255"/>
  <c r="R69" i="255"/>
  <c r="W69" i="255"/>
  <c r="X69" i="255"/>
  <c r="Y69" i="255"/>
  <c r="Z69" i="255"/>
  <c r="AA69" i="255"/>
  <c r="AB69" i="255"/>
  <c r="AC69" i="255"/>
  <c r="B70" i="255"/>
  <c r="C70" i="255"/>
  <c r="D70" i="255"/>
  <c r="E70" i="255"/>
  <c r="G70" i="255"/>
  <c r="H70" i="255"/>
  <c r="I70" i="255"/>
  <c r="J70" i="255"/>
  <c r="N70" i="255"/>
  <c r="Q70" i="255"/>
  <c r="R70" i="255"/>
  <c r="W70" i="255"/>
  <c r="X70" i="255"/>
  <c r="Y70" i="255"/>
  <c r="Z70" i="255"/>
  <c r="AB70" i="255"/>
  <c r="AC70" i="255"/>
  <c r="B71" i="255"/>
  <c r="C71" i="255"/>
  <c r="D71" i="255"/>
  <c r="E71" i="255"/>
  <c r="G71" i="255"/>
  <c r="H71" i="255"/>
  <c r="I71" i="255"/>
  <c r="J71" i="255"/>
  <c r="N71" i="255"/>
  <c r="Q71" i="255"/>
  <c r="R71" i="255"/>
  <c r="W71" i="255"/>
  <c r="X71" i="255"/>
  <c r="Y71" i="255"/>
  <c r="Z71" i="255"/>
  <c r="AA71" i="255"/>
  <c r="AB71" i="255"/>
  <c r="AC71" i="255"/>
  <c r="B72" i="255"/>
  <c r="C72" i="255"/>
  <c r="D72" i="255"/>
  <c r="E72" i="255"/>
  <c r="G72" i="255"/>
  <c r="H72" i="255"/>
  <c r="I72" i="255"/>
  <c r="J72" i="255"/>
  <c r="N72" i="255"/>
  <c r="Q72" i="255"/>
  <c r="R72" i="255"/>
  <c r="W72" i="255"/>
  <c r="X72" i="255"/>
  <c r="Y72" i="255"/>
  <c r="Z72" i="255"/>
  <c r="AA72" i="255"/>
  <c r="AB72" i="255"/>
  <c r="AC72" i="255"/>
  <c r="B73" i="255"/>
  <c r="C73" i="255"/>
  <c r="D73" i="255"/>
  <c r="E73" i="255"/>
  <c r="G73" i="255"/>
  <c r="H73" i="255"/>
  <c r="I73" i="255"/>
  <c r="J73" i="255"/>
  <c r="N73" i="255"/>
  <c r="Q73" i="255"/>
  <c r="R73" i="255"/>
  <c r="W73" i="255"/>
  <c r="X73" i="255"/>
  <c r="Y73" i="255"/>
  <c r="Z73" i="255"/>
  <c r="AA73" i="255"/>
  <c r="AB73" i="255"/>
  <c r="AC73" i="255"/>
  <c r="B74" i="255"/>
  <c r="C74" i="255"/>
  <c r="D74" i="255"/>
  <c r="E74" i="255"/>
  <c r="G74" i="255"/>
  <c r="H74" i="255"/>
  <c r="I74" i="255"/>
  <c r="J74" i="255"/>
  <c r="N74" i="255"/>
  <c r="Q74" i="255"/>
  <c r="R74" i="255"/>
  <c r="W74" i="255"/>
  <c r="X74" i="255"/>
  <c r="Y74" i="255"/>
  <c r="Z74" i="255"/>
  <c r="AA74" i="255"/>
  <c r="AB74" i="255"/>
  <c r="AC74" i="255"/>
  <c r="B75" i="255"/>
  <c r="C75" i="255"/>
  <c r="D75" i="255"/>
  <c r="E75" i="255"/>
  <c r="G75" i="255"/>
  <c r="H75" i="255"/>
  <c r="I75" i="255"/>
  <c r="J75" i="255"/>
  <c r="K75" i="255"/>
  <c r="N75" i="255"/>
  <c r="Q75" i="255"/>
  <c r="R75" i="255"/>
  <c r="W75" i="255"/>
  <c r="X75" i="255"/>
  <c r="Y75" i="255"/>
  <c r="Z75" i="255"/>
  <c r="AA75" i="255"/>
  <c r="AB75" i="255"/>
  <c r="AC75" i="255"/>
  <c r="B76" i="255"/>
  <c r="C76" i="255"/>
  <c r="D76" i="255"/>
  <c r="E76" i="255"/>
  <c r="G76" i="255"/>
  <c r="H76" i="255"/>
  <c r="I76" i="255"/>
  <c r="J76" i="255"/>
  <c r="K76" i="255"/>
  <c r="N76" i="255"/>
  <c r="Q76" i="255"/>
  <c r="R76" i="255"/>
  <c r="W76" i="255"/>
  <c r="X76" i="255"/>
  <c r="Y76" i="255"/>
  <c r="Z76" i="255"/>
  <c r="AA76" i="255"/>
  <c r="AB76" i="255"/>
  <c r="AC76" i="255"/>
  <c r="B77" i="255"/>
  <c r="C77" i="255"/>
  <c r="D77" i="255"/>
  <c r="E77" i="255"/>
  <c r="G77" i="255"/>
  <c r="H77" i="255"/>
  <c r="I77" i="255"/>
  <c r="J77" i="255"/>
  <c r="Q77" i="255"/>
  <c r="R77" i="255"/>
  <c r="W77" i="255"/>
  <c r="X77" i="255"/>
  <c r="Y77" i="255"/>
  <c r="Z77" i="255"/>
  <c r="AA77" i="255"/>
  <c r="AB77" i="255"/>
  <c r="AC77" i="255"/>
  <c r="B78" i="255"/>
  <c r="C78" i="255"/>
  <c r="D78" i="255"/>
  <c r="E78" i="255"/>
  <c r="G78" i="255"/>
  <c r="H78" i="255"/>
  <c r="I78" i="255"/>
  <c r="J78" i="255"/>
  <c r="K78" i="255"/>
  <c r="Q78" i="255"/>
  <c r="R78" i="255"/>
  <c r="W78" i="255"/>
  <c r="X78" i="255"/>
  <c r="Y78" i="255"/>
  <c r="Z78" i="255"/>
  <c r="AA78" i="255"/>
  <c r="AB78" i="255"/>
  <c r="AC78" i="255"/>
  <c r="B79" i="255"/>
  <c r="C79" i="255"/>
  <c r="D79" i="255"/>
  <c r="E79" i="255"/>
  <c r="G79" i="255"/>
  <c r="H79" i="255"/>
  <c r="I79" i="255"/>
  <c r="J79" i="255"/>
  <c r="Q79" i="255"/>
  <c r="R79" i="255"/>
  <c r="W79" i="255"/>
  <c r="X79" i="255"/>
  <c r="Y79" i="255"/>
  <c r="Z79" i="255"/>
  <c r="AA79" i="255"/>
  <c r="AB79" i="255"/>
  <c r="AC79" i="255"/>
  <c r="B80" i="255"/>
  <c r="C80" i="255"/>
  <c r="D80" i="255"/>
  <c r="E80" i="255"/>
  <c r="G80" i="255"/>
  <c r="H80" i="255"/>
  <c r="I80" i="255"/>
  <c r="J80" i="255"/>
  <c r="K80" i="255"/>
  <c r="Q80" i="255"/>
  <c r="R80" i="255"/>
  <c r="W80" i="255"/>
  <c r="X80" i="255"/>
  <c r="Y80" i="255"/>
  <c r="Z80" i="255"/>
  <c r="AA80" i="255"/>
  <c r="AB80" i="255"/>
  <c r="AC80" i="255"/>
  <c r="B81" i="255"/>
  <c r="C81" i="255"/>
  <c r="D81" i="255"/>
  <c r="E81" i="255"/>
  <c r="G81" i="255"/>
  <c r="H81" i="255"/>
  <c r="I81" i="255"/>
  <c r="J81" i="255"/>
  <c r="Q81" i="255"/>
  <c r="R81" i="255"/>
  <c r="W81" i="255"/>
  <c r="X81" i="255"/>
  <c r="Y81" i="255"/>
  <c r="Z81" i="255"/>
  <c r="AA81" i="255"/>
  <c r="AB81" i="255"/>
  <c r="AC81" i="255"/>
  <c r="B82" i="255"/>
  <c r="C82" i="255"/>
  <c r="D82" i="255"/>
  <c r="E82" i="255"/>
  <c r="G82" i="255"/>
  <c r="H82" i="255"/>
  <c r="I82" i="255"/>
  <c r="J82" i="255"/>
  <c r="Q82" i="255"/>
  <c r="R82" i="255"/>
  <c r="W82" i="255"/>
  <c r="X82" i="255"/>
  <c r="Y82" i="255"/>
  <c r="Z82" i="255"/>
  <c r="AA82" i="255"/>
  <c r="AB82" i="255"/>
  <c r="AC82" i="255"/>
  <c r="E5" i="255"/>
  <c r="G5" i="255"/>
  <c r="H5" i="255"/>
  <c r="I5" i="255"/>
  <c r="J5" i="255"/>
  <c r="J83" i="255" s="1"/>
  <c r="N5" i="255"/>
  <c r="Q5" i="255"/>
  <c r="R5" i="255"/>
  <c r="W5" i="255"/>
  <c r="X5" i="255"/>
  <c r="Y5" i="255"/>
  <c r="Z5" i="255"/>
  <c r="AA5" i="255"/>
  <c r="AB5" i="255"/>
  <c r="AC5" i="255"/>
  <c r="D5" i="255"/>
  <c r="C5" i="255"/>
  <c r="B5" i="255"/>
  <c r="A6" i="255"/>
  <c r="A7" i="255" s="1"/>
  <c r="A8" i="255" s="1"/>
  <c r="A9" i="255" s="1"/>
  <c r="A10" i="255" s="1"/>
  <c r="A11" i="255" s="1"/>
  <c r="A12" i="255" s="1"/>
  <c r="A13" i="255" s="1"/>
  <c r="A14" i="255" s="1"/>
  <c r="A15" i="255" s="1"/>
  <c r="A16" i="255" s="1"/>
  <c r="A17" i="255" s="1"/>
  <c r="A18" i="255" s="1"/>
  <c r="A19" i="255" s="1"/>
  <c r="A20" i="255" s="1"/>
  <c r="A21" i="255" s="1"/>
  <c r="A22" i="255" s="1"/>
  <c r="A23" i="255" s="1"/>
  <c r="A24" i="255" s="1"/>
  <c r="A25" i="255" s="1"/>
  <c r="A26" i="255" s="1"/>
  <c r="A27" i="255" s="1"/>
  <c r="A28" i="255" s="1"/>
  <c r="A29" i="255" s="1"/>
  <c r="A30" i="255" s="1"/>
  <c r="A31" i="255" s="1"/>
  <c r="A32" i="255" s="1"/>
  <c r="A33" i="255" s="1"/>
  <c r="A34" i="255" s="1"/>
  <c r="A35" i="255" s="1"/>
  <c r="A36" i="255" s="1"/>
  <c r="A37" i="255" s="1"/>
  <c r="A38" i="255" s="1"/>
  <c r="A39" i="255" s="1"/>
  <c r="A40" i="255" s="1"/>
  <c r="A41" i="255" s="1"/>
  <c r="A42" i="255" s="1"/>
  <c r="A43" i="255" s="1"/>
  <c r="A44" i="255" s="1"/>
  <c r="A45" i="255" s="1"/>
  <c r="A46" i="255" s="1"/>
  <c r="A47" i="255" s="1"/>
  <c r="A48" i="255" s="1"/>
  <c r="A49" i="255" s="1"/>
  <c r="A50" i="255" s="1"/>
  <c r="A51" i="255" s="1"/>
  <c r="A52" i="255" s="1"/>
  <c r="A53" i="255" s="1"/>
  <c r="A54" i="255" s="1"/>
  <c r="A55" i="255" s="1"/>
  <c r="A56" i="255" s="1"/>
  <c r="A57" i="255" s="1"/>
  <c r="A58" i="255" s="1"/>
  <c r="A59" i="255" s="1"/>
  <c r="A60" i="255" s="1"/>
  <c r="A61" i="255" s="1"/>
  <c r="A62" i="255" s="1"/>
  <c r="A63" i="255" s="1"/>
  <c r="A64" i="255" s="1"/>
  <c r="A65" i="255" s="1"/>
  <c r="A66" i="255" s="1"/>
  <c r="A67" i="255" s="1"/>
  <c r="A68" i="255" s="1"/>
  <c r="A69" i="255" s="1"/>
  <c r="A70" i="255" s="1"/>
  <c r="A71" i="255" s="1"/>
  <c r="A72" i="255" s="1"/>
  <c r="A73" i="255" s="1"/>
  <c r="A74" i="255" s="1"/>
  <c r="A75" i="255" s="1"/>
  <c r="A76" i="255" s="1"/>
  <c r="A77" i="255" s="1"/>
  <c r="A78" i="255" s="1"/>
  <c r="A79" i="255" s="1"/>
  <c r="A80" i="255" s="1"/>
  <c r="A81" i="255" s="1"/>
  <c r="A82" i="255" s="1"/>
  <c r="A83" i="255" s="1"/>
  <c r="B80" i="254"/>
  <c r="C80" i="254"/>
  <c r="D80" i="254"/>
  <c r="E80" i="254"/>
  <c r="G80" i="254"/>
  <c r="H80" i="254"/>
  <c r="I80" i="254"/>
  <c r="J80" i="254"/>
  <c r="N80" i="254"/>
  <c r="Q80" i="254"/>
  <c r="R80" i="254"/>
  <c r="W80" i="254"/>
  <c r="X80" i="254"/>
  <c r="Y80" i="254"/>
  <c r="Z80" i="254"/>
  <c r="AA80" i="254"/>
  <c r="AB80" i="254"/>
  <c r="AC80" i="254"/>
  <c r="B43" i="254"/>
  <c r="C43" i="254"/>
  <c r="E43" i="254"/>
  <c r="G43" i="254"/>
  <c r="H43" i="254"/>
  <c r="I43" i="254"/>
  <c r="J43" i="254"/>
  <c r="N43" i="254"/>
  <c r="Q43" i="254"/>
  <c r="R43" i="254"/>
  <c r="W43" i="254"/>
  <c r="X43" i="254"/>
  <c r="Y43" i="254"/>
  <c r="Z43" i="254"/>
  <c r="AA43" i="254"/>
  <c r="AB43" i="254"/>
  <c r="AC43" i="254"/>
  <c r="B44" i="254"/>
  <c r="C44" i="254"/>
  <c r="D44" i="254"/>
  <c r="E44" i="254"/>
  <c r="G44" i="254"/>
  <c r="H44" i="254"/>
  <c r="I44" i="254"/>
  <c r="J44" i="254"/>
  <c r="N44" i="254"/>
  <c r="Q44" i="254"/>
  <c r="R44" i="254"/>
  <c r="W44" i="254"/>
  <c r="X44" i="254"/>
  <c r="Y44" i="254"/>
  <c r="Z44" i="254"/>
  <c r="AA44" i="254"/>
  <c r="AB44" i="254"/>
  <c r="AC44" i="254"/>
  <c r="B45" i="254"/>
  <c r="C45" i="254"/>
  <c r="D45" i="254"/>
  <c r="E45" i="254"/>
  <c r="G45" i="254"/>
  <c r="H45" i="254"/>
  <c r="I45" i="254"/>
  <c r="J45" i="254"/>
  <c r="N45" i="254"/>
  <c r="Q45" i="254"/>
  <c r="R45" i="254"/>
  <c r="W45" i="254"/>
  <c r="X45" i="254"/>
  <c r="Y45" i="254"/>
  <c r="Z45" i="254"/>
  <c r="AA45" i="254"/>
  <c r="AB45" i="254"/>
  <c r="AC45" i="254"/>
  <c r="B79" i="254"/>
  <c r="C79" i="254"/>
  <c r="D79" i="254"/>
  <c r="E79" i="254"/>
  <c r="G79" i="254"/>
  <c r="H79" i="254"/>
  <c r="I79" i="254"/>
  <c r="J79" i="254"/>
  <c r="N79" i="254"/>
  <c r="Q79" i="254"/>
  <c r="R79" i="254"/>
  <c r="W79" i="254"/>
  <c r="X79" i="254"/>
  <c r="Y79" i="254"/>
  <c r="Z79" i="254"/>
  <c r="AA79" i="254"/>
  <c r="AB79" i="254"/>
  <c r="AC79" i="254"/>
  <c r="B6" i="254"/>
  <c r="C6" i="254"/>
  <c r="E6" i="254"/>
  <c r="G6" i="254"/>
  <c r="H6" i="254"/>
  <c r="I6" i="254"/>
  <c r="J6" i="254"/>
  <c r="Q6" i="254"/>
  <c r="R6" i="254"/>
  <c r="W6" i="254"/>
  <c r="X6" i="254"/>
  <c r="Y6" i="254"/>
  <c r="Z6" i="254"/>
  <c r="AA6" i="254"/>
  <c r="AB6" i="254"/>
  <c r="AC6" i="254"/>
  <c r="B46" i="254"/>
  <c r="C46" i="254"/>
  <c r="D46" i="254"/>
  <c r="E46" i="254"/>
  <c r="G46" i="254"/>
  <c r="H46" i="254"/>
  <c r="I46" i="254"/>
  <c r="J46" i="254"/>
  <c r="N46" i="254"/>
  <c r="Q46" i="254"/>
  <c r="R46" i="254"/>
  <c r="W46" i="254"/>
  <c r="X46" i="254"/>
  <c r="Y46" i="254"/>
  <c r="Z46" i="254"/>
  <c r="AA46" i="254"/>
  <c r="AB46" i="254"/>
  <c r="AC46" i="254"/>
  <c r="B47" i="254"/>
  <c r="C47" i="254"/>
  <c r="D47" i="254"/>
  <c r="E47" i="254"/>
  <c r="G47" i="254"/>
  <c r="H47" i="254"/>
  <c r="I47" i="254"/>
  <c r="J47" i="254"/>
  <c r="N47" i="254"/>
  <c r="Q47" i="254"/>
  <c r="R47" i="254"/>
  <c r="W47" i="254"/>
  <c r="X47" i="254"/>
  <c r="Y47" i="254"/>
  <c r="Z47" i="254"/>
  <c r="AA47" i="254"/>
  <c r="AB47" i="254"/>
  <c r="AC47" i="254"/>
  <c r="B7" i="254"/>
  <c r="C7" i="254"/>
  <c r="D7" i="254"/>
  <c r="E7" i="254"/>
  <c r="G7" i="254"/>
  <c r="H7" i="254"/>
  <c r="I7" i="254"/>
  <c r="J7" i="254"/>
  <c r="N7" i="254"/>
  <c r="Q7" i="254"/>
  <c r="R7" i="254"/>
  <c r="W7" i="254"/>
  <c r="X7" i="254"/>
  <c r="Y7" i="254"/>
  <c r="Z7" i="254"/>
  <c r="AA7" i="254"/>
  <c r="AB7" i="254"/>
  <c r="AC7" i="254"/>
  <c r="B48" i="254"/>
  <c r="C48" i="254"/>
  <c r="D48" i="254"/>
  <c r="E48" i="254"/>
  <c r="G48" i="254"/>
  <c r="H48" i="254"/>
  <c r="I48" i="254"/>
  <c r="J48" i="254"/>
  <c r="N48" i="254"/>
  <c r="Q48" i="254"/>
  <c r="R48" i="254"/>
  <c r="W48" i="254"/>
  <c r="X48" i="254"/>
  <c r="Y48" i="254"/>
  <c r="Z48" i="254"/>
  <c r="AA48" i="254"/>
  <c r="AB48" i="254"/>
  <c r="AC48" i="254"/>
  <c r="B8" i="254"/>
  <c r="C8" i="254"/>
  <c r="D8" i="254"/>
  <c r="E8" i="254"/>
  <c r="G8" i="254"/>
  <c r="H8" i="254"/>
  <c r="I8" i="254"/>
  <c r="J8" i="254"/>
  <c r="Q8" i="254"/>
  <c r="R8" i="254"/>
  <c r="W8" i="254"/>
  <c r="X8" i="254"/>
  <c r="Y8" i="254"/>
  <c r="Z8" i="254"/>
  <c r="AA8" i="254"/>
  <c r="AB8" i="254"/>
  <c r="AC8" i="254"/>
  <c r="B81" i="254"/>
  <c r="C81" i="254"/>
  <c r="E81" i="254"/>
  <c r="G81" i="254"/>
  <c r="H81" i="254"/>
  <c r="I81" i="254"/>
  <c r="J81" i="254"/>
  <c r="N81" i="254"/>
  <c r="Q81" i="254"/>
  <c r="R81" i="254"/>
  <c r="W81" i="254"/>
  <c r="X81" i="254"/>
  <c r="Y81" i="254"/>
  <c r="Z81" i="254"/>
  <c r="AA81" i="254"/>
  <c r="AB81" i="254"/>
  <c r="AC81" i="254"/>
  <c r="B49" i="254"/>
  <c r="C49" i="254"/>
  <c r="E49" i="254"/>
  <c r="G49" i="254"/>
  <c r="H49" i="254"/>
  <c r="I49" i="254"/>
  <c r="J49" i="254"/>
  <c r="N49" i="254"/>
  <c r="Q49" i="254"/>
  <c r="R49" i="254"/>
  <c r="W49" i="254"/>
  <c r="X49" i="254"/>
  <c r="Y49" i="254"/>
  <c r="Z49" i="254"/>
  <c r="AA49" i="254"/>
  <c r="AB49" i="254"/>
  <c r="AC49" i="254"/>
  <c r="B50" i="254"/>
  <c r="C50" i="254"/>
  <c r="D50" i="254"/>
  <c r="E50" i="254"/>
  <c r="G50" i="254"/>
  <c r="H50" i="254"/>
  <c r="I50" i="254"/>
  <c r="J50" i="254"/>
  <c r="Q50" i="254"/>
  <c r="R50" i="254"/>
  <c r="W50" i="254"/>
  <c r="X50" i="254"/>
  <c r="Y50" i="254"/>
  <c r="Z50" i="254"/>
  <c r="AA50" i="254"/>
  <c r="AB50" i="254"/>
  <c r="AC50" i="254"/>
  <c r="B9" i="254"/>
  <c r="C9" i="254"/>
  <c r="E9" i="254"/>
  <c r="G9" i="254"/>
  <c r="H9" i="254"/>
  <c r="I9" i="254"/>
  <c r="J9" i="254"/>
  <c r="N9" i="254"/>
  <c r="Q9" i="254"/>
  <c r="R9" i="254"/>
  <c r="W9" i="254"/>
  <c r="X9" i="254"/>
  <c r="Y9" i="254"/>
  <c r="Z9" i="254"/>
  <c r="AA9" i="254"/>
  <c r="AB9" i="254"/>
  <c r="AC9" i="254"/>
  <c r="B10" i="254"/>
  <c r="C10" i="254"/>
  <c r="E10" i="254"/>
  <c r="G10" i="254"/>
  <c r="H10" i="254"/>
  <c r="I10" i="254"/>
  <c r="J10" i="254"/>
  <c r="Q10" i="254"/>
  <c r="R10" i="254"/>
  <c r="W10" i="254"/>
  <c r="X10" i="254"/>
  <c r="Y10" i="254"/>
  <c r="Z10" i="254"/>
  <c r="AA10" i="254"/>
  <c r="AB10" i="254"/>
  <c r="AC10" i="254"/>
  <c r="B11" i="254"/>
  <c r="C11" i="254"/>
  <c r="D11" i="254"/>
  <c r="E11" i="254"/>
  <c r="G11" i="254"/>
  <c r="H11" i="254"/>
  <c r="I11" i="254"/>
  <c r="J11" i="254"/>
  <c r="N11" i="254"/>
  <c r="Q11" i="254"/>
  <c r="R11" i="254"/>
  <c r="W11" i="254"/>
  <c r="X11" i="254"/>
  <c r="Y11" i="254"/>
  <c r="Z11" i="254"/>
  <c r="AA11" i="254"/>
  <c r="AB11" i="254"/>
  <c r="AC11" i="254"/>
  <c r="B51" i="254"/>
  <c r="C51" i="254"/>
  <c r="E51" i="254"/>
  <c r="G51" i="254"/>
  <c r="H51" i="254"/>
  <c r="I51" i="254"/>
  <c r="J51" i="254"/>
  <c r="N51" i="254"/>
  <c r="Q51" i="254"/>
  <c r="R51" i="254"/>
  <c r="W51" i="254"/>
  <c r="X51" i="254"/>
  <c r="Y51" i="254"/>
  <c r="Z51" i="254"/>
  <c r="AA51" i="254"/>
  <c r="AB51" i="254"/>
  <c r="AC51" i="254"/>
  <c r="B12" i="254"/>
  <c r="C12" i="254"/>
  <c r="D12" i="254"/>
  <c r="E12" i="254"/>
  <c r="G12" i="254"/>
  <c r="H12" i="254"/>
  <c r="I12" i="254"/>
  <c r="J12" i="254"/>
  <c r="Q12" i="254"/>
  <c r="R12" i="254"/>
  <c r="W12" i="254"/>
  <c r="X12" i="254"/>
  <c r="Y12" i="254"/>
  <c r="Z12" i="254"/>
  <c r="AA12" i="254"/>
  <c r="AB12" i="254"/>
  <c r="AC12" i="254"/>
  <c r="B52" i="254"/>
  <c r="C52" i="254"/>
  <c r="D52" i="254"/>
  <c r="E52" i="254"/>
  <c r="G52" i="254"/>
  <c r="H52" i="254"/>
  <c r="I52" i="254"/>
  <c r="J52" i="254"/>
  <c r="N52" i="254"/>
  <c r="Q52" i="254"/>
  <c r="R52" i="254"/>
  <c r="W52" i="254"/>
  <c r="X52" i="254"/>
  <c r="Y52" i="254"/>
  <c r="Z52" i="254"/>
  <c r="AA52" i="254"/>
  <c r="AB52" i="254"/>
  <c r="AC52" i="254"/>
  <c r="B13" i="254"/>
  <c r="C13" i="254"/>
  <c r="D13" i="254"/>
  <c r="E13" i="254"/>
  <c r="G13" i="254"/>
  <c r="H13" i="254"/>
  <c r="I13" i="254"/>
  <c r="J13" i="254"/>
  <c r="N13" i="254"/>
  <c r="Q13" i="254"/>
  <c r="R13" i="254"/>
  <c r="W13" i="254"/>
  <c r="X13" i="254"/>
  <c r="Y13" i="254"/>
  <c r="Z13" i="254"/>
  <c r="AA13" i="254"/>
  <c r="AB13" i="254"/>
  <c r="AC13" i="254"/>
  <c r="B84" i="254"/>
  <c r="C84" i="254"/>
  <c r="D84" i="254"/>
  <c r="D85" i="254" s="1"/>
  <c r="E84" i="254"/>
  <c r="E85" i="254" s="1"/>
  <c r="G84" i="254"/>
  <c r="G85" i="254" s="1"/>
  <c r="H84" i="254"/>
  <c r="H85" i="254" s="1"/>
  <c r="I84" i="254"/>
  <c r="I85" i="254" s="1"/>
  <c r="J84" i="254"/>
  <c r="J85" i="254" s="1"/>
  <c r="N84" i="254"/>
  <c r="N85" i="254" s="1"/>
  <c r="Q84" i="254"/>
  <c r="Q85" i="254" s="1"/>
  <c r="R84" i="254"/>
  <c r="R85" i="254" s="1"/>
  <c r="W84" i="254"/>
  <c r="W85" i="254" s="1"/>
  <c r="X84" i="254"/>
  <c r="X85" i="254" s="1"/>
  <c r="Y84" i="254"/>
  <c r="Y85" i="254" s="1"/>
  <c r="Z84" i="254"/>
  <c r="Z85" i="254" s="1"/>
  <c r="AA84" i="254"/>
  <c r="AA85" i="254" s="1"/>
  <c r="AB84" i="254"/>
  <c r="AC84" i="254"/>
  <c r="B14" i="254"/>
  <c r="C14" i="254"/>
  <c r="E14" i="254"/>
  <c r="G14" i="254"/>
  <c r="H14" i="254"/>
  <c r="I14" i="254"/>
  <c r="J14" i="254"/>
  <c r="Q14" i="254"/>
  <c r="R14" i="254"/>
  <c r="W14" i="254"/>
  <c r="X14" i="254"/>
  <c r="Y14" i="254"/>
  <c r="Z14" i="254"/>
  <c r="AA14" i="254"/>
  <c r="AB14" i="254"/>
  <c r="AC14" i="254"/>
  <c r="B82" i="254"/>
  <c r="C82" i="254"/>
  <c r="D82" i="254"/>
  <c r="E82" i="254"/>
  <c r="G82" i="254"/>
  <c r="H82" i="254"/>
  <c r="I82" i="254"/>
  <c r="J82" i="254"/>
  <c r="Q82" i="254"/>
  <c r="R82" i="254"/>
  <c r="W82" i="254"/>
  <c r="X82" i="254"/>
  <c r="Y82" i="254"/>
  <c r="Z82" i="254"/>
  <c r="AA82" i="254"/>
  <c r="AB82" i="254"/>
  <c r="AC82" i="254"/>
  <c r="B15" i="254"/>
  <c r="C15" i="254"/>
  <c r="D15" i="254"/>
  <c r="E15" i="254"/>
  <c r="G15" i="254"/>
  <c r="H15" i="254"/>
  <c r="I15" i="254"/>
  <c r="J15" i="254"/>
  <c r="N15" i="254"/>
  <c r="Q15" i="254"/>
  <c r="R15" i="254"/>
  <c r="W15" i="254"/>
  <c r="X15" i="254"/>
  <c r="Y15" i="254"/>
  <c r="Z15" i="254"/>
  <c r="AA15" i="254"/>
  <c r="AB15" i="254"/>
  <c r="AC15" i="254"/>
  <c r="B53" i="254"/>
  <c r="C53" i="254"/>
  <c r="D53" i="254"/>
  <c r="E53" i="254"/>
  <c r="G53" i="254"/>
  <c r="H53" i="254"/>
  <c r="I53" i="254"/>
  <c r="J53" i="254"/>
  <c r="N53" i="254"/>
  <c r="Q53" i="254"/>
  <c r="R53" i="254"/>
  <c r="W53" i="254"/>
  <c r="X53" i="254"/>
  <c r="Y53" i="254"/>
  <c r="Z53" i="254"/>
  <c r="AA53" i="254"/>
  <c r="AB53" i="254"/>
  <c r="AC53" i="254"/>
  <c r="B54" i="254"/>
  <c r="C54" i="254"/>
  <c r="D54" i="254"/>
  <c r="E54" i="254"/>
  <c r="G54" i="254"/>
  <c r="H54" i="254"/>
  <c r="I54" i="254"/>
  <c r="J54" i="254"/>
  <c r="N54" i="254"/>
  <c r="Q54" i="254"/>
  <c r="R54" i="254"/>
  <c r="W54" i="254"/>
  <c r="X54" i="254"/>
  <c r="Y54" i="254"/>
  <c r="Z54" i="254"/>
  <c r="AA54" i="254"/>
  <c r="AB54" i="254"/>
  <c r="AC54" i="254"/>
  <c r="B55" i="254"/>
  <c r="C55" i="254"/>
  <c r="E55" i="254"/>
  <c r="G55" i="254"/>
  <c r="H55" i="254"/>
  <c r="I55" i="254"/>
  <c r="J55" i="254"/>
  <c r="N55" i="254"/>
  <c r="Q55" i="254"/>
  <c r="R55" i="254"/>
  <c r="W55" i="254"/>
  <c r="X55" i="254"/>
  <c r="Y55" i="254"/>
  <c r="Z55" i="254"/>
  <c r="AA55" i="254"/>
  <c r="AB55" i="254"/>
  <c r="AC55" i="254"/>
  <c r="B16" i="254"/>
  <c r="C16" i="254"/>
  <c r="D16" i="254"/>
  <c r="E16" i="254"/>
  <c r="G16" i="254"/>
  <c r="H16" i="254"/>
  <c r="I16" i="254"/>
  <c r="J16" i="254"/>
  <c r="N16" i="254"/>
  <c r="Q16" i="254"/>
  <c r="R16" i="254"/>
  <c r="W16" i="254"/>
  <c r="X16" i="254"/>
  <c r="Y16" i="254"/>
  <c r="Z16" i="254"/>
  <c r="AA16" i="254"/>
  <c r="AB16" i="254"/>
  <c r="AC16" i="254"/>
  <c r="B17" i="254"/>
  <c r="C17" i="254"/>
  <c r="D17" i="254"/>
  <c r="E17" i="254"/>
  <c r="G17" i="254"/>
  <c r="H17" i="254"/>
  <c r="I17" i="254"/>
  <c r="J17" i="254"/>
  <c r="Q17" i="254"/>
  <c r="R17" i="254"/>
  <c r="W17" i="254"/>
  <c r="X17" i="254"/>
  <c r="Y17" i="254"/>
  <c r="Z17" i="254"/>
  <c r="AA17" i="254"/>
  <c r="AB17" i="254"/>
  <c r="AC17" i="254"/>
  <c r="B56" i="254"/>
  <c r="C56" i="254"/>
  <c r="D56" i="254"/>
  <c r="E56" i="254"/>
  <c r="G56" i="254"/>
  <c r="H56" i="254"/>
  <c r="I56" i="254"/>
  <c r="J56" i="254"/>
  <c r="Q56" i="254"/>
  <c r="R56" i="254"/>
  <c r="W56" i="254"/>
  <c r="X56" i="254"/>
  <c r="Y56" i="254"/>
  <c r="Z56" i="254"/>
  <c r="AA56" i="254"/>
  <c r="AB56" i="254"/>
  <c r="AC56" i="254"/>
  <c r="B18" i="254"/>
  <c r="C18" i="254"/>
  <c r="E18" i="254"/>
  <c r="G18" i="254"/>
  <c r="H18" i="254"/>
  <c r="I18" i="254"/>
  <c r="J18" i="254"/>
  <c r="N18" i="254"/>
  <c r="Q18" i="254"/>
  <c r="R18" i="254"/>
  <c r="W18" i="254"/>
  <c r="X18" i="254"/>
  <c r="Y18" i="254"/>
  <c r="Z18" i="254"/>
  <c r="AA18" i="254"/>
  <c r="AB18" i="254"/>
  <c r="AC18" i="254"/>
  <c r="B19" i="254"/>
  <c r="C19" i="254"/>
  <c r="D19" i="254"/>
  <c r="E19" i="254"/>
  <c r="G19" i="254"/>
  <c r="H19" i="254"/>
  <c r="I19" i="254"/>
  <c r="J19" i="254"/>
  <c r="N19" i="254"/>
  <c r="Q19" i="254"/>
  <c r="R19" i="254"/>
  <c r="W19" i="254"/>
  <c r="X19" i="254"/>
  <c r="Y19" i="254"/>
  <c r="Z19" i="254"/>
  <c r="AA19" i="254"/>
  <c r="AB19" i="254"/>
  <c r="AC19" i="254"/>
  <c r="B20" i="254"/>
  <c r="C20" i="254"/>
  <c r="D20" i="254"/>
  <c r="E20" i="254"/>
  <c r="G20" i="254"/>
  <c r="H20" i="254"/>
  <c r="I20" i="254"/>
  <c r="J20" i="254"/>
  <c r="N20" i="254"/>
  <c r="Q20" i="254"/>
  <c r="R20" i="254"/>
  <c r="W20" i="254"/>
  <c r="X20" i="254"/>
  <c r="Y20" i="254"/>
  <c r="Z20" i="254"/>
  <c r="AA20" i="254"/>
  <c r="AB20" i="254"/>
  <c r="AC20" i="254"/>
  <c r="B21" i="254"/>
  <c r="C21" i="254"/>
  <c r="D21" i="254"/>
  <c r="E21" i="254"/>
  <c r="G21" i="254"/>
  <c r="H21" i="254"/>
  <c r="I21" i="254"/>
  <c r="J21" i="254"/>
  <c r="Q21" i="254"/>
  <c r="R21" i="254"/>
  <c r="W21" i="254"/>
  <c r="X21" i="254"/>
  <c r="Y21" i="254"/>
  <c r="Z21" i="254"/>
  <c r="AA21" i="254"/>
  <c r="AB21" i="254"/>
  <c r="AC21" i="254"/>
  <c r="B57" i="254"/>
  <c r="C57" i="254"/>
  <c r="D57" i="254"/>
  <c r="E57" i="254"/>
  <c r="G57" i="254"/>
  <c r="H57" i="254"/>
  <c r="I57" i="254"/>
  <c r="J57" i="254"/>
  <c r="N57" i="254"/>
  <c r="Q57" i="254"/>
  <c r="R57" i="254"/>
  <c r="W57" i="254"/>
  <c r="X57" i="254"/>
  <c r="Y57" i="254"/>
  <c r="Z57" i="254"/>
  <c r="AA57" i="254"/>
  <c r="AB57" i="254"/>
  <c r="AC57" i="254"/>
  <c r="B58" i="254"/>
  <c r="C58" i="254"/>
  <c r="D58" i="254"/>
  <c r="E58" i="254"/>
  <c r="G58" i="254"/>
  <c r="H58" i="254"/>
  <c r="I58" i="254"/>
  <c r="J58" i="254"/>
  <c r="N58" i="254"/>
  <c r="Q58" i="254"/>
  <c r="R58" i="254"/>
  <c r="W58" i="254"/>
  <c r="X58" i="254"/>
  <c r="Y58" i="254"/>
  <c r="Z58" i="254"/>
  <c r="AA58" i="254"/>
  <c r="AB58" i="254"/>
  <c r="AC58" i="254"/>
  <c r="B22" i="254"/>
  <c r="C22" i="254"/>
  <c r="E22" i="254"/>
  <c r="G22" i="254"/>
  <c r="H22" i="254"/>
  <c r="I22" i="254"/>
  <c r="J22" i="254"/>
  <c r="Q22" i="254"/>
  <c r="R22" i="254"/>
  <c r="W22" i="254"/>
  <c r="X22" i="254"/>
  <c r="Y22" i="254"/>
  <c r="Z22" i="254"/>
  <c r="AA22" i="254"/>
  <c r="AB22" i="254"/>
  <c r="AC22" i="254"/>
  <c r="B23" i="254"/>
  <c r="C23" i="254"/>
  <c r="E23" i="254"/>
  <c r="G23" i="254"/>
  <c r="H23" i="254"/>
  <c r="I23" i="254"/>
  <c r="J23" i="254"/>
  <c r="N23" i="254"/>
  <c r="Q23" i="254"/>
  <c r="R23" i="254"/>
  <c r="W23" i="254"/>
  <c r="X23" i="254"/>
  <c r="Y23" i="254"/>
  <c r="Z23" i="254"/>
  <c r="AA23" i="254"/>
  <c r="AB23" i="254"/>
  <c r="AC23" i="254"/>
  <c r="B24" i="254"/>
  <c r="C24" i="254"/>
  <c r="D24" i="254"/>
  <c r="E24" i="254"/>
  <c r="G24" i="254"/>
  <c r="H24" i="254"/>
  <c r="I24" i="254"/>
  <c r="J24" i="254"/>
  <c r="N24" i="254"/>
  <c r="Q24" i="254"/>
  <c r="R24" i="254"/>
  <c r="W24" i="254"/>
  <c r="X24" i="254"/>
  <c r="Y24" i="254"/>
  <c r="Z24" i="254"/>
  <c r="AA24" i="254"/>
  <c r="AB24" i="254"/>
  <c r="AC24" i="254"/>
  <c r="B25" i="254"/>
  <c r="C25" i="254"/>
  <c r="D25" i="254"/>
  <c r="E25" i="254"/>
  <c r="G25" i="254"/>
  <c r="H25" i="254"/>
  <c r="I25" i="254"/>
  <c r="J25" i="254"/>
  <c r="Q25" i="254"/>
  <c r="R25" i="254"/>
  <c r="W25" i="254"/>
  <c r="X25" i="254"/>
  <c r="Y25" i="254"/>
  <c r="Z25" i="254"/>
  <c r="AA25" i="254"/>
  <c r="AB25" i="254"/>
  <c r="AC25" i="254"/>
  <c r="B59" i="254"/>
  <c r="C59" i="254"/>
  <c r="D59" i="254"/>
  <c r="E59" i="254"/>
  <c r="G59" i="254"/>
  <c r="H59" i="254"/>
  <c r="I59" i="254"/>
  <c r="J59" i="254"/>
  <c r="N59" i="254"/>
  <c r="Q59" i="254"/>
  <c r="R59" i="254"/>
  <c r="W59" i="254"/>
  <c r="X59" i="254"/>
  <c r="Y59" i="254"/>
  <c r="Z59" i="254"/>
  <c r="AA59" i="254"/>
  <c r="AB59" i="254"/>
  <c r="AC59" i="254"/>
  <c r="B26" i="254"/>
  <c r="C26" i="254"/>
  <c r="D26" i="254"/>
  <c r="E26" i="254"/>
  <c r="G26" i="254"/>
  <c r="H26" i="254"/>
  <c r="I26" i="254"/>
  <c r="J26" i="254"/>
  <c r="N26" i="254"/>
  <c r="Q26" i="254"/>
  <c r="R26" i="254"/>
  <c r="W26" i="254"/>
  <c r="X26" i="254"/>
  <c r="Y26" i="254"/>
  <c r="Z26" i="254"/>
  <c r="AA26" i="254"/>
  <c r="AB26" i="254"/>
  <c r="AC26" i="254"/>
  <c r="B27" i="254"/>
  <c r="C27" i="254"/>
  <c r="D27" i="254"/>
  <c r="E27" i="254"/>
  <c r="G27" i="254"/>
  <c r="H27" i="254"/>
  <c r="I27" i="254"/>
  <c r="J27" i="254"/>
  <c r="N27" i="254"/>
  <c r="Q27" i="254"/>
  <c r="R27" i="254"/>
  <c r="W27" i="254"/>
  <c r="X27" i="254"/>
  <c r="Y27" i="254"/>
  <c r="Z27" i="254"/>
  <c r="AA27" i="254"/>
  <c r="AB27" i="254"/>
  <c r="AC27" i="254"/>
  <c r="B60" i="254"/>
  <c r="C60" i="254"/>
  <c r="D60" i="254"/>
  <c r="E60" i="254"/>
  <c r="G60" i="254"/>
  <c r="H60" i="254"/>
  <c r="I60" i="254"/>
  <c r="J60" i="254"/>
  <c r="Q60" i="254"/>
  <c r="R60" i="254"/>
  <c r="W60" i="254"/>
  <c r="X60" i="254"/>
  <c r="Y60" i="254"/>
  <c r="Z60" i="254"/>
  <c r="AA60" i="254"/>
  <c r="AB60" i="254"/>
  <c r="AC60" i="254"/>
  <c r="B28" i="254"/>
  <c r="C28" i="254"/>
  <c r="D28" i="254"/>
  <c r="E28" i="254"/>
  <c r="G28" i="254"/>
  <c r="H28" i="254"/>
  <c r="I28" i="254"/>
  <c r="J28" i="254"/>
  <c r="N28" i="254"/>
  <c r="Q28" i="254"/>
  <c r="R28" i="254"/>
  <c r="W28" i="254"/>
  <c r="X28" i="254"/>
  <c r="Y28" i="254"/>
  <c r="Z28" i="254"/>
  <c r="AA28" i="254"/>
  <c r="AB28" i="254"/>
  <c r="AC28" i="254"/>
  <c r="B78" i="254"/>
  <c r="C78" i="254"/>
  <c r="E78" i="254"/>
  <c r="G78" i="254"/>
  <c r="H78" i="254"/>
  <c r="I78" i="254"/>
  <c r="J78" i="254"/>
  <c r="N78" i="254"/>
  <c r="Q78" i="254"/>
  <c r="R78" i="254"/>
  <c r="W78" i="254"/>
  <c r="X78" i="254"/>
  <c r="Y78" i="254"/>
  <c r="Z78" i="254"/>
  <c r="AA78" i="254"/>
  <c r="AB78" i="254"/>
  <c r="AC78" i="254"/>
  <c r="B29" i="254"/>
  <c r="C29" i="254"/>
  <c r="D29" i="254"/>
  <c r="E29" i="254"/>
  <c r="G29" i="254"/>
  <c r="H29" i="254"/>
  <c r="I29" i="254"/>
  <c r="J29" i="254"/>
  <c r="N29" i="254"/>
  <c r="Q29" i="254"/>
  <c r="R29" i="254"/>
  <c r="W29" i="254"/>
  <c r="X29" i="254"/>
  <c r="Y29" i="254"/>
  <c r="Z29" i="254"/>
  <c r="AA29" i="254"/>
  <c r="AB29" i="254"/>
  <c r="AC29" i="254"/>
  <c r="B61" i="254"/>
  <c r="C61" i="254"/>
  <c r="D61" i="254"/>
  <c r="E61" i="254"/>
  <c r="G61" i="254"/>
  <c r="H61" i="254"/>
  <c r="I61" i="254"/>
  <c r="J61" i="254"/>
  <c r="Q61" i="254"/>
  <c r="R61" i="254"/>
  <c r="W61" i="254"/>
  <c r="X61" i="254"/>
  <c r="Y61" i="254"/>
  <c r="Z61" i="254"/>
  <c r="AA61" i="254"/>
  <c r="AB61" i="254"/>
  <c r="AC61" i="254"/>
  <c r="B30" i="254"/>
  <c r="C30" i="254"/>
  <c r="D30" i="254"/>
  <c r="E30" i="254"/>
  <c r="G30" i="254"/>
  <c r="H30" i="254"/>
  <c r="I30" i="254"/>
  <c r="J30" i="254"/>
  <c r="Q30" i="254"/>
  <c r="R30" i="254"/>
  <c r="W30" i="254"/>
  <c r="X30" i="254"/>
  <c r="Y30" i="254"/>
  <c r="Z30" i="254"/>
  <c r="AA30" i="254"/>
  <c r="AB30" i="254"/>
  <c r="AC30" i="254"/>
  <c r="B62" i="254"/>
  <c r="C62" i="254"/>
  <c r="D62" i="254"/>
  <c r="E62" i="254"/>
  <c r="G62" i="254"/>
  <c r="H62" i="254"/>
  <c r="I62" i="254"/>
  <c r="J62" i="254"/>
  <c r="N62" i="254"/>
  <c r="Q62" i="254"/>
  <c r="R62" i="254"/>
  <c r="W62" i="254"/>
  <c r="X62" i="254"/>
  <c r="Y62" i="254"/>
  <c r="Z62" i="254"/>
  <c r="AA62" i="254"/>
  <c r="AB62" i="254"/>
  <c r="AC62" i="254"/>
  <c r="B63" i="254"/>
  <c r="C63" i="254"/>
  <c r="D63" i="254"/>
  <c r="E63" i="254"/>
  <c r="G63" i="254"/>
  <c r="H63" i="254"/>
  <c r="I63" i="254"/>
  <c r="J63" i="254"/>
  <c r="N63" i="254"/>
  <c r="Q63" i="254"/>
  <c r="R63" i="254"/>
  <c r="W63" i="254"/>
  <c r="X63" i="254"/>
  <c r="Y63" i="254"/>
  <c r="Z63" i="254"/>
  <c r="AA63" i="254"/>
  <c r="AB63" i="254"/>
  <c r="AC63" i="254"/>
  <c r="B31" i="254"/>
  <c r="C31" i="254"/>
  <c r="D31" i="254"/>
  <c r="E31" i="254"/>
  <c r="G31" i="254"/>
  <c r="H31" i="254"/>
  <c r="I31" i="254"/>
  <c r="J31" i="254"/>
  <c r="N31" i="254"/>
  <c r="Q31" i="254"/>
  <c r="R31" i="254"/>
  <c r="W31" i="254"/>
  <c r="X31" i="254"/>
  <c r="Y31" i="254"/>
  <c r="Z31" i="254"/>
  <c r="AA31" i="254"/>
  <c r="AB31" i="254"/>
  <c r="AC31" i="254"/>
  <c r="B32" i="254"/>
  <c r="C32" i="254"/>
  <c r="D32" i="254"/>
  <c r="E32" i="254"/>
  <c r="G32" i="254"/>
  <c r="H32" i="254"/>
  <c r="I32" i="254"/>
  <c r="J32" i="254"/>
  <c r="N32" i="254"/>
  <c r="Q32" i="254"/>
  <c r="R32" i="254"/>
  <c r="W32" i="254"/>
  <c r="X32" i="254"/>
  <c r="Y32" i="254"/>
  <c r="Z32" i="254"/>
  <c r="AA32" i="254"/>
  <c r="AB32" i="254"/>
  <c r="AC32" i="254"/>
  <c r="B33" i="254"/>
  <c r="C33" i="254"/>
  <c r="D33" i="254"/>
  <c r="E33" i="254"/>
  <c r="G33" i="254"/>
  <c r="H33" i="254"/>
  <c r="I33" i="254"/>
  <c r="J33" i="254"/>
  <c r="Q33" i="254"/>
  <c r="R33" i="254"/>
  <c r="W33" i="254"/>
  <c r="X33" i="254"/>
  <c r="Y33" i="254"/>
  <c r="Z33" i="254"/>
  <c r="AA33" i="254"/>
  <c r="AB33" i="254"/>
  <c r="AC33" i="254"/>
  <c r="B34" i="254"/>
  <c r="C34" i="254"/>
  <c r="D34" i="254"/>
  <c r="E34" i="254"/>
  <c r="G34" i="254"/>
  <c r="H34" i="254"/>
  <c r="I34" i="254"/>
  <c r="J34" i="254"/>
  <c r="Q34" i="254"/>
  <c r="R34" i="254"/>
  <c r="W34" i="254"/>
  <c r="X34" i="254"/>
  <c r="Y34" i="254"/>
  <c r="Z34" i="254"/>
  <c r="AA34" i="254"/>
  <c r="AB34" i="254"/>
  <c r="AC34" i="254"/>
  <c r="B64" i="254"/>
  <c r="C64" i="254"/>
  <c r="D64" i="254"/>
  <c r="E64" i="254"/>
  <c r="G64" i="254"/>
  <c r="H64" i="254"/>
  <c r="I64" i="254"/>
  <c r="J64" i="254"/>
  <c r="N64" i="254"/>
  <c r="Q64" i="254"/>
  <c r="R64" i="254"/>
  <c r="W64" i="254"/>
  <c r="X64" i="254"/>
  <c r="Y64" i="254"/>
  <c r="Z64" i="254"/>
  <c r="AA64" i="254"/>
  <c r="AB64" i="254"/>
  <c r="AC64" i="254"/>
  <c r="B65" i="254"/>
  <c r="C65" i="254"/>
  <c r="D65" i="254"/>
  <c r="E65" i="254"/>
  <c r="G65" i="254"/>
  <c r="H65" i="254"/>
  <c r="I65" i="254"/>
  <c r="J65" i="254"/>
  <c r="N65" i="254"/>
  <c r="Q65" i="254"/>
  <c r="R65" i="254"/>
  <c r="W65" i="254"/>
  <c r="X65" i="254"/>
  <c r="Y65" i="254"/>
  <c r="Z65" i="254"/>
  <c r="AA65" i="254"/>
  <c r="AB65" i="254"/>
  <c r="AC65" i="254"/>
  <c r="B66" i="254"/>
  <c r="C66" i="254"/>
  <c r="D66" i="254"/>
  <c r="E66" i="254"/>
  <c r="G66" i="254"/>
  <c r="H66" i="254"/>
  <c r="I66" i="254"/>
  <c r="J66" i="254"/>
  <c r="N66" i="254"/>
  <c r="Q66" i="254"/>
  <c r="R66" i="254"/>
  <c r="W66" i="254"/>
  <c r="X66" i="254"/>
  <c r="Y66" i="254"/>
  <c r="Z66" i="254"/>
  <c r="AA66" i="254"/>
  <c r="AB66" i="254"/>
  <c r="AC66" i="254"/>
  <c r="B35" i="254"/>
  <c r="C35" i="254"/>
  <c r="D35" i="254"/>
  <c r="E35" i="254"/>
  <c r="G35" i="254"/>
  <c r="H35" i="254"/>
  <c r="I35" i="254"/>
  <c r="J35" i="254"/>
  <c r="Q35" i="254"/>
  <c r="R35" i="254"/>
  <c r="W35" i="254"/>
  <c r="X35" i="254"/>
  <c r="Y35" i="254"/>
  <c r="Z35" i="254"/>
  <c r="AA35" i="254"/>
  <c r="AB35" i="254"/>
  <c r="AC35" i="254"/>
  <c r="B67" i="254"/>
  <c r="C67" i="254"/>
  <c r="D67" i="254"/>
  <c r="E67" i="254"/>
  <c r="G67" i="254"/>
  <c r="H67" i="254"/>
  <c r="I67" i="254"/>
  <c r="J67" i="254"/>
  <c r="Q67" i="254"/>
  <c r="R67" i="254"/>
  <c r="W67" i="254"/>
  <c r="X67" i="254"/>
  <c r="Y67" i="254"/>
  <c r="Z67" i="254"/>
  <c r="AA67" i="254"/>
  <c r="AB67" i="254"/>
  <c r="AC67" i="254"/>
  <c r="B36" i="254"/>
  <c r="C36" i="254"/>
  <c r="D36" i="254"/>
  <c r="E36" i="254"/>
  <c r="G36" i="254"/>
  <c r="H36" i="254"/>
  <c r="I36" i="254"/>
  <c r="J36" i="254"/>
  <c r="N36" i="254"/>
  <c r="Q36" i="254"/>
  <c r="R36" i="254"/>
  <c r="W36" i="254"/>
  <c r="X36" i="254"/>
  <c r="Y36" i="254"/>
  <c r="Z36" i="254"/>
  <c r="AA36" i="254"/>
  <c r="AB36" i="254"/>
  <c r="AC36" i="254"/>
  <c r="B37" i="254"/>
  <c r="C37" i="254"/>
  <c r="D37" i="254"/>
  <c r="E37" i="254"/>
  <c r="G37" i="254"/>
  <c r="H37" i="254"/>
  <c r="I37" i="254"/>
  <c r="J37" i="254"/>
  <c r="N37" i="254"/>
  <c r="Q37" i="254"/>
  <c r="R37" i="254"/>
  <c r="W37" i="254"/>
  <c r="X37" i="254"/>
  <c r="Y37" i="254"/>
  <c r="Z37" i="254"/>
  <c r="AA37" i="254"/>
  <c r="AB37" i="254"/>
  <c r="AC37" i="254"/>
  <c r="B38" i="254"/>
  <c r="C38" i="254"/>
  <c r="D38" i="254"/>
  <c r="E38" i="254"/>
  <c r="G38" i="254"/>
  <c r="H38" i="254"/>
  <c r="I38" i="254"/>
  <c r="J38" i="254"/>
  <c r="N38" i="254"/>
  <c r="Q38" i="254"/>
  <c r="R38" i="254"/>
  <c r="W38" i="254"/>
  <c r="X38" i="254"/>
  <c r="Y38" i="254"/>
  <c r="Z38" i="254"/>
  <c r="AA38" i="254"/>
  <c r="AB38" i="254"/>
  <c r="AC38" i="254"/>
  <c r="B39" i="254"/>
  <c r="C39" i="254"/>
  <c r="D39" i="254"/>
  <c r="E39" i="254"/>
  <c r="G39" i="254"/>
  <c r="H39" i="254"/>
  <c r="I39" i="254"/>
  <c r="J39" i="254"/>
  <c r="N39" i="254"/>
  <c r="Q39" i="254"/>
  <c r="R39" i="254"/>
  <c r="W39" i="254"/>
  <c r="X39" i="254"/>
  <c r="Y39" i="254"/>
  <c r="Z39" i="254"/>
  <c r="AB39" i="254"/>
  <c r="AC39" i="254"/>
  <c r="B68" i="254"/>
  <c r="C68" i="254"/>
  <c r="D68" i="254"/>
  <c r="E68" i="254"/>
  <c r="G68" i="254"/>
  <c r="H68" i="254"/>
  <c r="I68" i="254"/>
  <c r="J68" i="254"/>
  <c r="N68" i="254"/>
  <c r="Q68" i="254"/>
  <c r="R68" i="254"/>
  <c r="W68" i="254"/>
  <c r="X68" i="254"/>
  <c r="Y68" i="254"/>
  <c r="Z68" i="254"/>
  <c r="AA68" i="254"/>
  <c r="AB68" i="254"/>
  <c r="AC68" i="254"/>
  <c r="B69" i="254"/>
  <c r="C69" i="254"/>
  <c r="D69" i="254"/>
  <c r="E69" i="254"/>
  <c r="G69" i="254"/>
  <c r="H69" i="254"/>
  <c r="I69" i="254"/>
  <c r="J69" i="254"/>
  <c r="N69" i="254"/>
  <c r="Q69" i="254"/>
  <c r="R69" i="254"/>
  <c r="W69" i="254"/>
  <c r="X69" i="254"/>
  <c r="Y69" i="254"/>
  <c r="Z69" i="254"/>
  <c r="AA69" i="254"/>
  <c r="AB69" i="254"/>
  <c r="AC69" i="254"/>
  <c r="B70" i="254"/>
  <c r="C70" i="254"/>
  <c r="D70" i="254"/>
  <c r="E70" i="254"/>
  <c r="G70" i="254"/>
  <c r="H70" i="254"/>
  <c r="I70" i="254"/>
  <c r="J70" i="254"/>
  <c r="N70" i="254"/>
  <c r="Q70" i="254"/>
  <c r="R70" i="254"/>
  <c r="W70" i="254"/>
  <c r="X70" i="254"/>
  <c r="Y70" i="254"/>
  <c r="Z70" i="254"/>
  <c r="AA70" i="254"/>
  <c r="AB70" i="254"/>
  <c r="AC70" i="254"/>
  <c r="B71" i="254"/>
  <c r="C71" i="254"/>
  <c r="D71" i="254"/>
  <c r="E71" i="254"/>
  <c r="G71" i="254"/>
  <c r="H71" i="254"/>
  <c r="I71" i="254"/>
  <c r="J71" i="254"/>
  <c r="N71" i="254"/>
  <c r="Q71" i="254"/>
  <c r="R71" i="254"/>
  <c r="W71" i="254"/>
  <c r="X71" i="254"/>
  <c r="Y71" i="254"/>
  <c r="Z71" i="254"/>
  <c r="AA71" i="254"/>
  <c r="AB71" i="254"/>
  <c r="AC71" i="254"/>
  <c r="B72" i="254"/>
  <c r="C72" i="254"/>
  <c r="D72" i="254"/>
  <c r="E72" i="254"/>
  <c r="G72" i="254"/>
  <c r="H72" i="254"/>
  <c r="I72" i="254"/>
  <c r="J72" i="254"/>
  <c r="K72" i="254"/>
  <c r="N72" i="254"/>
  <c r="Q72" i="254"/>
  <c r="R72" i="254"/>
  <c r="W72" i="254"/>
  <c r="X72" i="254"/>
  <c r="Y72" i="254"/>
  <c r="Z72" i="254"/>
  <c r="AA72" i="254"/>
  <c r="AB72" i="254"/>
  <c r="AC72" i="254"/>
  <c r="B73" i="254"/>
  <c r="C73" i="254"/>
  <c r="D73" i="254"/>
  <c r="E73" i="254"/>
  <c r="G73" i="254"/>
  <c r="H73" i="254"/>
  <c r="I73" i="254"/>
  <c r="J73" i="254"/>
  <c r="K73" i="254"/>
  <c r="N73" i="254"/>
  <c r="Q73" i="254"/>
  <c r="R73" i="254"/>
  <c r="W73" i="254"/>
  <c r="X73" i="254"/>
  <c r="Y73" i="254"/>
  <c r="Z73" i="254"/>
  <c r="AA73" i="254"/>
  <c r="AB73" i="254"/>
  <c r="AC73" i="254"/>
  <c r="B74" i="254"/>
  <c r="C74" i="254"/>
  <c r="D74" i="254"/>
  <c r="E74" i="254"/>
  <c r="G74" i="254"/>
  <c r="H74" i="254"/>
  <c r="I74" i="254"/>
  <c r="J74" i="254"/>
  <c r="Q74" i="254"/>
  <c r="R74" i="254"/>
  <c r="W74" i="254"/>
  <c r="X74" i="254"/>
  <c r="Y74" i="254"/>
  <c r="Z74" i="254"/>
  <c r="AA74" i="254"/>
  <c r="AB74" i="254"/>
  <c r="AC74" i="254"/>
  <c r="B75" i="254"/>
  <c r="C75" i="254"/>
  <c r="D75" i="254"/>
  <c r="E75" i="254"/>
  <c r="G75" i="254"/>
  <c r="H75" i="254"/>
  <c r="I75" i="254"/>
  <c r="J75" i="254"/>
  <c r="K75" i="254"/>
  <c r="Q75" i="254"/>
  <c r="R75" i="254"/>
  <c r="W75" i="254"/>
  <c r="X75" i="254"/>
  <c r="Y75" i="254"/>
  <c r="Z75" i="254"/>
  <c r="AA75" i="254"/>
  <c r="AB75" i="254"/>
  <c r="AC75" i="254"/>
  <c r="B76" i="254"/>
  <c r="C76" i="254"/>
  <c r="D76" i="254"/>
  <c r="E76" i="254"/>
  <c r="G76" i="254"/>
  <c r="H76" i="254"/>
  <c r="I76" i="254"/>
  <c r="J76" i="254"/>
  <c r="Q76" i="254"/>
  <c r="R76" i="254"/>
  <c r="W76" i="254"/>
  <c r="X76" i="254"/>
  <c r="Y76" i="254"/>
  <c r="Z76" i="254"/>
  <c r="AA76" i="254"/>
  <c r="AB76" i="254"/>
  <c r="AC76" i="254"/>
  <c r="B77" i="254"/>
  <c r="C77" i="254"/>
  <c r="D77" i="254"/>
  <c r="E77" i="254"/>
  <c r="G77" i="254"/>
  <c r="H77" i="254"/>
  <c r="I77" i="254"/>
  <c r="J77" i="254"/>
  <c r="K77" i="254"/>
  <c r="Q77" i="254"/>
  <c r="R77" i="254"/>
  <c r="W77" i="254"/>
  <c r="X77" i="254"/>
  <c r="Y77" i="254"/>
  <c r="Z77" i="254"/>
  <c r="AA77" i="254"/>
  <c r="AB77" i="254"/>
  <c r="AC77" i="254"/>
  <c r="B40" i="254"/>
  <c r="C40" i="254"/>
  <c r="D40" i="254"/>
  <c r="E40" i="254"/>
  <c r="G40" i="254"/>
  <c r="H40" i="254"/>
  <c r="I40" i="254"/>
  <c r="J40" i="254"/>
  <c r="Q40" i="254"/>
  <c r="R40" i="254"/>
  <c r="W40" i="254"/>
  <c r="X40" i="254"/>
  <c r="Y40" i="254"/>
  <c r="Z40" i="254"/>
  <c r="AA40" i="254"/>
  <c r="AB40" i="254"/>
  <c r="AC40" i="254"/>
  <c r="B41" i="254"/>
  <c r="C41" i="254"/>
  <c r="D41" i="254"/>
  <c r="E41" i="254"/>
  <c r="G41" i="254"/>
  <c r="H41" i="254"/>
  <c r="I41" i="254"/>
  <c r="J41" i="254"/>
  <c r="Q41" i="254"/>
  <c r="R41" i="254"/>
  <c r="W41" i="254"/>
  <c r="X41" i="254"/>
  <c r="Y41" i="254"/>
  <c r="Z41" i="254"/>
  <c r="AA41" i="254"/>
  <c r="AB41" i="254"/>
  <c r="C5" i="254"/>
  <c r="D5" i="254"/>
  <c r="E5" i="254"/>
  <c r="G5" i="254"/>
  <c r="H5" i="254"/>
  <c r="H42" i="254" s="1"/>
  <c r="I5" i="254"/>
  <c r="J5" i="254"/>
  <c r="N5" i="254"/>
  <c r="Q5" i="254"/>
  <c r="R5" i="254"/>
  <c r="W5" i="254"/>
  <c r="X5" i="254"/>
  <c r="Y5" i="254"/>
  <c r="Z5" i="254"/>
  <c r="AA5" i="254"/>
  <c r="AB5" i="254"/>
  <c r="AC5" i="254"/>
  <c r="B5" i="254"/>
  <c r="J26" i="261" l="1"/>
  <c r="H11" i="97" s="1"/>
  <c r="I26" i="261"/>
  <c r="X26" i="261"/>
  <c r="H26" i="261"/>
  <c r="V26" i="261"/>
  <c r="D26" i="261"/>
  <c r="B11" i="97" s="1"/>
  <c r="Z26" i="261"/>
  <c r="X11" i="97" s="1"/>
  <c r="G26" i="261"/>
  <c r="R26" i="261"/>
  <c r="P11" i="97" s="1"/>
  <c r="Y26" i="261"/>
  <c r="Q26" i="261"/>
  <c r="W11" i="269"/>
  <c r="W19" i="269" s="1"/>
  <c r="V11" i="269"/>
  <c r="V19" i="269" s="1"/>
  <c r="AA104" i="256"/>
  <c r="H104" i="256"/>
  <c r="W104" i="256"/>
  <c r="X104" i="256"/>
  <c r="Z104" i="256"/>
  <c r="R104" i="256"/>
  <c r="Y11" i="257"/>
  <c r="W7" i="97" s="1"/>
  <c r="H11" i="257"/>
  <c r="E104" i="256"/>
  <c r="Y104" i="256"/>
  <c r="Q104" i="256"/>
  <c r="I104" i="256"/>
  <c r="N57" i="257"/>
  <c r="AA97" i="257"/>
  <c r="AA121" i="256"/>
  <c r="AA122" i="256" s="1"/>
  <c r="W121" i="256"/>
  <c r="H57" i="257"/>
  <c r="X57" i="257"/>
  <c r="I57" i="257"/>
  <c r="Q57" i="257"/>
  <c r="Y57" i="257"/>
  <c r="E121" i="256"/>
  <c r="Y121" i="256"/>
  <c r="Q121" i="256"/>
  <c r="I121" i="256"/>
  <c r="Z57" i="257"/>
  <c r="G11" i="257"/>
  <c r="H118" i="257"/>
  <c r="F13" i="97" s="1"/>
  <c r="J118" i="257"/>
  <c r="H13" i="97" s="1"/>
  <c r="R118" i="257"/>
  <c r="P13" i="97" s="1"/>
  <c r="W18" i="97"/>
  <c r="O18" i="97"/>
  <c r="G18" i="97"/>
  <c r="W15" i="97"/>
  <c r="O15" i="97"/>
  <c r="G15" i="97"/>
  <c r="O14" i="97"/>
  <c r="G14" i="97"/>
  <c r="B9" i="97"/>
  <c r="O9" i="97"/>
  <c r="X13" i="97"/>
  <c r="I123" i="257"/>
  <c r="Q123" i="257"/>
  <c r="Y123" i="257"/>
  <c r="W14" i="97" s="1"/>
  <c r="X18" i="97"/>
  <c r="P18" i="97"/>
  <c r="H18" i="97"/>
  <c r="X15" i="97"/>
  <c r="P15" i="97"/>
  <c r="H15" i="97"/>
  <c r="X14" i="97"/>
  <c r="P14" i="97"/>
  <c r="H14" i="97"/>
  <c r="X12" i="97"/>
  <c r="L9" i="97"/>
  <c r="Y13" i="97"/>
  <c r="V18" i="97"/>
  <c r="F18" i="97"/>
  <c r="V15" i="97"/>
  <c r="F15" i="97"/>
  <c r="V14" i="97"/>
  <c r="F14" i="97"/>
  <c r="F11" i="97"/>
  <c r="P9" i="97"/>
  <c r="W13" i="97"/>
  <c r="O13" i="97"/>
  <c r="G13" i="97"/>
  <c r="U18" i="97"/>
  <c r="E18" i="97"/>
  <c r="U15" i="97"/>
  <c r="E15" i="97"/>
  <c r="C9" i="97"/>
  <c r="V13" i="97"/>
  <c r="L18" i="97"/>
  <c r="L15" i="97"/>
  <c r="L14" i="97"/>
  <c r="W9" i="97"/>
  <c r="U13" i="97"/>
  <c r="E13" i="97"/>
  <c r="C18" i="97"/>
  <c r="C15" i="97"/>
  <c r="X9" i="97"/>
  <c r="L13" i="97"/>
  <c r="B18" i="97"/>
  <c r="B15" i="97"/>
  <c r="B14" i="97"/>
  <c r="B12" i="97"/>
  <c r="G9" i="97"/>
  <c r="Y9" i="97"/>
  <c r="B13" i="97"/>
  <c r="C13" i="97"/>
  <c r="Y18" i="97"/>
  <c r="Y15" i="97"/>
  <c r="Y14" i="97"/>
  <c r="H9" i="97"/>
  <c r="X42" i="254"/>
  <c r="W42" i="254"/>
  <c r="Y42" i="254"/>
  <c r="Q42" i="254"/>
  <c r="G42" i="254"/>
  <c r="E42" i="254"/>
  <c r="J42" i="254"/>
  <c r="J86" i="254" s="1"/>
  <c r="I42" i="254"/>
  <c r="Z42" i="254"/>
  <c r="R42" i="254"/>
  <c r="Y83" i="254"/>
  <c r="X83" i="254"/>
  <c r="X86" i="254" s="1"/>
  <c r="I83" i="254"/>
  <c r="I86" i="254" s="1"/>
  <c r="H83" i="254"/>
  <c r="Q83" i="254"/>
  <c r="E83" i="254"/>
  <c r="E86" i="254" s="1"/>
  <c r="R86" i="254"/>
  <c r="Z83" i="254"/>
  <c r="Z86" i="254" s="1"/>
  <c r="R83" i="254"/>
  <c r="J83" i="254"/>
  <c r="H8" i="97" s="1"/>
  <c r="W83" i="255"/>
  <c r="H86" i="254"/>
  <c r="W83" i="254"/>
  <c r="G83" i="254"/>
  <c r="AA83" i="254"/>
  <c r="H83" i="255"/>
  <c r="W86" i="254"/>
  <c r="G86" i="254"/>
  <c r="Y86" i="254"/>
  <c r="Q86" i="254"/>
  <c r="W8" i="97"/>
  <c r="O8" i="97"/>
  <c r="O7" i="97"/>
  <c r="G7" i="97"/>
  <c r="W10" i="97"/>
  <c r="O10" i="97"/>
  <c r="G10" i="97"/>
  <c r="V8" i="97"/>
  <c r="F8" i="97"/>
  <c r="V7" i="97"/>
  <c r="F7" i="97"/>
  <c r="V10" i="97"/>
  <c r="F10" i="97"/>
  <c r="G83" i="255"/>
  <c r="U7" i="97"/>
  <c r="E7" i="97"/>
  <c r="U10" i="97"/>
  <c r="E10" i="97"/>
  <c r="L10" i="97"/>
  <c r="X83" i="255"/>
  <c r="Q83" i="255"/>
  <c r="C8" i="97"/>
  <c r="C7" i="97"/>
  <c r="C10" i="97"/>
  <c r="B10" i="97"/>
  <c r="Y10" i="97"/>
  <c r="Z83" i="255"/>
  <c r="R83" i="255"/>
  <c r="X8" i="97"/>
  <c r="P8" i="97"/>
  <c r="X7" i="97"/>
  <c r="P7" i="97"/>
  <c r="H7" i="97"/>
  <c r="X10" i="97"/>
  <c r="P10" i="97"/>
  <c r="H10" i="97"/>
  <c r="D76" i="259"/>
  <c r="T76" i="259"/>
  <c r="L76" i="259"/>
  <c r="AA76" i="259"/>
  <c r="S76" i="259"/>
  <c r="K76" i="259"/>
  <c r="Z76" i="259"/>
  <c r="R76" i="259"/>
  <c r="J76" i="259"/>
  <c r="Y76" i="259"/>
  <c r="Q76" i="259"/>
  <c r="I76" i="259"/>
  <c r="X76" i="259"/>
  <c r="P76" i="259"/>
  <c r="H76" i="259"/>
  <c r="O76" i="259"/>
  <c r="G76" i="259"/>
  <c r="V76" i="259"/>
  <c r="N76" i="259"/>
  <c r="F76" i="259"/>
  <c r="U76" i="259"/>
  <c r="M76" i="259"/>
  <c r="E76" i="259"/>
  <c r="Y6" i="97"/>
  <c r="Q6" i="97"/>
  <c r="I6" i="97"/>
  <c r="B6" i="97"/>
  <c r="X6" i="97"/>
  <c r="P6" i="97"/>
  <c r="H6" i="97"/>
  <c r="W6" i="97"/>
  <c r="O6" i="97"/>
  <c r="G6" i="97"/>
  <c r="V6" i="97"/>
  <c r="N6" i="97"/>
  <c r="F6" i="97"/>
  <c r="U6" i="97"/>
  <c r="M6" i="97"/>
  <c r="E6" i="97"/>
  <c r="AB104" i="256"/>
  <c r="AA13" i="266"/>
  <c r="L21" i="268"/>
  <c r="P21" i="268" s="1"/>
  <c r="I20" i="268"/>
  <c r="D20" i="268"/>
  <c r="N20" i="268"/>
  <c r="E20" i="268"/>
  <c r="F20" i="268"/>
  <c r="L20" i="268"/>
  <c r="P14" i="266"/>
  <c r="P20" i="265"/>
  <c r="Y42" i="263"/>
  <c r="I42" i="263"/>
  <c r="N42" i="263"/>
  <c r="P43" i="263"/>
  <c r="L42" i="263"/>
  <c r="F42" i="263"/>
  <c r="L7" i="260"/>
  <c r="P8" i="260"/>
  <c r="P6" i="260"/>
  <c r="P5" i="260"/>
  <c r="H65" i="258"/>
  <c r="F65" i="258"/>
  <c r="AA65" i="258"/>
  <c r="Z65" i="258"/>
  <c r="R65" i="258"/>
  <c r="J65" i="258"/>
  <c r="S65" i="258"/>
  <c r="G65" i="258"/>
  <c r="L65" i="258"/>
  <c r="K65" i="258"/>
  <c r="N65" i="258"/>
  <c r="D114" i="257"/>
  <c r="E123" i="257"/>
  <c r="E114" i="257"/>
  <c r="C12" i="97" s="1"/>
  <c r="AA114" i="257"/>
  <c r="Y12" i="97" s="1"/>
  <c r="G57" i="257"/>
  <c r="E8" i="97" s="1"/>
  <c r="W57" i="257"/>
  <c r="N114" i="257"/>
  <c r="N128" i="257" s="1"/>
  <c r="AA11" i="257"/>
  <c r="G61" i="257"/>
  <c r="E9" i="97" s="1"/>
  <c r="W61" i="257"/>
  <c r="G123" i="257"/>
  <c r="E14" i="97" s="1"/>
  <c r="W123" i="257"/>
  <c r="U14" i="97" s="1"/>
  <c r="G114" i="257"/>
  <c r="E12" i="97" s="1"/>
  <c r="W114" i="257"/>
  <c r="U12" i="97" s="1"/>
  <c r="H114" i="257"/>
  <c r="F12" i="97" s="1"/>
  <c r="X114" i="257"/>
  <c r="V12" i="97" s="1"/>
  <c r="I114" i="257"/>
  <c r="G12" i="97" s="1"/>
  <c r="Q114" i="257"/>
  <c r="O12" i="97" s="1"/>
  <c r="Y114" i="257"/>
  <c r="W12" i="97" s="1"/>
  <c r="AA57" i="257"/>
  <c r="AA128" i="257" s="1"/>
  <c r="J114" i="257"/>
  <c r="J128" i="257" s="1"/>
  <c r="R114" i="257"/>
  <c r="R128" i="257" s="1"/>
  <c r="Z114" i="257"/>
  <c r="Z128" i="257" s="1"/>
  <c r="H128" i="257"/>
  <c r="G97" i="257"/>
  <c r="W97" i="257"/>
  <c r="D11" i="257"/>
  <c r="D128" i="257" s="1"/>
  <c r="H61" i="257"/>
  <c r="F9" i="97" s="1"/>
  <c r="X61" i="257"/>
  <c r="V9" i="97" s="1"/>
  <c r="H97" i="257"/>
  <c r="X97" i="257"/>
  <c r="I97" i="257"/>
  <c r="I128" i="257" s="1"/>
  <c r="Q97" i="257"/>
  <c r="Y97" i="257"/>
  <c r="AB128" i="257"/>
  <c r="J122" i="256"/>
  <c r="H122" i="256"/>
  <c r="W122" i="256"/>
  <c r="X122" i="256"/>
  <c r="R122" i="256"/>
  <c r="Y122" i="256"/>
  <c r="Q122" i="256"/>
  <c r="I122" i="256"/>
  <c r="N104" i="256"/>
  <c r="D104" i="256"/>
  <c r="D122" i="256" s="1"/>
  <c r="Z122" i="256"/>
  <c r="N121" i="256"/>
  <c r="E122" i="256"/>
  <c r="G121" i="256"/>
  <c r="G122" i="256" s="1"/>
  <c r="E83" i="255"/>
  <c r="Y83" i="255"/>
  <c r="I83" i="255"/>
  <c r="E11" i="97" l="1"/>
  <c r="V11" i="97"/>
  <c r="W11" i="97"/>
  <c r="W20" i="97" s="1"/>
  <c r="W25" i="97" s="1"/>
  <c r="U8" i="97"/>
  <c r="N122" i="256"/>
  <c r="Y128" i="257"/>
  <c r="Y8" i="97"/>
  <c r="P12" i="97"/>
  <c r="Q128" i="257"/>
  <c r="G128" i="257"/>
  <c r="E128" i="257"/>
  <c r="G11" i="97"/>
  <c r="O11" i="97"/>
  <c r="X128" i="257"/>
  <c r="C14" i="97"/>
  <c r="L12" i="97"/>
  <c r="H12" i="97"/>
  <c r="G8" i="97"/>
  <c r="L20" i="269"/>
  <c r="P20" i="269" s="1"/>
  <c r="P20" i="268"/>
  <c r="P21" i="267"/>
  <c r="L21" i="267"/>
  <c r="L19" i="265"/>
  <c r="V19" i="265"/>
  <c r="L52" i="264"/>
  <c r="P52" i="264" s="1"/>
  <c r="P42" i="263"/>
  <c r="AA42" i="263"/>
  <c r="L17" i="262"/>
  <c r="P17" i="262" s="1"/>
  <c r="T5" i="260"/>
  <c r="P7" i="260"/>
  <c r="M5" i="260"/>
  <c r="M6" i="260"/>
  <c r="O6" i="260" s="1"/>
  <c r="T6" i="260"/>
  <c r="U6" i="260" s="1"/>
  <c r="W6" i="260" s="1"/>
  <c r="L77" i="259"/>
  <c r="L66" i="258"/>
  <c r="P65" i="258"/>
  <c r="W128" i="257"/>
  <c r="L129" i="257"/>
  <c r="P129" i="257" s="1"/>
  <c r="M129" i="257" s="1"/>
  <c r="T129" i="257"/>
  <c r="M20" i="268" l="1"/>
  <c r="O20" i="268"/>
  <c r="P19" i="265"/>
  <c r="M42" i="263"/>
  <c r="O42" i="263"/>
  <c r="T17" i="262"/>
  <c r="M7" i="260"/>
  <c r="O5" i="260"/>
  <c r="O7" i="260" s="1"/>
  <c r="T7" i="260"/>
  <c r="M8" i="260" s="1"/>
  <c r="U5" i="260"/>
  <c r="V65" i="258"/>
  <c r="M65" i="258"/>
  <c r="O65" i="258"/>
  <c r="M20" i="269" l="1"/>
  <c r="T20" i="268"/>
  <c r="M21" i="268" s="1"/>
  <c r="M21" i="267"/>
  <c r="M14" i="266"/>
  <c r="T19" i="265"/>
  <c r="M19" i="265"/>
  <c r="O19" i="265"/>
  <c r="M52" i="264"/>
  <c r="T42" i="263"/>
  <c r="M43" i="263" s="1"/>
  <c r="V42" i="263"/>
  <c r="U42" i="263"/>
  <c r="U7" i="260"/>
  <c r="W5" i="260"/>
  <c r="W7" i="260" s="1"/>
  <c r="U65" i="258"/>
  <c r="T65" i="258"/>
  <c r="M66" i="258" s="1"/>
  <c r="M20" i="265" l="1"/>
  <c r="U20" i="268"/>
  <c r="V20" i="268"/>
  <c r="U19" i="265"/>
  <c r="W19" i="265"/>
  <c r="U9" i="97" s="1"/>
  <c r="U17" i="262"/>
  <c r="M17" i="262"/>
  <c r="M77" i="259"/>
  <c r="I5" i="44" l="1"/>
  <c r="V58" i="242"/>
  <c r="N103" i="249" l="1"/>
  <c r="N70" i="249"/>
  <c r="E104" i="249" l="1"/>
  <c r="I104" i="249"/>
  <c r="J104" i="249"/>
  <c r="Q104" i="249"/>
  <c r="R104" i="249"/>
  <c r="W104" i="249"/>
  <c r="X104" i="249"/>
  <c r="Y104" i="249"/>
  <c r="Z104" i="249"/>
  <c r="S103" i="249"/>
  <c r="K103" i="249"/>
  <c r="F103" i="249"/>
  <c r="S102" i="249"/>
  <c r="K102" i="249"/>
  <c r="F102" i="249"/>
  <c r="S101" i="249"/>
  <c r="K101" i="249"/>
  <c r="F101" i="249"/>
  <c r="S100" i="249"/>
  <c r="K100" i="249"/>
  <c r="F100" i="249"/>
  <c r="S99" i="249"/>
  <c r="K99" i="249"/>
  <c r="F99" i="249"/>
  <c r="S98" i="249"/>
  <c r="K98" i="249"/>
  <c r="F98" i="249"/>
  <c r="S97" i="249"/>
  <c r="K97" i="249"/>
  <c r="F97" i="249"/>
  <c r="S96" i="249"/>
  <c r="K96" i="249"/>
  <c r="F96" i="249"/>
  <c r="S95" i="249"/>
  <c r="K95" i="249"/>
  <c r="F95" i="249"/>
  <c r="S94" i="249"/>
  <c r="K94" i="249"/>
  <c r="F94" i="249"/>
  <c r="W8" i="246"/>
  <c r="F87" i="257" l="1"/>
  <c r="F102" i="256"/>
  <c r="L96" i="249"/>
  <c r="K113" i="257"/>
  <c r="K96" i="256"/>
  <c r="F82" i="257"/>
  <c r="F94" i="256"/>
  <c r="L94" i="249"/>
  <c r="P94" i="249" s="1"/>
  <c r="K82" i="257"/>
  <c r="K94" i="256"/>
  <c r="F84" i="257"/>
  <c r="F97" i="256"/>
  <c r="S86" i="257"/>
  <c r="S99" i="256"/>
  <c r="L102" i="249"/>
  <c r="K87" i="257"/>
  <c r="K102" i="256"/>
  <c r="S113" i="257"/>
  <c r="S96" i="256"/>
  <c r="S82" i="257"/>
  <c r="S94" i="256"/>
  <c r="L97" i="249"/>
  <c r="K84" i="257"/>
  <c r="K97" i="256"/>
  <c r="F121" i="257"/>
  <c r="F100" i="256"/>
  <c r="S87" i="257"/>
  <c r="S102" i="256"/>
  <c r="L99" i="249"/>
  <c r="K86" i="257"/>
  <c r="K99" i="256"/>
  <c r="F83" i="257"/>
  <c r="F95" i="256"/>
  <c r="S84" i="257"/>
  <c r="S97" i="256"/>
  <c r="L100" i="249"/>
  <c r="K121" i="257"/>
  <c r="K100" i="256"/>
  <c r="F88" i="257"/>
  <c r="F103" i="256"/>
  <c r="L95" i="249"/>
  <c r="K83" i="257"/>
  <c r="K95" i="256"/>
  <c r="F85" i="257"/>
  <c r="F98" i="256"/>
  <c r="S121" i="257"/>
  <c r="S100" i="256"/>
  <c r="L103" i="249"/>
  <c r="K88" i="257"/>
  <c r="K103" i="256"/>
  <c r="F86" i="257"/>
  <c r="F99" i="256"/>
  <c r="S83" i="257"/>
  <c r="S95" i="256"/>
  <c r="L98" i="249"/>
  <c r="K85" i="257"/>
  <c r="K98" i="256"/>
  <c r="F122" i="257"/>
  <c r="F101" i="256"/>
  <c r="S88" i="257"/>
  <c r="S103" i="256"/>
  <c r="S122" i="257"/>
  <c r="S101" i="256"/>
  <c r="F113" i="257"/>
  <c r="F96" i="256"/>
  <c r="S85" i="257"/>
  <c r="S98" i="256"/>
  <c r="L101" i="249"/>
  <c r="K122" i="257"/>
  <c r="K101" i="256"/>
  <c r="P101" i="249"/>
  <c r="P95" i="249"/>
  <c r="P96" i="249"/>
  <c r="P100" i="249"/>
  <c r="P103" i="249"/>
  <c r="Z18" i="12"/>
  <c r="E14" i="245"/>
  <c r="G14" i="245"/>
  <c r="H14" i="245"/>
  <c r="I14" i="245"/>
  <c r="J14" i="245"/>
  <c r="Q14" i="245"/>
  <c r="R14" i="245"/>
  <c r="W14" i="245"/>
  <c r="E11" i="81" s="1"/>
  <c r="X14" i="245"/>
  <c r="Y14" i="245"/>
  <c r="Z14" i="245"/>
  <c r="AA14" i="245"/>
  <c r="A6" i="245"/>
  <c r="A7" i="245" s="1"/>
  <c r="A8" i="245" s="1"/>
  <c r="A9" i="245" s="1"/>
  <c r="A10" i="245" s="1"/>
  <c r="A11" i="245" s="1"/>
  <c r="A12" i="245" s="1"/>
  <c r="A13" i="245" s="1"/>
  <c r="A14" i="245" s="1"/>
  <c r="Z16" i="12"/>
  <c r="D13" i="44"/>
  <c r="E15" i="243"/>
  <c r="G15" i="243"/>
  <c r="H15" i="243"/>
  <c r="I15" i="243"/>
  <c r="J15" i="243"/>
  <c r="Q15" i="243"/>
  <c r="R15" i="243"/>
  <c r="V15" i="243"/>
  <c r="X15" i="243"/>
  <c r="Y15" i="243"/>
  <c r="Z15" i="243"/>
  <c r="AA15" i="243"/>
  <c r="D15" i="243"/>
  <c r="E11" i="244"/>
  <c r="G11" i="244"/>
  <c r="H11" i="244"/>
  <c r="I11" i="244"/>
  <c r="J11" i="244"/>
  <c r="Q11" i="244"/>
  <c r="R11" i="244"/>
  <c r="W11" i="244"/>
  <c r="X11" i="244"/>
  <c r="Y11" i="244"/>
  <c r="Z11" i="244"/>
  <c r="D11" i="244"/>
  <c r="E65" i="242"/>
  <c r="I65" i="242"/>
  <c r="J65" i="242"/>
  <c r="Q65" i="242"/>
  <c r="R65" i="242"/>
  <c r="X65" i="242"/>
  <c r="Y65" i="242"/>
  <c r="Z65" i="242"/>
  <c r="AA65" i="242"/>
  <c r="S64" i="242"/>
  <c r="N64" i="242"/>
  <c r="K64" i="242"/>
  <c r="L64" i="242" s="1"/>
  <c r="F64" i="242"/>
  <c r="Z14" i="12"/>
  <c r="P20" i="247"/>
  <c r="M20" i="247" s="1"/>
  <c r="E19" i="247"/>
  <c r="F19" i="247"/>
  <c r="G19" i="247"/>
  <c r="H19" i="247"/>
  <c r="I19" i="247"/>
  <c r="J19" i="247"/>
  <c r="K19" i="247"/>
  <c r="L19" i="247"/>
  <c r="M19" i="247"/>
  <c r="N19" i="247"/>
  <c r="O19" i="247"/>
  <c r="P19" i="247"/>
  <c r="Q19" i="247"/>
  <c r="R19" i="247"/>
  <c r="S19" i="247"/>
  <c r="T19" i="247"/>
  <c r="U19" i="247"/>
  <c r="V19" i="247"/>
  <c r="W19" i="247"/>
  <c r="X19" i="247"/>
  <c r="Y19" i="247"/>
  <c r="Z19" i="247"/>
  <c r="AA19" i="247"/>
  <c r="D19" i="247"/>
  <c r="A19" i="247"/>
  <c r="A42" i="246"/>
  <c r="Z13" i="12" s="1"/>
  <c r="Z12" i="12"/>
  <c r="K10" i="44"/>
  <c r="N10" i="44"/>
  <c r="E42" i="246"/>
  <c r="F42" i="246"/>
  <c r="G42" i="246"/>
  <c r="H42" i="246"/>
  <c r="I42" i="246"/>
  <c r="J42" i="246"/>
  <c r="K42" i="246"/>
  <c r="L42" i="246"/>
  <c r="M42" i="246"/>
  <c r="N42" i="246"/>
  <c r="O42" i="246"/>
  <c r="P42" i="246"/>
  <c r="Q42" i="246"/>
  <c r="R42" i="246"/>
  <c r="S42" i="246"/>
  <c r="T42" i="246"/>
  <c r="U42" i="246"/>
  <c r="W42" i="246"/>
  <c r="X42" i="246"/>
  <c r="Y42" i="246"/>
  <c r="Z42" i="246"/>
  <c r="AA42" i="246"/>
  <c r="D42" i="246"/>
  <c r="A6" i="246"/>
  <c r="A7" i="246" s="1"/>
  <c r="A8" i="246" s="1"/>
  <c r="A9" i="246" s="1"/>
  <c r="A10" i="246" s="1"/>
  <c r="A11" i="246" s="1"/>
  <c r="A12" i="246" s="1"/>
  <c r="A13" i="246" s="1"/>
  <c r="A14" i="246" s="1"/>
  <c r="A15" i="246" s="1"/>
  <c r="A16" i="246" s="1"/>
  <c r="A17" i="246" s="1"/>
  <c r="A18" i="246" s="1"/>
  <c r="A19" i="246" s="1"/>
  <c r="A20" i="246" s="1"/>
  <c r="A21" i="246" s="1"/>
  <c r="A22" i="246" s="1"/>
  <c r="A23" i="246" s="1"/>
  <c r="A24" i="246" s="1"/>
  <c r="A25" i="246" s="1"/>
  <c r="A26" i="246" s="1"/>
  <c r="A27" i="246" s="1"/>
  <c r="A28" i="246" s="1"/>
  <c r="A29" i="246" s="1"/>
  <c r="A30" i="246" s="1"/>
  <c r="A31" i="246" s="1"/>
  <c r="A32" i="246" s="1"/>
  <c r="A33" i="246" s="1"/>
  <c r="A34" i="246" s="1"/>
  <c r="A35" i="246" s="1"/>
  <c r="A36" i="246" s="1"/>
  <c r="A37" i="246" s="1"/>
  <c r="A38" i="246" s="1"/>
  <c r="A39" i="246" s="1"/>
  <c r="A40" i="246" s="1"/>
  <c r="A41" i="246" s="1"/>
  <c r="A6" i="240"/>
  <c r="A7" i="240" s="1"/>
  <c r="A8" i="240" s="1"/>
  <c r="A9" i="240" s="1"/>
  <c r="A10" i="240" s="1"/>
  <c r="A11" i="240" s="1"/>
  <c r="A12" i="240" s="1"/>
  <c r="A13" i="240" s="1"/>
  <c r="A14" i="240" s="1"/>
  <c r="V26" i="248"/>
  <c r="G26" i="248"/>
  <c r="H26" i="248"/>
  <c r="I26" i="248"/>
  <c r="J26" i="248"/>
  <c r="Q26" i="248"/>
  <c r="R26" i="248"/>
  <c r="X26" i="248"/>
  <c r="Y26" i="248"/>
  <c r="Z26" i="248"/>
  <c r="D26" i="248"/>
  <c r="E7" i="239"/>
  <c r="G7" i="239"/>
  <c r="H7" i="239"/>
  <c r="I7" i="239"/>
  <c r="J7" i="239"/>
  <c r="Q7" i="239"/>
  <c r="R7" i="239"/>
  <c r="V7" i="239"/>
  <c r="X7" i="239"/>
  <c r="Y7" i="239"/>
  <c r="Z7" i="239"/>
  <c r="AA7" i="239"/>
  <c r="D7" i="239"/>
  <c r="A7" i="239"/>
  <c r="Z10" i="12" s="1"/>
  <c r="H6" i="44"/>
  <c r="G6" i="44"/>
  <c r="E6" i="44"/>
  <c r="D6" i="44"/>
  <c r="H4" i="44"/>
  <c r="E83" i="253"/>
  <c r="G83" i="253"/>
  <c r="H83" i="253"/>
  <c r="I83" i="253"/>
  <c r="J83" i="253"/>
  <c r="Q83" i="253"/>
  <c r="R83" i="253"/>
  <c r="W83" i="253"/>
  <c r="X83" i="253"/>
  <c r="Y83" i="253"/>
  <c r="Z83" i="253"/>
  <c r="D14" i="38"/>
  <c r="P82" i="257" l="1"/>
  <c r="P94" i="256"/>
  <c r="L88" i="257"/>
  <c r="L103" i="256"/>
  <c r="P121" i="257"/>
  <c r="P100" i="256"/>
  <c r="P122" i="257"/>
  <c r="P101" i="256"/>
  <c r="L85" i="257"/>
  <c r="L98" i="256"/>
  <c r="L87" i="257"/>
  <c r="L102" i="256"/>
  <c r="P83" i="257"/>
  <c r="P95" i="256"/>
  <c r="L84" i="257"/>
  <c r="L97" i="256"/>
  <c r="L121" i="257"/>
  <c r="L100" i="256"/>
  <c r="L122" i="257"/>
  <c r="L101" i="256"/>
  <c r="L82" i="257"/>
  <c r="L94" i="256"/>
  <c r="P98" i="249"/>
  <c r="P88" i="257"/>
  <c r="P103" i="256"/>
  <c r="P113" i="257"/>
  <c r="P96" i="256"/>
  <c r="L86" i="257"/>
  <c r="L99" i="256"/>
  <c r="P102" i="249"/>
  <c r="L113" i="257"/>
  <c r="L96" i="256"/>
  <c r="P97" i="249"/>
  <c r="P99" i="249"/>
  <c r="L83" i="257"/>
  <c r="L95" i="256"/>
  <c r="M97" i="249"/>
  <c r="T97" i="249"/>
  <c r="M94" i="249"/>
  <c r="M96" i="249"/>
  <c r="M103" i="249"/>
  <c r="T103" i="249" s="1"/>
  <c r="M95" i="249"/>
  <c r="M101" i="249"/>
  <c r="M100" i="249"/>
  <c r="M102" i="249"/>
  <c r="P64" i="242"/>
  <c r="H8" i="44"/>
  <c r="U103" i="249" l="1"/>
  <c r="T88" i="257"/>
  <c r="T103" i="256"/>
  <c r="O102" i="249"/>
  <c r="M87" i="257"/>
  <c r="M102" i="256"/>
  <c r="O94" i="249"/>
  <c r="M82" i="257"/>
  <c r="M94" i="256"/>
  <c r="O100" i="249"/>
  <c r="M121" i="257"/>
  <c r="M100" i="256"/>
  <c r="O101" i="249"/>
  <c r="M122" i="257"/>
  <c r="M101" i="256"/>
  <c r="O95" i="249"/>
  <c r="M83" i="257"/>
  <c r="M95" i="256"/>
  <c r="O97" i="249"/>
  <c r="M84" i="257"/>
  <c r="M97" i="256"/>
  <c r="U97" i="249"/>
  <c r="T84" i="257"/>
  <c r="T97" i="256"/>
  <c r="O96" i="249"/>
  <c r="M113" i="257"/>
  <c r="M96" i="256"/>
  <c r="P85" i="257"/>
  <c r="P98" i="256"/>
  <c r="P87" i="257"/>
  <c r="P102" i="256"/>
  <c r="M98" i="249"/>
  <c r="O103" i="249"/>
  <c r="M88" i="257"/>
  <c r="M103" i="256"/>
  <c r="P86" i="257"/>
  <c r="P99" i="256"/>
  <c r="T102" i="249"/>
  <c r="M99" i="249"/>
  <c r="P84" i="257"/>
  <c r="P97" i="256"/>
  <c r="T100" i="249"/>
  <c r="T101" i="249"/>
  <c r="V103" i="249"/>
  <c r="V97" i="249"/>
  <c r="T95" i="249"/>
  <c r="T96" i="249"/>
  <c r="T94" i="249"/>
  <c r="M64" i="242"/>
  <c r="O64" i="242" s="1"/>
  <c r="C20" i="38"/>
  <c r="C10" i="38"/>
  <c r="O98" i="249" l="1"/>
  <c r="M85" i="257"/>
  <c r="M98" i="256"/>
  <c r="U96" i="249"/>
  <c r="T113" i="257"/>
  <c r="T96" i="256"/>
  <c r="U95" i="249"/>
  <c r="T83" i="257"/>
  <c r="T95" i="256"/>
  <c r="O99" i="249"/>
  <c r="M86" i="257"/>
  <c r="M99" i="256"/>
  <c r="O82" i="257"/>
  <c r="O94" i="256"/>
  <c r="V84" i="257"/>
  <c r="V97" i="256"/>
  <c r="U102" i="249"/>
  <c r="T87" i="257"/>
  <c r="T102" i="256"/>
  <c r="U84" i="257"/>
  <c r="U97" i="256"/>
  <c r="O122" i="257"/>
  <c r="O101" i="256"/>
  <c r="O83" i="257"/>
  <c r="O95" i="256"/>
  <c r="O87" i="257"/>
  <c r="O102" i="256"/>
  <c r="U101" i="249"/>
  <c r="T122" i="257"/>
  <c r="T101" i="256"/>
  <c r="O84" i="257"/>
  <c r="O97" i="256"/>
  <c r="T99" i="249"/>
  <c r="V88" i="257"/>
  <c r="V103" i="256"/>
  <c r="U94" i="249"/>
  <c r="T82" i="257"/>
  <c r="T94" i="256"/>
  <c r="T98" i="249"/>
  <c r="U100" i="249"/>
  <c r="T121" i="257"/>
  <c r="T100" i="256"/>
  <c r="O121" i="257"/>
  <c r="O100" i="256"/>
  <c r="O88" i="257"/>
  <c r="O103" i="256"/>
  <c r="O113" i="257"/>
  <c r="O96" i="256"/>
  <c r="U88" i="257"/>
  <c r="U103" i="256"/>
  <c r="V96" i="249"/>
  <c r="V94" i="249"/>
  <c r="V95" i="249"/>
  <c r="T64" i="242"/>
  <c r="U64" i="242" s="1"/>
  <c r="V64" i="242" s="1"/>
  <c r="H5" i="44"/>
  <c r="W24" i="12"/>
  <c r="F11" i="100"/>
  <c r="N13" i="245"/>
  <c r="N7" i="245"/>
  <c r="N6" i="245"/>
  <c r="N14" i="245" s="1"/>
  <c r="N11" i="243"/>
  <c r="N9" i="243"/>
  <c r="N8" i="243"/>
  <c r="N7" i="244"/>
  <c r="N5" i="244"/>
  <c r="N11" i="244" s="1"/>
  <c r="N7" i="247"/>
  <c r="N41" i="246"/>
  <c r="N35" i="246"/>
  <c r="N8" i="246"/>
  <c r="N6" i="240"/>
  <c r="N10" i="240"/>
  <c r="N7" i="240"/>
  <c r="N24" i="248"/>
  <c r="N24" i="261" s="1"/>
  <c r="N6" i="239"/>
  <c r="N60" i="242"/>
  <c r="N57" i="242"/>
  <c r="N52" i="242"/>
  <c r="N40" i="242"/>
  <c r="N31" i="242"/>
  <c r="N30" i="242"/>
  <c r="N26" i="242"/>
  <c r="N13" i="242"/>
  <c r="O85" i="257" l="1"/>
  <c r="O98" i="256"/>
  <c r="V100" i="249"/>
  <c r="U121" i="257"/>
  <c r="U100" i="256"/>
  <c r="V83" i="257"/>
  <c r="V95" i="256"/>
  <c r="U87" i="257"/>
  <c r="U102" i="256"/>
  <c r="V102" i="249"/>
  <c r="V82" i="257"/>
  <c r="V94" i="256"/>
  <c r="U82" i="257"/>
  <c r="U94" i="256"/>
  <c r="V101" i="249"/>
  <c r="U122" i="257"/>
  <c r="U101" i="256"/>
  <c r="U113" i="257"/>
  <c r="U96" i="256"/>
  <c r="U99" i="249"/>
  <c r="T86" i="257"/>
  <c r="T99" i="256"/>
  <c r="U83" i="257"/>
  <c r="U95" i="256"/>
  <c r="V113" i="257"/>
  <c r="V96" i="256"/>
  <c r="U98" i="249"/>
  <c r="T85" i="257"/>
  <c r="T98" i="256"/>
  <c r="O86" i="257"/>
  <c r="O99" i="256"/>
  <c r="N86" i="249"/>
  <c r="N63" i="249"/>
  <c r="N48" i="249"/>
  <c r="N47" i="249"/>
  <c r="N45" i="249"/>
  <c r="N83" i="249"/>
  <c r="N78" i="249"/>
  <c r="N72" i="249"/>
  <c r="N71" i="249"/>
  <c r="N69" i="249"/>
  <c r="N67" i="249"/>
  <c r="N66" i="249"/>
  <c r="N62" i="249"/>
  <c r="N60" i="249"/>
  <c r="N59" i="249"/>
  <c r="N50" i="249"/>
  <c r="N46" i="249"/>
  <c r="N41" i="249"/>
  <c r="N32" i="249"/>
  <c r="N23" i="249"/>
  <c r="N17" i="249"/>
  <c r="N15" i="249"/>
  <c r="N14" i="249"/>
  <c r="N11" i="249"/>
  <c r="N79" i="253"/>
  <c r="N78" i="253"/>
  <c r="N81" i="253"/>
  <c r="N80" i="253"/>
  <c r="N11" i="253"/>
  <c r="N46" i="253"/>
  <c r="N66" i="253"/>
  <c r="N36" i="253"/>
  <c r="N54" i="253"/>
  <c r="U86" i="257" l="1"/>
  <c r="U99" i="256"/>
  <c r="V99" i="249"/>
  <c r="V121" i="257"/>
  <c r="V100" i="256"/>
  <c r="V122" i="257"/>
  <c r="V101" i="256"/>
  <c r="V87" i="257"/>
  <c r="V102" i="256"/>
  <c r="U85" i="257"/>
  <c r="U98" i="256"/>
  <c r="V98" i="249"/>
  <c r="N46" i="255"/>
  <c r="N25" i="254"/>
  <c r="N36" i="255"/>
  <c r="N56" i="254"/>
  <c r="N11" i="255"/>
  <c r="N6" i="254"/>
  <c r="N80" i="255"/>
  <c r="N77" i="254"/>
  <c r="N81" i="255"/>
  <c r="N40" i="254"/>
  <c r="N78" i="255"/>
  <c r="N75" i="254"/>
  <c r="N66" i="255"/>
  <c r="N67" i="254"/>
  <c r="N54" i="255"/>
  <c r="N61" i="254"/>
  <c r="N79" i="255"/>
  <c r="N76" i="254"/>
  <c r="D17" i="253"/>
  <c r="H64" i="249"/>
  <c r="H104" i="249" s="1"/>
  <c r="V86" i="257" l="1"/>
  <c r="V99" i="256"/>
  <c r="V85" i="257"/>
  <c r="V98" i="256"/>
  <c r="D17" i="255"/>
  <c r="D81" i="254"/>
  <c r="AA66" i="249"/>
  <c r="AA30" i="249" l="1"/>
  <c r="AA104" i="249" s="1"/>
  <c r="N21" i="246" l="1"/>
  <c r="N12" i="246"/>
  <c r="N37" i="242" l="1"/>
  <c r="E20" i="241" l="1"/>
  <c r="G20" i="241"/>
  <c r="H20" i="241"/>
  <c r="I20" i="241"/>
  <c r="J20" i="241"/>
  <c r="N20" i="241"/>
  <c r="Q20" i="241"/>
  <c r="R20" i="241"/>
  <c r="W20" i="241"/>
  <c r="X20" i="241"/>
  <c r="Y20" i="241"/>
  <c r="Z20" i="241"/>
  <c r="AA20" i="241"/>
  <c r="K9" i="243"/>
  <c r="L9" i="243" s="1"/>
  <c r="P9" i="243" s="1"/>
  <c r="K6" i="243"/>
  <c r="L6" i="243" s="1"/>
  <c r="P6" i="243" s="1"/>
  <c r="K13" i="243"/>
  <c r="L13" i="243" s="1"/>
  <c r="P13" i="243" s="1"/>
  <c r="K5" i="243"/>
  <c r="K7" i="243"/>
  <c r="L7" i="243" s="1"/>
  <c r="P7" i="243" s="1"/>
  <c r="K11" i="243"/>
  <c r="L11" i="243" s="1"/>
  <c r="P11" i="243" s="1"/>
  <c r="K14" i="243"/>
  <c r="L14" i="243" s="1"/>
  <c r="P14" i="243" s="1"/>
  <c r="K10" i="243"/>
  <c r="L10" i="243" s="1"/>
  <c r="P10" i="243" s="1"/>
  <c r="K12" i="243"/>
  <c r="L12" i="243" s="1"/>
  <c r="P12" i="243" s="1"/>
  <c r="F9" i="243"/>
  <c r="F6" i="243"/>
  <c r="F13" i="243"/>
  <c r="F5" i="243"/>
  <c r="F7" i="243"/>
  <c r="F11" i="243"/>
  <c r="F14" i="243"/>
  <c r="F10" i="243"/>
  <c r="F12" i="243"/>
  <c r="N23" i="246"/>
  <c r="N38" i="246"/>
  <c r="N29" i="246"/>
  <c r="N24" i="246"/>
  <c r="N33" i="246"/>
  <c r="N37" i="246"/>
  <c r="N36" i="246"/>
  <c r="N9" i="246"/>
  <c r="N28" i="246"/>
  <c r="N14" i="246"/>
  <c r="N17" i="246"/>
  <c r="N9" i="240"/>
  <c r="N13" i="240"/>
  <c r="N5" i="240"/>
  <c r="S7" i="240"/>
  <c r="S13" i="240"/>
  <c r="S11" i="240"/>
  <c r="S9" i="240"/>
  <c r="S10" i="240"/>
  <c r="S6" i="240"/>
  <c r="S8" i="240"/>
  <c r="S12" i="240"/>
  <c r="K7" i="240"/>
  <c r="L7" i="240" s="1"/>
  <c r="P7" i="240" s="1"/>
  <c r="M7" i="240" s="1"/>
  <c r="K13" i="240"/>
  <c r="L13" i="240" s="1"/>
  <c r="P13" i="240" s="1"/>
  <c r="K11" i="240"/>
  <c r="L11" i="240" s="1"/>
  <c r="P11" i="240" s="1"/>
  <c r="K9" i="240"/>
  <c r="L9" i="240" s="1"/>
  <c r="P9" i="240" s="1"/>
  <c r="M9" i="240" s="1"/>
  <c r="K10" i="240"/>
  <c r="L10" i="240" s="1"/>
  <c r="P10" i="240" s="1"/>
  <c r="K6" i="240"/>
  <c r="L6" i="240" s="1"/>
  <c r="P6" i="240" s="1"/>
  <c r="M6" i="240" s="1"/>
  <c r="K8" i="240"/>
  <c r="L8" i="240" s="1"/>
  <c r="P8" i="240" s="1"/>
  <c r="K12" i="240"/>
  <c r="L12" i="240" s="1"/>
  <c r="P12" i="240" s="1"/>
  <c r="M12" i="240" s="1"/>
  <c r="O12" i="240" s="1"/>
  <c r="F13" i="240"/>
  <c r="F11" i="240"/>
  <c r="F10" i="240"/>
  <c r="F8" i="240"/>
  <c r="F12" i="240"/>
  <c r="N25" i="248"/>
  <c r="N25" i="261" s="1"/>
  <c r="N20" i="248"/>
  <c r="N20" i="261" s="1"/>
  <c r="N13" i="248"/>
  <c r="N13" i="261" s="1"/>
  <c r="N7" i="248"/>
  <c r="N7" i="261" s="1"/>
  <c r="N5" i="248"/>
  <c r="N5" i="261" s="1"/>
  <c r="S24" i="248"/>
  <c r="S24" i="261" s="1"/>
  <c r="S25" i="248"/>
  <c r="S25" i="261" s="1"/>
  <c r="S23" i="248"/>
  <c r="S23" i="261" s="1"/>
  <c r="S6" i="248"/>
  <c r="S6" i="261" s="1"/>
  <c r="S7" i="248"/>
  <c r="S7" i="261" s="1"/>
  <c r="S8" i="248"/>
  <c r="S8" i="261" s="1"/>
  <c r="S9" i="248"/>
  <c r="S9" i="261" s="1"/>
  <c r="S10" i="248"/>
  <c r="S10" i="261" s="1"/>
  <c r="S11" i="248"/>
  <c r="S11" i="261" s="1"/>
  <c r="S12" i="248"/>
  <c r="S12" i="261" s="1"/>
  <c r="S13" i="248"/>
  <c r="S13" i="261" s="1"/>
  <c r="S14" i="248"/>
  <c r="S14" i="261" s="1"/>
  <c r="S15" i="248"/>
  <c r="S15" i="261" s="1"/>
  <c r="S16" i="248"/>
  <c r="S16" i="261" s="1"/>
  <c r="S17" i="248"/>
  <c r="S17" i="261" s="1"/>
  <c r="S18" i="248"/>
  <c r="S18" i="261" s="1"/>
  <c r="S19" i="248"/>
  <c r="S19" i="261" s="1"/>
  <c r="S20" i="248"/>
  <c r="S20" i="261" s="1"/>
  <c r="S21" i="248"/>
  <c r="S21" i="261" s="1"/>
  <c r="S22" i="248"/>
  <c r="S22" i="261" s="1"/>
  <c r="K24" i="248"/>
  <c r="K25" i="248"/>
  <c r="K23" i="248"/>
  <c r="K6" i="248"/>
  <c r="K7" i="248"/>
  <c r="K8" i="248"/>
  <c r="K9" i="248"/>
  <c r="K10" i="248"/>
  <c r="K11" i="248"/>
  <c r="K12" i="248"/>
  <c r="K13" i="248"/>
  <c r="K14" i="248"/>
  <c r="K15" i="248"/>
  <c r="K16" i="248"/>
  <c r="K17" i="248"/>
  <c r="K18" i="248"/>
  <c r="K19" i="248"/>
  <c r="K20" i="248"/>
  <c r="K21" i="248"/>
  <c r="K22" i="248"/>
  <c r="F24" i="248"/>
  <c r="F24" i="261" s="1"/>
  <c r="F25" i="248"/>
  <c r="F25" i="261" s="1"/>
  <c r="F23" i="248"/>
  <c r="F23" i="261" s="1"/>
  <c r="F6" i="248"/>
  <c r="F6" i="261" s="1"/>
  <c r="F7" i="248"/>
  <c r="F7" i="261" s="1"/>
  <c r="F8" i="248"/>
  <c r="F8" i="261" s="1"/>
  <c r="F9" i="248"/>
  <c r="F9" i="261" s="1"/>
  <c r="F10" i="248"/>
  <c r="F10" i="261" s="1"/>
  <c r="F11" i="248"/>
  <c r="F11" i="261" s="1"/>
  <c r="F12" i="248"/>
  <c r="F12" i="261" s="1"/>
  <c r="F14" i="248"/>
  <c r="F14" i="261" s="1"/>
  <c r="F15" i="248"/>
  <c r="F15" i="261" s="1"/>
  <c r="F16" i="248"/>
  <c r="F16" i="261" s="1"/>
  <c r="F17" i="248"/>
  <c r="F17" i="261" s="1"/>
  <c r="F18" i="248"/>
  <c r="F18" i="261" s="1"/>
  <c r="F19" i="248"/>
  <c r="F19" i="261" s="1"/>
  <c r="F20" i="248"/>
  <c r="F20" i="261" s="1"/>
  <c r="F21" i="248"/>
  <c r="F21" i="261" s="1"/>
  <c r="F22" i="248"/>
  <c r="F22" i="261" s="1"/>
  <c r="N5" i="239"/>
  <c r="N7" i="239" s="1"/>
  <c r="L15" i="248" l="1"/>
  <c r="K15" i="261"/>
  <c r="L14" i="248"/>
  <c r="K14" i="261"/>
  <c r="L6" i="248"/>
  <c r="K6" i="261"/>
  <c r="N26" i="261"/>
  <c r="L11" i="97" s="1"/>
  <c r="L16" i="248"/>
  <c r="K16" i="261"/>
  <c r="L13" i="248"/>
  <c r="K13" i="261"/>
  <c r="L8" i="248"/>
  <c r="K8" i="261"/>
  <c r="L23" i="248"/>
  <c r="K23" i="261"/>
  <c r="L20" i="248"/>
  <c r="K20" i="261"/>
  <c r="L19" i="248"/>
  <c r="K19" i="261"/>
  <c r="L11" i="248"/>
  <c r="K11" i="261"/>
  <c r="L24" i="248"/>
  <c r="K24" i="261"/>
  <c r="L12" i="248"/>
  <c r="K12" i="261"/>
  <c r="L18" i="248"/>
  <c r="K18" i="261"/>
  <c r="L10" i="248"/>
  <c r="K10" i="261"/>
  <c r="L7" i="248"/>
  <c r="K7" i="261"/>
  <c r="L22" i="248"/>
  <c r="K22" i="261"/>
  <c r="L21" i="248"/>
  <c r="K21" i="261"/>
  <c r="L25" i="248"/>
  <c r="K25" i="261"/>
  <c r="L17" i="248"/>
  <c r="K17" i="261"/>
  <c r="L9" i="248"/>
  <c r="K9" i="261"/>
  <c r="L5" i="243"/>
  <c r="M13" i="240"/>
  <c r="O13" i="240" s="1"/>
  <c r="T13" i="240"/>
  <c r="U13" i="240" s="1"/>
  <c r="W13" i="240" s="1"/>
  <c r="M10" i="240"/>
  <c r="O10" i="240" s="1"/>
  <c r="N26" i="248"/>
  <c r="T7" i="240"/>
  <c r="U7" i="240" s="1"/>
  <c r="W7" i="240" s="1"/>
  <c r="T12" i="240"/>
  <c r="U12" i="240" s="1"/>
  <c r="W12" i="240" s="1"/>
  <c r="T9" i="240"/>
  <c r="U9" i="240" s="1"/>
  <c r="W9" i="240" s="1"/>
  <c r="M8" i="240"/>
  <c r="T6" i="240"/>
  <c r="U6" i="240" s="1"/>
  <c r="W6" i="240" s="1"/>
  <c r="M11" i="240"/>
  <c r="S9" i="243"/>
  <c r="S6" i="243"/>
  <c r="S13" i="243"/>
  <c r="S5" i="243"/>
  <c r="S7" i="243"/>
  <c r="S11" i="243"/>
  <c r="S14" i="243"/>
  <c r="S10" i="243"/>
  <c r="S12" i="243"/>
  <c r="N13" i="243"/>
  <c r="N15" i="243" s="1"/>
  <c r="P9" i="248" l="1"/>
  <c r="L9" i="261"/>
  <c r="P22" i="248"/>
  <c r="L22" i="261"/>
  <c r="P6" i="248"/>
  <c r="L6" i="261"/>
  <c r="P16" i="248"/>
  <c r="L16" i="261"/>
  <c r="P17" i="248"/>
  <c r="L17" i="261"/>
  <c r="P23" i="248"/>
  <c r="L23" i="261"/>
  <c r="P25" i="248"/>
  <c r="L25" i="261"/>
  <c r="P10" i="248"/>
  <c r="L10" i="261"/>
  <c r="P11" i="248"/>
  <c r="L11" i="261"/>
  <c r="P8" i="248"/>
  <c r="L8" i="261"/>
  <c r="P7" i="248"/>
  <c r="L7" i="261"/>
  <c r="P14" i="248"/>
  <c r="L14" i="261"/>
  <c r="P20" i="248"/>
  <c r="L20" i="261"/>
  <c r="P24" i="248"/>
  <c r="L24" i="261"/>
  <c r="P21" i="248"/>
  <c r="L21" i="261"/>
  <c r="P18" i="248"/>
  <c r="L18" i="261"/>
  <c r="P19" i="248"/>
  <c r="L19" i="261"/>
  <c r="P13" i="248"/>
  <c r="L13" i="261"/>
  <c r="P12" i="248"/>
  <c r="L12" i="261"/>
  <c r="P15" i="248"/>
  <c r="L15" i="261"/>
  <c r="P5" i="243"/>
  <c r="T10" i="240"/>
  <c r="U10" i="240" s="1"/>
  <c r="W10" i="240" s="1"/>
  <c r="O8" i="240"/>
  <c r="T8" i="240"/>
  <c r="U8" i="240" s="1"/>
  <c r="W8" i="240" s="1"/>
  <c r="O11" i="240"/>
  <c r="T11" i="240"/>
  <c r="U11" i="240" s="1"/>
  <c r="W11" i="240" s="1"/>
  <c r="S6" i="239"/>
  <c r="K6" i="239"/>
  <c r="L6" i="239" s="1"/>
  <c r="P6" i="239" s="1"/>
  <c r="F6" i="239"/>
  <c r="N50" i="242"/>
  <c r="N44" i="242"/>
  <c r="N24" i="242"/>
  <c r="N23" i="242"/>
  <c r="N10" i="242"/>
  <c r="N49" i="242"/>
  <c r="N51" i="242"/>
  <c r="N12" i="242"/>
  <c r="P10" i="261" l="1"/>
  <c r="M10" i="248"/>
  <c r="T10" i="248"/>
  <c r="P16" i="261"/>
  <c r="M16" i="248"/>
  <c r="T16" i="248" s="1"/>
  <c r="P18" i="261"/>
  <c r="M18" i="248"/>
  <c r="P14" i="261"/>
  <c r="M14" i="248"/>
  <c r="P12" i="261"/>
  <c r="M12" i="248"/>
  <c r="T12" i="248" s="1"/>
  <c r="P25" i="261"/>
  <c r="M25" i="248"/>
  <c r="T25" i="248" s="1"/>
  <c r="P7" i="261"/>
  <c r="M7" i="248"/>
  <c r="P24" i="261"/>
  <c r="M24" i="248"/>
  <c r="T24" i="248"/>
  <c r="P8" i="261"/>
  <c r="M8" i="248"/>
  <c r="P23" i="261"/>
  <c r="M23" i="248"/>
  <c r="P22" i="261"/>
  <c r="M22" i="248"/>
  <c r="P15" i="261"/>
  <c r="M15" i="248"/>
  <c r="T15" i="248"/>
  <c r="P21" i="261"/>
  <c r="M21" i="248"/>
  <c r="T21" i="248" s="1"/>
  <c r="P6" i="261"/>
  <c r="M6" i="248"/>
  <c r="P13" i="261"/>
  <c r="M13" i="248"/>
  <c r="P19" i="261"/>
  <c r="M19" i="248"/>
  <c r="P20" i="261"/>
  <c r="M20" i="248"/>
  <c r="P11" i="261"/>
  <c r="M11" i="248"/>
  <c r="P17" i="261"/>
  <c r="M17" i="248"/>
  <c r="P9" i="261"/>
  <c r="M9" i="248"/>
  <c r="D21" i="253"/>
  <c r="N82" i="253"/>
  <c r="U12" i="248" l="1"/>
  <c r="T12" i="261"/>
  <c r="O18" i="248"/>
  <c r="O18" i="261" s="1"/>
  <c r="M18" i="261"/>
  <c r="O15" i="248"/>
  <c r="O15" i="261" s="1"/>
  <c r="M15" i="261"/>
  <c r="U16" i="248"/>
  <c r="T16" i="261"/>
  <c r="T8" i="248"/>
  <c r="M8" i="261"/>
  <c r="O8" i="248"/>
  <c r="O8" i="261" s="1"/>
  <c r="U15" i="248"/>
  <c r="T15" i="261"/>
  <c r="T13" i="248"/>
  <c r="M13" i="261"/>
  <c r="O13" i="248"/>
  <c r="O13" i="261" s="1"/>
  <c r="O16" i="248"/>
  <c r="O16" i="261" s="1"/>
  <c r="M16" i="261"/>
  <c r="T18" i="248"/>
  <c r="M22" i="261"/>
  <c r="T22" i="248"/>
  <c r="O22" i="248"/>
  <c r="O22" i="261" s="1"/>
  <c r="O20" i="248"/>
  <c r="O20" i="261" s="1"/>
  <c r="M20" i="261"/>
  <c r="O6" i="248"/>
  <c r="O6" i="261" s="1"/>
  <c r="M6" i="261"/>
  <c r="T6" i="248"/>
  <c r="T7" i="248"/>
  <c r="M7" i="261"/>
  <c r="O7" i="248"/>
  <c r="O7" i="261" s="1"/>
  <c r="O10" i="248"/>
  <c r="O10" i="261" s="1"/>
  <c r="M10" i="261"/>
  <c r="M17" i="261"/>
  <c r="O17" i="248"/>
  <c r="O17" i="261" s="1"/>
  <c r="T17" i="248"/>
  <c r="U21" i="248"/>
  <c r="T21" i="261"/>
  <c r="U24" i="248"/>
  <c r="T24" i="261"/>
  <c r="O24" i="248"/>
  <c r="O24" i="261" s="1"/>
  <c r="M24" i="261"/>
  <c r="M23" i="261"/>
  <c r="T23" i="248"/>
  <c r="O23" i="248"/>
  <c r="O23" i="261" s="1"/>
  <c r="O14" i="248"/>
  <c r="O14" i="261" s="1"/>
  <c r="M14" i="261"/>
  <c r="U25" i="248"/>
  <c r="T25" i="261"/>
  <c r="M25" i="261"/>
  <c r="O25" i="248"/>
  <c r="O25" i="261" s="1"/>
  <c r="O11" i="248"/>
  <c r="O11" i="261" s="1"/>
  <c r="M11" i="261"/>
  <c r="T11" i="248"/>
  <c r="O12" i="248"/>
  <c r="O12" i="261" s="1"/>
  <c r="M12" i="261"/>
  <c r="U10" i="248"/>
  <c r="T10" i="261"/>
  <c r="M9" i="261"/>
  <c r="T9" i="248"/>
  <c r="O9" i="248"/>
  <c r="O9" i="261" s="1"/>
  <c r="T19" i="248"/>
  <c r="M19" i="261"/>
  <c r="O19" i="248"/>
  <c r="O19" i="261" s="1"/>
  <c r="M21" i="261"/>
  <c r="O21" i="248"/>
  <c r="O21" i="261" s="1"/>
  <c r="T14" i="248"/>
  <c r="T20" i="248"/>
  <c r="N82" i="255"/>
  <c r="N41" i="254"/>
  <c r="D21" i="255"/>
  <c r="D10" i="254"/>
  <c r="N35" i="253"/>
  <c r="N55" i="253"/>
  <c r="N16" i="253"/>
  <c r="N21" i="253"/>
  <c r="N43" i="253"/>
  <c r="N19" i="253"/>
  <c r="W16" i="248" l="1"/>
  <c r="W16" i="261" s="1"/>
  <c r="U16" i="261"/>
  <c r="W12" i="248"/>
  <c r="W12" i="261" s="1"/>
  <c r="U12" i="261"/>
  <c r="U13" i="248"/>
  <c r="T13" i="261"/>
  <c r="W10" i="248"/>
  <c r="W10" i="261" s="1"/>
  <c r="U10" i="261"/>
  <c r="U19" i="248"/>
  <c r="T19" i="261"/>
  <c r="W21" i="248"/>
  <c r="W21" i="261" s="1"/>
  <c r="U21" i="261"/>
  <c r="U7" i="248"/>
  <c r="U7" i="261" s="1"/>
  <c r="T7" i="261"/>
  <c r="W15" i="248"/>
  <c r="W15" i="261" s="1"/>
  <c r="U15" i="261"/>
  <c r="U11" i="248"/>
  <c r="T11" i="261"/>
  <c r="U17" i="248"/>
  <c r="T17" i="261"/>
  <c r="U6" i="248"/>
  <c r="T6" i="261"/>
  <c r="U18" i="248"/>
  <c r="T18" i="261"/>
  <c r="U8" i="248"/>
  <c r="T8" i="261"/>
  <c r="W25" i="248"/>
  <c r="W25" i="261" s="1"/>
  <c r="U25" i="261"/>
  <c r="W24" i="248"/>
  <c r="W24" i="261" s="1"/>
  <c r="U24" i="261"/>
  <c r="U22" i="248"/>
  <c r="T22" i="261"/>
  <c r="U20" i="248"/>
  <c r="T20" i="261"/>
  <c r="U9" i="248"/>
  <c r="T9" i="261"/>
  <c r="T23" i="261"/>
  <c r="U23" i="248"/>
  <c r="U23" i="261" s="1"/>
  <c r="U14" i="248"/>
  <c r="T14" i="261"/>
  <c r="N21" i="255"/>
  <c r="N10" i="254"/>
  <c r="N16" i="255"/>
  <c r="N8" i="254"/>
  <c r="N35" i="255"/>
  <c r="N17" i="254"/>
  <c r="N55" i="255"/>
  <c r="N30" i="254"/>
  <c r="N19" i="255"/>
  <c r="N50" i="254"/>
  <c r="N43" i="255"/>
  <c r="N22" i="254"/>
  <c r="S60" i="242"/>
  <c r="S61" i="242"/>
  <c r="S62" i="242"/>
  <c r="S63" i="242"/>
  <c r="S59" i="242"/>
  <c r="S7" i="242"/>
  <c r="S8" i="242"/>
  <c r="S9" i="242"/>
  <c r="S12" i="242"/>
  <c r="S13" i="242"/>
  <c r="S20" i="242"/>
  <c r="S22" i="242"/>
  <c r="S26" i="242"/>
  <c r="S28" i="242"/>
  <c r="S30" i="242"/>
  <c r="S31" i="242"/>
  <c r="S37" i="242"/>
  <c r="S40" i="242"/>
  <c r="S46" i="242"/>
  <c r="S49" i="242"/>
  <c r="S51" i="242"/>
  <c r="S52" i="242"/>
  <c r="S54" i="242"/>
  <c r="S6" i="242"/>
  <c r="S10" i="242"/>
  <c r="S14" i="242"/>
  <c r="S21" i="242"/>
  <c r="S23" i="242"/>
  <c r="S24" i="242"/>
  <c r="S33" i="242"/>
  <c r="S44" i="242"/>
  <c r="S50" i="242"/>
  <c r="S53" i="242"/>
  <c r="S57" i="242"/>
  <c r="S58" i="242"/>
  <c r="S11" i="242"/>
  <c r="S15" i="242"/>
  <c r="S16" i="242"/>
  <c r="S17" i="242"/>
  <c r="S18" i="242"/>
  <c r="S19" i="242"/>
  <c r="S25" i="242"/>
  <c r="S27" i="242"/>
  <c r="S29" i="242"/>
  <c r="S32" i="242"/>
  <c r="S34" i="242"/>
  <c r="S35" i="242"/>
  <c r="S36" i="242"/>
  <c r="S38" i="242"/>
  <c r="S39" i="242"/>
  <c r="S41" i="242"/>
  <c r="S42" i="242"/>
  <c r="S43" i="242"/>
  <c r="S45" i="242"/>
  <c r="S47" i="242"/>
  <c r="S48" i="242"/>
  <c r="S55" i="242"/>
  <c r="S56" i="242"/>
  <c r="K60" i="242"/>
  <c r="L60" i="242" s="1"/>
  <c r="P60" i="242" s="1"/>
  <c r="K61" i="242"/>
  <c r="L61" i="242" s="1"/>
  <c r="P61" i="242" s="1"/>
  <c r="K62" i="242"/>
  <c r="L62" i="242" s="1"/>
  <c r="P62" i="242" s="1"/>
  <c r="K63" i="242"/>
  <c r="L63" i="242" s="1"/>
  <c r="P63" i="242" s="1"/>
  <c r="K59" i="242"/>
  <c r="L59" i="242" s="1"/>
  <c r="K7" i="242"/>
  <c r="L7" i="242" s="1"/>
  <c r="P7" i="242" s="1"/>
  <c r="K8" i="242"/>
  <c r="L8" i="242" s="1"/>
  <c r="P8" i="242" s="1"/>
  <c r="K9" i="242"/>
  <c r="L9" i="242" s="1"/>
  <c r="P9" i="242" s="1"/>
  <c r="K12" i="242"/>
  <c r="L12" i="242" s="1"/>
  <c r="P12" i="242" s="1"/>
  <c r="K13" i="242"/>
  <c r="L13" i="242" s="1"/>
  <c r="P13" i="242" s="1"/>
  <c r="K20" i="242"/>
  <c r="L20" i="242" s="1"/>
  <c r="K22" i="242"/>
  <c r="L22" i="242" s="1"/>
  <c r="P22" i="242" s="1"/>
  <c r="K26" i="242"/>
  <c r="L26" i="242" s="1"/>
  <c r="P26" i="242" s="1"/>
  <c r="K28" i="242"/>
  <c r="L28" i="242" s="1"/>
  <c r="P28" i="242" s="1"/>
  <c r="K30" i="242"/>
  <c r="L30" i="242" s="1"/>
  <c r="P30" i="242" s="1"/>
  <c r="K31" i="242"/>
  <c r="L31" i="242" s="1"/>
  <c r="P31" i="242" s="1"/>
  <c r="K37" i="242"/>
  <c r="L37" i="242" s="1"/>
  <c r="P37" i="242" s="1"/>
  <c r="K40" i="242"/>
  <c r="L40" i="242" s="1"/>
  <c r="P40" i="242" s="1"/>
  <c r="K46" i="242"/>
  <c r="L46" i="242" s="1"/>
  <c r="P46" i="242" s="1"/>
  <c r="K49" i="242"/>
  <c r="L49" i="242" s="1"/>
  <c r="P49" i="242" s="1"/>
  <c r="K51" i="242"/>
  <c r="L51" i="242" s="1"/>
  <c r="P51" i="242" s="1"/>
  <c r="K52" i="242"/>
  <c r="L52" i="242" s="1"/>
  <c r="P52" i="242" s="1"/>
  <c r="K54" i="242"/>
  <c r="L54" i="242" s="1"/>
  <c r="P54" i="242" s="1"/>
  <c r="K6" i="242"/>
  <c r="L6" i="242" s="1"/>
  <c r="P6" i="242" s="1"/>
  <c r="K10" i="242"/>
  <c r="L10" i="242" s="1"/>
  <c r="P10" i="242" s="1"/>
  <c r="K14" i="242"/>
  <c r="L14" i="242" s="1"/>
  <c r="P14" i="242" s="1"/>
  <c r="K21" i="242"/>
  <c r="L21" i="242" s="1"/>
  <c r="P21" i="242" s="1"/>
  <c r="K23" i="242"/>
  <c r="L23" i="242" s="1"/>
  <c r="P23" i="242" s="1"/>
  <c r="K24" i="242"/>
  <c r="L24" i="242" s="1"/>
  <c r="P24" i="242" s="1"/>
  <c r="K33" i="242"/>
  <c r="L33" i="242" s="1"/>
  <c r="P33" i="242" s="1"/>
  <c r="K44" i="242"/>
  <c r="L44" i="242" s="1"/>
  <c r="P44" i="242" s="1"/>
  <c r="K50" i="242"/>
  <c r="L50" i="242" s="1"/>
  <c r="P50" i="242" s="1"/>
  <c r="K53" i="242"/>
  <c r="L53" i="242" s="1"/>
  <c r="P53" i="242" s="1"/>
  <c r="K57" i="242"/>
  <c r="L57" i="242" s="1"/>
  <c r="P57" i="242" s="1"/>
  <c r="K58" i="242"/>
  <c r="L58" i="242" s="1"/>
  <c r="P58" i="242" s="1"/>
  <c r="K11" i="242"/>
  <c r="L11" i="242" s="1"/>
  <c r="P11" i="242" s="1"/>
  <c r="K15" i="242"/>
  <c r="L15" i="242" s="1"/>
  <c r="P15" i="242" s="1"/>
  <c r="K16" i="242"/>
  <c r="K17" i="242"/>
  <c r="L17" i="242" s="1"/>
  <c r="P17" i="242" s="1"/>
  <c r="K18" i="242"/>
  <c r="L18" i="242" s="1"/>
  <c r="P18" i="242" s="1"/>
  <c r="K19" i="242"/>
  <c r="L19" i="242" s="1"/>
  <c r="P19" i="242" s="1"/>
  <c r="K25" i="242"/>
  <c r="L25" i="242" s="1"/>
  <c r="P25" i="242" s="1"/>
  <c r="K27" i="242"/>
  <c r="L27" i="242" s="1"/>
  <c r="P27" i="242" s="1"/>
  <c r="K29" i="242"/>
  <c r="L29" i="242" s="1"/>
  <c r="P29" i="242" s="1"/>
  <c r="K32" i="242"/>
  <c r="L32" i="242" s="1"/>
  <c r="P32" i="242" s="1"/>
  <c r="K34" i="242"/>
  <c r="L34" i="242" s="1"/>
  <c r="P34" i="242" s="1"/>
  <c r="K35" i="242"/>
  <c r="L35" i="242" s="1"/>
  <c r="K36" i="242"/>
  <c r="L36" i="242" s="1"/>
  <c r="P36" i="242" s="1"/>
  <c r="K38" i="242"/>
  <c r="L38" i="242" s="1"/>
  <c r="K39" i="242"/>
  <c r="L39" i="242" s="1"/>
  <c r="P39" i="242" s="1"/>
  <c r="K41" i="242"/>
  <c r="L41" i="242" s="1"/>
  <c r="P41" i="242" s="1"/>
  <c r="K42" i="242"/>
  <c r="L42" i="242" s="1"/>
  <c r="P42" i="242" s="1"/>
  <c r="K43" i="242"/>
  <c r="L43" i="242" s="1"/>
  <c r="P43" i="242" s="1"/>
  <c r="K45" i="242"/>
  <c r="L45" i="242" s="1"/>
  <c r="P45" i="242" s="1"/>
  <c r="K47" i="242"/>
  <c r="L47" i="242" s="1"/>
  <c r="P47" i="242" s="1"/>
  <c r="K48" i="242"/>
  <c r="L48" i="242" s="1"/>
  <c r="P48" i="242" s="1"/>
  <c r="K55" i="242"/>
  <c r="L55" i="242" s="1"/>
  <c r="P55" i="242" s="1"/>
  <c r="K56" i="242"/>
  <c r="L56" i="242" s="1"/>
  <c r="P56" i="242" s="1"/>
  <c r="F60" i="242"/>
  <c r="F61" i="242"/>
  <c r="F62" i="242"/>
  <c r="F63" i="242"/>
  <c r="F59" i="242"/>
  <c r="F8" i="242"/>
  <c r="F12" i="242"/>
  <c r="F20" i="242"/>
  <c r="F22" i="242"/>
  <c r="F26" i="242"/>
  <c r="F28" i="242"/>
  <c r="F30" i="242"/>
  <c r="F37" i="242"/>
  <c r="F40" i="242"/>
  <c r="F46" i="242"/>
  <c r="F49" i="242"/>
  <c r="F51" i="242"/>
  <c r="F52" i="242"/>
  <c r="F54" i="242"/>
  <c r="F6" i="242"/>
  <c r="F10" i="242"/>
  <c r="F14" i="242"/>
  <c r="F21" i="242"/>
  <c r="F23" i="242"/>
  <c r="F24" i="242"/>
  <c r="F33" i="242"/>
  <c r="F44" i="242"/>
  <c r="F50" i="242"/>
  <c r="F53" i="242"/>
  <c r="F57" i="242"/>
  <c r="F58" i="242"/>
  <c r="F15" i="242"/>
  <c r="F16" i="242"/>
  <c r="F17" i="242"/>
  <c r="F19" i="242"/>
  <c r="F29" i="242"/>
  <c r="F35" i="242"/>
  <c r="F36" i="242"/>
  <c r="F38" i="242"/>
  <c r="F39" i="242"/>
  <c r="F41" i="242"/>
  <c r="F42" i="242"/>
  <c r="F43" i="242"/>
  <c r="F47" i="242"/>
  <c r="F48" i="242"/>
  <c r="F55" i="242"/>
  <c r="F56" i="242"/>
  <c r="E121" i="249"/>
  <c r="E122" i="249" s="1"/>
  <c r="H121" i="249"/>
  <c r="H122" i="249" s="1"/>
  <c r="I121" i="249"/>
  <c r="I122" i="249" s="1"/>
  <c r="J121" i="249"/>
  <c r="J122" i="249" s="1"/>
  <c r="R121" i="249"/>
  <c r="R122" i="249" s="1"/>
  <c r="W121" i="249"/>
  <c r="W122" i="249" s="1"/>
  <c r="X121" i="249"/>
  <c r="X122" i="249" s="1"/>
  <c r="Y121" i="249"/>
  <c r="Y122" i="249" s="1"/>
  <c r="E15" i="68" s="1"/>
  <c r="Z121" i="249"/>
  <c r="Z122" i="249" s="1"/>
  <c r="S109" i="249"/>
  <c r="S110" i="249"/>
  <c r="S111" i="249"/>
  <c r="S112" i="249"/>
  <c r="S113" i="249"/>
  <c r="S114" i="249"/>
  <c r="S115" i="249"/>
  <c r="S116" i="249"/>
  <c r="S118" i="249"/>
  <c r="S119" i="249"/>
  <c r="S120" i="249"/>
  <c r="S108" i="249"/>
  <c r="S36" i="249"/>
  <c r="S37" i="249"/>
  <c r="S38" i="249"/>
  <c r="S39" i="249"/>
  <c r="S40" i="249"/>
  <c r="S41" i="249"/>
  <c r="S42" i="249"/>
  <c r="S43" i="249"/>
  <c r="S44" i="249"/>
  <c r="S45" i="249"/>
  <c r="S46" i="249"/>
  <c r="S47" i="249"/>
  <c r="S48" i="249"/>
  <c r="S49" i="249"/>
  <c r="S50" i="249"/>
  <c r="S51" i="249"/>
  <c r="S52" i="249"/>
  <c r="S53" i="249"/>
  <c r="S54" i="249"/>
  <c r="S55" i="249"/>
  <c r="S56" i="249"/>
  <c r="S57" i="249"/>
  <c r="S58" i="249"/>
  <c r="S59" i="249"/>
  <c r="S60" i="249"/>
  <c r="S61" i="249"/>
  <c r="S62" i="249"/>
  <c r="S63" i="249"/>
  <c r="S64" i="249"/>
  <c r="S65" i="249"/>
  <c r="S66" i="249"/>
  <c r="S67" i="249"/>
  <c r="S68" i="249"/>
  <c r="S69" i="249"/>
  <c r="S70" i="249"/>
  <c r="S71" i="249"/>
  <c r="S72" i="249"/>
  <c r="S73" i="249"/>
  <c r="S74" i="249"/>
  <c r="S75" i="249"/>
  <c r="S76" i="249"/>
  <c r="S77" i="249"/>
  <c r="S78" i="249"/>
  <c r="S79" i="249"/>
  <c r="S80" i="249"/>
  <c r="S81" i="249"/>
  <c r="S82" i="249"/>
  <c r="S83" i="249"/>
  <c r="S84" i="249"/>
  <c r="S85" i="249"/>
  <c r="S86" i="249"/>
  <c r="S87" i="249"/>
  <c r="S88" i="249"/>
  <c r="S89" i="249"/>
  <c r="S90" i="249"/>
  <c r="S91" i="249"/>
  <c r="S92" i="249"/>
  <c r="S93" i="249"/>
  <c r="S17" i="249"/>
  <c r="S18" i="249"/>
  <c r="S19" i="249"/>
  <c r="S20" i="249"/>
  <c r="S21" i="249"/>
  <c r="S22" i="249"/>
  <c r="S23" i="249"/>
  <c r="S24" i="249"/>
  <c r="S25" i="249"/>
  <c r="S26" i="249"/>
  <c r="S27" i="249"/>
  <c r="S28" i="249"/>
  <c r="S29" i="249"/>
  <c r="S30" i="249"/>
  <c r="S31" i="249"/>
  <c r="S32" i="249"/>
  <c r="S33" i="249"/>
  <c r="S34" i="249"/>
  <c r="S35" i="249"/>
  <c r="S12" i="249"/>
  <c r="S13" i="249"/>
  <c r="S14" i="249"/>
  <c r="S15" i="249"/>
  <c r="S16" i="249"/>
  <c r="S6" i="249"/>
  <c r="S7" i="249"/>
  <c r="S8" i="249"/>
  <c r="S9" i="249"/>
  <c r="S10" i="249"/>
  <c r="S11" i="249"/>
  <c r="P106" i="249"/>
  <c r="P107" i="249"/>
  <c r="K109" i="249"/>
  <c r="K110" i="249"/>
  <c r="K111" i="249"/>
  <c r="K112" i="249"/>
  <c r="K113" i="249"/>
  <c r="K114" i="249"/>
  <c r="K115" i="249"/>
  <c r="K116" i="249"/>
  <c r="K117" i="249"/>
  <c r="K118" i="249"/>
  <c r="K119" i="249"/>
  <c r="K120" i="249"/>
  <c r="K108" i="249"/>
  <c r="K6" i="249"/>
  <c r="K7" i="249"/>
  <c r="K8" i="249"/>
  <c r="K9" i="249"/>
  <c r="K10" i="249"/>
  <c r="K11" i="249"/>
  <c r="K12" i="249"/>
  <c r="K13" i="249"/>
  <c r="K14" i="249"/>
  <c r="K15" i="249"/>
  <c r="K16" i="249"/>
  <c r="K17" i="249"/>
  <c r="K18" i="249"/>
  <c r="K19" i="249"/>
  <c r="K20" i="249"/>
  <c r="K21" i="249"/>
  <c r="K22" i="249"/>
  <c r="K23" i="249"/>
  <c r="K24" i="249"/>
  <c r="K25" i="249"/>
  <c r="K26" i="249"/>
  <c r="K27" i="249"/>
  <c r="K28" i="249"/>
  <c r="K29" i="249"/>
  <c r="K30" i="249"/>
  <c r="K31" i="249"/>
  <c r="K32" i="249"/>
  <c r="K33" i="249"/>
  <c r="K34" i="249"/>
  <c r="K35" i="249"/>
  <c r="K36" i="249"/>
  <c r="K37" i="249"/>
  <c r="K38" i="249"/>
  <c r="K39" i="249"/>
  <c r="K40" i="249"/>
  <c r="K41" i="249"/>
  <c r="K42" i="249"/>
  <c r="K43" i="249"/>
  <c r="K44" i="249"/>
  <c r="K45" i="249"/>
  <c r="K46" i="249"/>
  <c r="K47" i="249"/>
  <c r="K48" i="249"/>
  <c r="K49" i="249"/>
  <c r="K50" i="249"/>
  <c r="K51" i="249"/>
  <c r="K52" i="249"/>
  <c r="K53" i="249"/>
  <c r="K54" i="249"/>
  <c r="K55" i="249"/>
  <c r="K56" i="249"/>
  <c r="K57" i="249"/>
  <c r="K58" i="249"/>
  <c r="K59" i="249"/>
  <c r="K60" i="249"/>
  <c r="K61" i="249"/>
  <c r="K62" i="249"/>
  <c r="K63" i="249"/>
  <c r="K64" i="249"/>
  <c r="K65" i="249"/>
  <c r="K66" i="249"/>
  <c r="K67" i="249"/>
  <c r="K68" i="249"/>
  <c r="K69" i="249"/>
  <c r="K70" i="249"/>
  <c r="K71" i="249"/>
  <c r="K72" i="249"/>
  <c r="K73" i="249"/>
  <c r="K74" i="249"/>
  <c r="K75" i="249"/>
  <c r="K76" i="249"/>
  <c r="K77" i="249"/>
  <c r="K78" i="249"/>
  <c r="K79" i="249"/>
  <c r="K80" i="249"/>
  <c r="K81" i="249"/>
  <c r="K82" i="249"/>
  <c r="K83" i="249"/>
  <c r="K84" i="249"/>
  <c r="K85" i="249"/>
  <c r="K86" i="249"/>
  <c r="K87" i="249"/>
  <c r="K88" i="249"/>
  <c r="K89" i="249"/>
  <c r="K90" i="249"/>
  <c r="K91" i="249"/>
  <c r="K92" i="249"/>
  <c r="K93" i="249"/>
  <c r="F109" i="249"/>
  <c r="F110" i="249"/>
  <c r="F111" i="249"/>
  <c r="F112" i="249"/>
  <c r="F113" i="249"/>
  <c r="F114" i="249"/>
  <c r="F115" i="249"/>
  <c r="F116" i="249"/>
  <c r="F118" i="249"/>
  <c r="F119" i="249"/>
  <c r="F108" i="249"/>
  <c r="F6" i="249"/>
  <c r="F8" i="249"/>
  <c r="F10" i="249"/>
  <c r="F11" i="249"/>
  <c r="F14" i="249"/>
  <c r="F15" i="249"/>
  <c r="F16" i="249"/>
  <c r="F17" i="249"/>
  <c r="F18" i="249"/>
  <c r="F19" i="249"/>
  <c r="F20" i="249"/>
  <c r="F21" i="249"/>
  <c r="F22" i="249"/>
  <c r="F23" i="249"/>
  <c r="F24" i="249"/>
  <c r="F25" i="249"/>
  <c r="F27" i="249"/>
  <c r="F28" i="249"/>
  <c r="F29" i="249"/>
  <c r="F30" i="249"/>
  <c r="F31" i="249"/>
  <c r="F32" i="249"/>
  <c r="F33" i="249"/>
  <c r="F34" i="249"/>
  <c r="F35" i="249"/>
  <c r="F36" i="249"/>
  <c r="F37" i="249"/>
  <c r="F38" i="249"/>
  <c r="F39" i="249"/>
  <c r="F40" i="249"/>
  <c r="F41" i="249"/>
  <c r="F42" i="249"/>
  <c r="F43" i="249"/>
  <c r="F44" i="249"/>
  <c r="F45" i="249"/>
  <c r="F46" i="249"/>
  <c r="F47" i="249"/>
  <c r="F48" i="249"/>
  <c r="F49" i="249"/>
  <c r="F50" i="249"/>
  <c r="F52" i="249"/>
  <c r="F53" i="249"/>
  <c r="F55" i="249"/>
  <c r="F57" i="249"/>
  <c r="F58" i="249"/>
  <c r="F59" i="249"/>
  <c r="F60" i="249"/>
  <c r="F61" i="249"/>
  <c r="F63" i="249"/>
  <c r="F64" i="249"/>
  <c r="F65" i="249"/>
  <c r="F66" i="249"/>
  <c r="F67" i="249"/>
  <c r="F69" i="249"/>
  <c r="F70" i="249"/>
  <c r="F72" i="249"/>
  <c r="F73" i="249"/>
  <c r="F74" i="249"/>
  <c r="F75" i="249"/>
  <c r="F76" i="249"/>
  <c r="F77" i="249"/>
  <c r="F81" i="249"/>
  <c r="F82" i="249"/>
  <c r="F83" i="249"/>
  <c r="F84" i="249"/>
  <c r="F87" i="249"/>
  <c r="F88" i="249"/>
  <c r="F91" i="249"/>
  <c r="F93" i="249"/>
  <c r="D18" i="253"/>
  <c r="W8" i="248" l="1"/>
  <c r="W8" i="261" s="1"/>
  <c r="U8" i="261"/>
  <c r="W14" i="248"/>
  <c r="W14" i="261" s="1"/>
  <c r="U14" i="261"/>
  <c r="W22" i="248"/>
  <c r="W22" i="261" s="1"/>
  <c r="U22" i="261"/>
  <c r="W18" i="248"/>
  <c r="W18" i="261" s="1"/>
  <c r="U18" i="261"/>
  <c r="W20" i="248"/>
  <c r="W20" i="261" s="1"/>
  <c r="U20" i="261"/>
  <c r="W13" i="248"/>
  <c r="W13" i="261" s="1"/>
  <c r="U13" i="261"/>
  <c r="W11" i="248"/>
  <c r="W11" i="261" s="1"/>
  <c r="U11" i="261"/>
  <c r="W9" i="248"/>
  <c r="W9" i="261" s="1"/>
  <c r="U9" i="261"/>
  <c r="W17" i="248"/>
  <c r="W17" i="261" s="1"/>
  <c r="U17" i="261"/>
  <c r="W19" i="248"/>
  <c r="W19" i="261" s="1"/>
  <c r="U19" i="261"/>
  <c r="W6" i="248"/>
  <c r="W6" i="261" s="1"/>
  <c r="U6" i="261"/>
  <c r="F9" i="257"/>
  <c r="F76" i="256"/>
  <c r="F71" i="257"/>
  <c r="F57" i="256"/>
  <c r="F8" i="257"/>
  <c r="F38" i="256"/>
  <c r="F21" i="257"/>
  <c r="F21" i="256"/>
  <c r="L84" i="249"/>
  <c r="K76" i="257"/>
  <c r="K84" i="256"/>
  <c r="L60" i="249"/>
  <c r="K110" i="257"/>
  <c r="K60" i="256"/>
  <c r="L36" i="249"/>
  <c r="K29" i="257"/>
  <c r="K36" i="256"/>
  <c r="L12" i="249"/>
  <c r="K17" i="257"/>
  <c r="K12" i="256"/>
  <c r="S7" i="257"/>
  <c r="S28" i="256"/>
  <c r="S42" i="257"/>
  <c r="S73" i="256"/>
  <c r="S119" i="256"/>
  <c r="S95" i="257"/>
  <c r="F77" i="257"/>
  <c r="F87" i="256"/>
  <c r="F43" i="257"/>
  <c r="F74" i="256"/>
  <c r="F115" i="257"/>
  <c r="F64" i="256"/>
  <c r="F119" i="257"/>
  <c r="F53" i="256"/>
  <c r="F124" i="257"/>
  <c r="F125" i="257" s="1"/>
  <c r="D15" i="97" s="1"/>
  <c r="F44" i="256"/>
  <c r="F29" i="257"/>
  <c r="F36" i="256"/>
  <c r="F7" i="257"/>
  <c r="F28" i="256"/>
  <c r="F62" i="257"/>
  <c r="F63" i="257" s="1"/>
  <c r="F19" i="256"/>
  <c r="F5" i="257"/>
  <c r="F8" i="256"/>
  <c r="F91" i="257"/>
  <c r="F113" i="256"/>
  <c r="L90" i="249"/>
  <c r="K79" i="257"/>
  <c r="K90" i="256"/>
  <c r="L82" i="249"/>
  <c r="K75" i="257"/>
  <c r="K82" i="256"/>
  <c r="L74" i="249"/>
  <c r="K43" i="257"/>
  <c r="K74" i="256"/>
  <c r="L66" i="249"/>
  <c r="K73" i="257"/>
  <c r="K66" i="256"/>
  <c r="L58" i="249"/>
  <c r="K72" i="257"/>
  <c r="K58" i="256"/>
  <c r="L50" i="249"/>
  <c r="K101" i="257"/>
  <c r="K50" i="256"/>
  <c r="L42" i="249"/>
  <c r="K32" i="257"/>
  <c r="K42" i="256"/>
  <c r="L34" i="249"/>
  <c r="K28" i="257"/>
  <c r="K34" i="256"/>
  <c r="L26" i="249"/>
  <c r="K6" i="257"/>
  <c r="K26" i="256"/>
  <c r="L18" i="249"/>
  <c r="K102" i="257"/>
  <c r="K18" i="256"/>
  <c r="L10" i="249"/>
  <c r="K15" i="257"/>
  <c r="K10" i="256"/>
  <c r="L118" i="249"/>
  <c r="K51" i="257"/>
  <c r="K118" i="256"/>
  <c r="L110" i="249"/>
  <c r="K56" i="257"/>
  <c r="K110" i="256"/>
  <c r="S64" i="257"/>
  <c r="S65" i="257" s="1"/>
  <c r="S7" i="256"/>
  <c r="S28" i="257"/>
  <c r="S34" i="256"/>
  <c r="S6" i="257"/>
  <c r="S26" i="256"/>
  <c r="S102" i="257"/>
  <c r="S18" i="256"/>
  <c r="S77" i="257"/>
  <c r="S87" i="256"/>
  <c r="S46" i="257"/>
  <c r="S79" i="256"/>
  <c r="S40" i="257"/>
  <c r="S71" i="256"/>
  <c r="S39" i="257"/>
  <c r="S63" i="256"/>
  <c r="S69" i="257"/>
  <c r="S55" i="256"/>
  <c r="S35" i="257"/>
  <c r="S47" i="256"/>
  <c r="S30" i="257"/>
  <c r="S39" i="256"/>
  <c r="S50" i="257"/>
  <c r="S116" i="256"/>
  <c r="F16" i="257"/>
  <c r="F11" i="256"/>
  <c r="L92" i="249"/>
  <c r="K80" i="257"/>
  <c r="K92" i="256"/>
  <c r="L68" i="249"/>
  <c r="K116" i="257"/>
  <c r="K68" i="256"/>
  <c r="L44" i="249"/>
  <c r="K124" i="257"/>
  <c r="K125" i="257" s="1"/>
  <c r="I15" i="97" s="1"/>
  <c r="K44" i="256"/>
  <c r="L20" i="249"/>
  <c r="K20" i="257"/>
  <c r="K20" i="256"/>
  <c r="L112" i="249"/>
  <c r="K90" i="257"/>
  <c r="K112" i="256"/>
  <c r="S17" i="257"/>
  <c r="S12" i="256"/>
  <c r="S78" i="257"/>
  <c r="S89" i="256"/>
  <c r="S59" i="257"/>
  <c r="S65" i="256"/>
  <c r="S68" i="257"/>
  <c r="S49" i="256"/>
  <c r="S56" i="257"/>
  <c r="S110" i="256"/>
  <c r="F76" i="257"/>
  <c r="F84" i="256"/>
  <c r="F42" i="257"/>
  <c r="F73" i="256"/>
  <c r="F39" i="257"/>
  <c r="F63" i="256"/>
  <c r="F38" i="257"/>
  <c r="F52" i="256"/>
  <c r="F52" i="257"/>
  <c r="F43" i="256"/>
  <c r="F107" i="257"/>
  <c r="F35" i="256"/>
  <c r="F66" i="257"/>
  <c r="F27" i="256"/>
  <c r="F102" i="257"/>
  <c r="F18" i="256"/>
  <c r="F13" i="257"/>
  <c r="F6" i="256"/>
  <c r="F90" i="257"/>
  <c r="F112" i="256"/>
  <c r="L89" i="249"/>
  <c r="K78" i="257"/>
  <c r="K89" i="256"/>
  <c r="L81" i="249"/>
  <c r="K74" i="257"/>
  <c r="K81" i="256"/>
  <c r="L73" i="249"/>
  <c r="K42" i="257"/>
  <c r="K73" i="256"/>
  <c r="L65" i="249"/>
  <c r="K59" i="257"/>
  <c r="K65" i="256"/>
  <c r="L57" i="249"/>
  <c r="K71" i="257"/>
  <c r="K57" i="256"/>
  <c r="L49" i="249"/>
  <c r="K68" i="257"/>
  <c r="K49" i="256"/>
  <c r="L41" i="249"/>
  <c r="K41" i="256"/>
  <c r="K67" i="257"/>
  <c r="L33" i="249"/>
  <c r="K33" i="256"/>
  <c r="K27" i="257"/>
  <c r="L25" i="249"/>
  <c r="K25" i="257"/>
  <c r="K25" i="256"/>
  <c r="L17" i="249"/>
  <c r="K58" i="257"/>
  <c r="K17" i="256"/>
  <c r="L9" i="249"/>
  <c r="K14" i="257"/>
  <c r="K9" i="256"/>
  <c r="L117" i="249"/>
  <c r="K94" i="257"/>
  <c r="K117" i="256"/>
  <c r="L109" i="249"/>
  <c r="K55" i="257"/>
  <c r="K109" i="256"/>
  <c r="S13" i="257"/>
  <c r="S6" i="256"/>
  <c r="S27" i="257"/>
  <c r="S33" i="256"/>
  <c r="S25" i="257"/>
  <c r="S25" i="256"/>
  <c r="S58" i="257"/>
  <c r="S17" i="256"/>
  <c r="S48" i="257"/>
  <c r="S86" i="256"/>
  <c r="S45" i="257"/>
  <c r="S78" i="256"/>
  <c r="S117" i="257"/>
  <c r="S70" i="256"/>
  <c r="S120" i="257"/>
  <c r="S62" i="256"/>
  <c r="S109" i="257"/>
  <c r="S54" i="256"/>
  <c r="S34" i="257"/>
  <c r="S46" i="256"/>
  <c r="S8" i="257"/>
  <c r="S38" i="256"/>
  <c r="S93" i="257"/>
  <c r="S115" i="256"/>
  <c r="F10" i="257"/>
  <c r="F91" i="256"/>
  <c r="F47" i="257"/>
  <c r="F83" i="256"/>
  <c r="F101" i="257"/>
  <c r="F50" i="256"/>
  <c r="F25" i="257"/>
  <c r="F25" i="256"/>
  <c r="F89" i="257"/>
  <c r="F111" i="256"/>
  <c r="L72" i="249"/>
  <c r="K41" i="257"/>
  <c r="K72" i="256"/>
  <c r="L48" i="249"/>
  <c r="K36" i="257"/>
  <c r="K48" i="256"/>
  <c r="L24" i="249"/>
  <c r="K24" i="257"/>
  <c r="K24" i="256"/>
  <c r="L116" i="249"/>
  <c r="K50" i="257"/>
  <c r="K116" i="256"/>
  <c r="S100" i="257"/>
  <c r="S32" i="256"/>
  <c r="S53" i="257"/>
  <c r="S77" i="256"/>
  <c r="S108" i="257"/>
  <c r="S37" i="256"/>
  <c r="F75" i="257"/>
  <c r="F82" i="256"/>
  <c r="F110" i="257"/>
  <c r="F60" i="256"/>
  <c r="F67" i="257"/>
  <c r="F41" i="256"/>
  <c r="F24" i="257"/>
  <c r="F24" i="256"/>
  <c r="F105" i="257"/>
  <c r="F16" i="256"/>
  <c r="F95" i="257"/>
  <c r="F119" i="256"/>
  <c r="F56" i="257"/>
  <c r="F110" i="256"/>
  <c r="L87" i="249"/>
  <c r="K77" i="257"/>
  <c r="K87" i="256"/>
  <c r="L79" i="249"/>
  <c r="K46" i="257"/>
  <c r="K79" i="256"/>
  <c r="L71" i="249"/>
  <c r="K40" i="257"/>
  <c r="K71" i="256"/>
  <c r="L63" i="249"/>
  <c r="K39" i="257"/>
  <c r="K63" i="256"/>
  <c r="L55" i="249"/>
  <c r="K69" i="257"/>
  <c r="K55" i="256"/>
  <c r="L47" i="249"/>
  <c r="K35" i="257"/>
  <c r="K47" i="256"/>
  <c r="L39" i="249"/>
  <c r="K30" i="257"/>
  <c r="K39" i="256"/>
  <c r="L31" i="249"/>
  <c r="K99" i="257"/>
  <c r="K31" i="256"/>
  <c r="L23" i="249"/>
  <c r="K23" i="257"/>
  <c r="K23" i="256"/>
  <c r="L15" i="249"/>
  <c r="K19" i="257"/>
  <c r="K15" i="256"/>
  <c r="L7" i="249"/>
  <c r="K64" i="257"/>
  <c r="K65" i="257" s="1"/>
  <c r="K7" i="256"/>
  <c r="L115" i="249"/>
  <c r="K93" i="257"/>
  <c r="K115" i="256"/>
  <c r="S19" i="257"/>
  <c r="S15" i="256"/>
  <c r="S99" i="257"/>
  <c r="S31" i="256"/>
  <c r="S23" i="257"/>
  <c r="S23" i="256"/>
  <c r="S80" i="257"/>
  <c r="S92" i="256"/>
  <c r="S76" i="257"/>
  <c r="S84" i="256"/>
  <c r="S9" i="257"/>
  <c r="S76" i="256"/>
  <c r="S116" i="257"/>
  <c r="S68" i="256"/>
  <c r="S110" i="257"/>
  <c r="S60" i="256"/>
  <c r="S38" i="257"/>
  <c r="S52" i="256"/>
  <c r="S124" i="257"/>
  <c r="S125" i="257" s="1"/>
  <c r="Q15" i="97" s="1"/>
  <c r="S44" i="256"/>
  <c r="S29" i="257"/>
  <c r="S36" i="256"/>
  <c r="S91" i="257"/>
  <c r="S113" i="256"/>
  <c r="F41" i="257"/>
  <c r="F72" i="256"/>
  <c r="F32" i="257"/>
  <c r="F42" i="256"/>
  <c r="F58" i="257"/>
  <c r="F17" i="256"/>
  <c r="L88" i="249"/>
  <c r="K112" i="257"/>
  <c r="K88" i="256"/>
  <c r="L64" i="249"/>
  <c r="K115" i="257"/>
  <c r="K64" i="256"/>
  <c r="L40" i="249"/>
  <c r="K31" i="257"/>
  <c r="K40" i="256"/>
  <c r="L16" i="249"/>
  <c r="K105" i="257"/>
  <c r="K16" i="256"/>
  <c r="S24" i="257"/>
  <c r="S24" i="256"/>
  <c r="S54" i="257"/>
  <c r="S85" i="256"/>
  <c r="S111" i="257"/>
  <c r="S61" i="256"/>
  <c r="S33" i="257"/>
  <c r="S45" i="256"/>
  <c r="F117" i="257"/>
  <c r="F70" i="256"/>
  <c r="F68" i="257"/>
  <c r="F49" i="256"/>
  <c r="F27" i="257"/>
  <c r="F33" i="256"/>
  <c r="F74" i="257"/>
  <c r="F81" i="256"/>
  <c r="F98" i="257"/>
  <c r="F69" i="256"/>
  <c r="F103" i="257"/>
  <c r="F59" i="256"/>
  <c r="F36" i="257"/>
  <c r="F48" i="256"/>
  <c r="F31" i="257"/>
  <c r="F40" i="256"/>
  <c r="F100" i="257"/>
  <c r="F32" i="256"/>
  <c r="F23" i="257"/>
  <c r="F23" i="256"/>
  <c r="F19" i="257"/>
  <c r="F15" i="256"/>
  <c r="F51" i="257"/>
  <c r="F118" i="256"/>
  <c r="F55" i="257"/>
  <c r="F109" i="256"/>
  <c r="L86" i="249"/>
  <c r="K48" i="257"/>
  <c r="K86" i="256"/>
  <c r="L78" i="249"/>
  <c r="K45" i="257"/>
  <c r="K78" i="256"/>
  <c r="L70" i="249"/>
  <c r="K117" i="257"/>
  <c r="K70" i="256"/>
  <c r="L62" i="249"/>
  <c r="K120" i="257"/>
  <c r="K62" i="256"/>
  <c r="L54" i="249"/>
  <c r="K109" i="257"/>
  <c r="K54" i="256"/>
  <c r="L46" i="249"/>
  <c r="K34" i="257"/>
  <c r="K46" i="256"/>
  <c r="L38" i="249"/>
  <c r="K8" i="257"/>
  <c r="K38" i="256"/>
  <c r="L30" i="249"/>
  <c r="K30" i="256"/>
  <c r="K106" i="257"/>
  <c r="L22" i="249"/>
  <c r="K22" i="257"/>
  <c r="K22" i="256"/>
  <c r="L14" i="249"/>
  <c r="K18" i="257"/>
  <c r="K14" i="256"/>
  <c r="L6" i="249"/>
  <c r="K13" i="257"/>
  <c r="K6" i="256"/>
  <c r="L114" i="249"/>
  <c r="K92" i="257"/>
  <c r="K114" i="256"/>
  <c r="S16" i="257"/>
  <c r="S11" i="256"/>
  <c r="S18" i="257"/>
  <c r="S14" i="256"/>
  <c r="S106" i="257"/>
  <c r="S30" i="256"/>
  <c r="S22" i="257"/>
  <c r="S22" i="256"/>
  <c r="S10" i="257"/>
  <c r="S91" i="256"/>
  <c r="S47" i="257"/>
  <c r="S83" i="256"/>
  <c r="S44" i="257"/>
  <c r="S75" i="256"/>
  <c r="S104" i="257"/>
  <c r="S67" i="256"/>
  <c r="S103" i="257"/>
  <c r="S59" i="256"/>
  <c r="S37" i="257"/>
  <c r="S51" i="256"/>
  <c r="S52" i="257"/>
  <c r="S43" i="256"/>
  <c r="S49" i="257"/>
  <c r="S108" i="256"/>
  <c r="S90" i="257"/>
  <c r="S112" i="256"/>
  <c r="F111" i="257"/>
  <c r="F61" i="256"/>
  <c r="F28" i="257"/>
  <c r="F34" i="256"/>
  <c r="F49" i="257"/>
  <c r="F108" i="256"/>
  <c r="L80" i="249"/>
  <c r="K60" i="257"/>
  <c r="K80" i="256"/>
  <c r="L56" i="249"/>
  <c r="K70" i="257"/>
  <c r="K56" i="256"/>
  <c r="L32" i="249"/>
  <c r="K100" i="257"/>
  <c r="K32" i="256"/>
  <c r="L8" i="249"/>
  <c r="K5" i="257"/>
  <c r="K8" i="256"/>
  <c r="S105" i="257"/>
  <c r="S16" i="256"/>
  <c r="S81" i="257"/>
  <c r="S93" i="256"/>
  <c r="S98" i="257"/>
  <c r="S69" i="256"/>
  <c r="S119" i="257"/>
  <c r="S123" i="257" s="1"/>
  <c r="Q14" i="97" s="1"/>
  <c r="S53" i="256"/>
  <c r="S92" i="257"/>
  <c r="S114" i="256"/>
  <c r="F81" i="257"/>
  <c r="F93" i="256"/>
  <c r="F53" i="257"/>
  <c r="F77" i="256"/>
  <c r="F104" i="257"/>
  <c r="F67" i="256"/>
  <c r="F72" i="257"/>
  <c r="F58" i="256"/>
  <c r="F35" i="257"/>
  <c r="F47" i="256"/>
  <c r="F30" i="257"/>
  <c r="F39" i="256"/>
  <c r="F99" i="257"/>
  <c r="F31" i="256"/>
  <c r="F22" i="257"/>
  <c r="F22" i="256"/>
  <c r="F18" i="257"/>
  <c r="F14" i="256"/>
  <c r="F50" i="257"/>
  <c r="F116" i="256"/>
  <c r="L93" i="249"/>
  <c r="K81" i="257"/>
  <c r="K93" i="256"/>
  <c r="L85" i="249"/>
  <c r="K54" i="257"/>
  <c r="K85" i="256"/>
  <c r="L77" i="249"/>
  <c r="K53" i="257"/>
  <c r="K77" i="256"/>
  <c r="L69" i="249"/>
  <c r="K98" i="257"/>
  <c r="K114" i="257" s="1"/>
  <c r="K69" i="256"/>
  <c r="L61" i="249"/>
  <c r="K111" i="257"/>
  <c r="K61" i="256"/>
  <c r="L53" i="249"/>
  <c r="K119" i="257"/>
  <c r="K123" i="257" s="1"/>
  <c r="I14" i="97" s="1"/>
  <c r="K53" i="256"/>
  <c r="L45" i="249"/>
  <c r="K33" i="257"/>
  <c r="K45" i="256"/>
  <c r="L37" i="249"/>
  <c r="K108" i="257"/>
  <c r="K37" i="256"/>
  <c r="L29" i="249"/>
  <c r="K26" i="257"/>
  <c r="K29" i="256"/>
  <c r="L21" i="249"/>
  <c r="K21" i="257"/>
  <c r="K21" i="256"/>
  <c r="L13" i="249"/>
  <c r="K126" i="257"/>
  <c r="K127" i="257" s="1"/>
  <c r="I18" i="97" s="1"/>
  <c r="K13" i="256"/>
  <c r="L108" i="249"/>
  <c r="K49" i="257"/>
  <c r="K108" i="256"/>
  <c r="L113" i="249"/>
  <c r="K91" i="257"/>
  <c r="K113" i="256"/>
  <c r="S15" i="257"/>
  <c r="S10" i="256"/>
  <c r="S126" i="257"/>
  <c r="S127" i="257" s="1"/>
  <c r="Q18" i="97" s="1"/>
  <c r="S13" i="256"/>
  <c r="S26" i="257"/>
  <c r="S29" i="256"/>
  <c r="S21" i="257"/>
  <c r="S21" i="256"/>
  <c r="S79" i="257"/>
  <c r="S90" i="256"/>
  <c r="S75" i="257"/>
  <c r="S82" i="256"/>
  <c r="S43" i="257"/>
  <c r="S74" i="256"/>
  <c r="S73" i="257"/>
  <c r="S66" i="256"/>
  <c r="S72" i="257"/>
  <c r="S58" i="256"/>
  <c r="S101" i="257"/>
  <c r="S50" i="256"/>
  <c r="S32" i="257"/>
  <c r="S42" i="256"/>
  <c r="S96" i="257"/>
  <c r="S120" i="256"/>
  <c r="S89" i="257"/>
  <c r="S111" i="256"/>
  <c r="F73" i="257"/>
  <c r="F66" i="256"/>
  <c r="F34" i="257"/>
  <c r="F46" i="256"/>
  <c r="F106" i="257"/>
  <c r="F30" i="256"/>
  <c r="F93" i="257"/>
  <c r="F115" i="256"/>
  <c r="L76" i="249"/>
  <c r="K9" i="257"/>
  <c r="K76" i="256"/>
  <c r="L52" i="249"/>
  <c r="K38" i="257"/>
  <c r="K52" i="256"/>
  <c r="L28" i="249"/>
  <c r="K7" i="257"/>
  <c r="K28" i="256"/>
  <c r="L120" i="249"/>
  <c r="L121" i="249" s="1"/>
  <c r="K96" i="257"/>
  <c r="K120" i="256"/>
  <c r="S14" i="257"/>
  <c r="S9" i="256"/>
  <c r="S20" i="257"/>
  <c r="S20" i="256"/>
  <c r="S74" i="257"/>
  <c r="S81" i="256"/>
  <c r="S71" i="257"/>
  <c r="S57" i="256"/>
  <c r="S67" i="257"/>
  <c r="S41" i="256"/>
  <c r="F112" i="257"/>
  <c r="F88" i="256"/>
  <c r="F44" i="257"/>
  <c r="F75" i="256"/>
  <c r="F59" i="257"/>
  <c r="F65" i="256"/>
  <c r="F69" i="257"/>
  <c r="F55" i="256"/>
  <c r="F33" i="257"/>
  <c r="F45" i="256"/>
  <c r="F108" i="257"/>
  <c r="F37" i="256"/>
  <c r="F26" i="257"/>
  <c r="F29" i="256"/>
  <c r="F20" i="257"/>
  <c r="F20" i="256"/>
  <c r="F15" i="257"/>
  <c r="F10" i="256"/>
  <c r="F92" i="257"/>
  <c r="F114" i="256"/>
  <c r="L91" i="249"/>
  <c r="K10" i="257"/>
  <c r="K91" i="256"/>
  <c r="L83" i="249"/>
  <c r="K47" i="257"/>
  <c r="K83" i="256"/>
  <c r="L75" i="249"/>
  <c r="K44" i="257"/>
  <c r="K75" i="256"/>
  <c r="L67" i="249"/>
  <c r="K104" i="257"/>
  <c r="K67" i="256"/>
  <c r="L59" i="249"/>
  <c r="K103" i="257"/>
  <c r="K59" i="256"/>
  <c r="L51" i="249"/>
  <c r="K37" i="257"/>
  <c r="K51" i="256"/>
  <c r="L43" i="249"/>
  <c r="K43" i="256"/>
  <c r="K52" i="257"/>
  <c r="L35" i="249"/>
  <c r="K107" i="257"/>
  <c r="K35" i="256"/>
  <c r="L27" i="249"/>
  <c r="K66" i="257"/>
  <c r="K27" i="256"/>
  <c r="L19" i="249"/>
  <c r="K62" i="257"/>
  <c r="K63" i="257" s="1"/>
  <c r="K19" i="256"/>
  <c r="L11" i="249"/>
  <c r="K16" i="257"/>
  <c r="K11" i="256"/>
  <c r="L119" i="249"/>
  <c r="K95" i="257"/>
  <c r="K119" i="256"/>
  <c r="L111" i="249"/>
  <c r="K89" i="257"/>
  <c r="K111" i="256"/>
  <c r="S5" i="257"/>
  <c r="S11" i="257" s="1"/>
  <c r="S8" i="256"/>
  <c r="S107" i="257"/>
  <c r="S35" i="256"/>
  <c r="S66" i="257"/>
  <c r="S27" i="256"/>
  <c r="S62" i="257"/>
  <c r="S63" i="257" s="1"/>
  <c r="S19" i="256"/>
  <c r="S112" i="257"/>
  <c r="S88" i="256"/>
  <c r="S60" i="257"/>
  <c r="S80" i="256"/>
  <c r="S41" i="257"/>
  <c r="S72" i="256"/>
  <c r="S115" i="257"/>
  <c r="S118" i="257" s="1"/>
  <c r="Q13" i="97" s="1"/>
  <c r="S64" i="256"/>
  <c r="S70" i="257"/>
  <c r="S56" i="256"/>
  <c r="S36" i="257"/>
  <c r="S48" i="256"/>
  <c r="S31" i="257"/>
  <c r="S40" i="256"/>
  <c r="S51" i="257"/>
  <c r="S118" i="256"/>
  <c r="S55" i="257"/>
  <c r="S109" i="256"/>
  <c r="D18" i="255"/>
  <c r="D49" i="254"/>
  <c r="M43" i="242"/>
  <c r="O43" i="242" s="1"/>
  <c r="M32" i="242"/>
  <c r="T32" i="242" s="1"/>
  <c r="U32" i="242" s="1"/>
  <c r="M15" i="242"/>
  <c r="O15" i="242" s="1"/>
  <c r="M24" i="242"/>
  <c r="O24" i="242" s="1"/>
  <c r="M51" i="242"/>
  <c r="O51" i="242" s="1"/>
  <c r="M58" i="242"/>
  <c r="T58" i="242" s="1"/>
  <c r="U58" i="242" s="1"/>
  <c r="M55" i="242"/>
  <c r="O55" i="242" s="1"/>
  <c r="M19" i="242"/>
  <c r="O19" i="242" s="1"/>
  <c r="M10" i="242"/>
  <c r="O10" i="242" s="1"/>
  <c r="M37" i="242"/>
  <c r="O37" i="242" s="1"/>
  <c r="M48" i="242"/>
  <c r="T48" i="242" s="1"/>
  <c r="U48" i="242" s="1"/>
  <c r="M36" i="242"/>
  <c r="O36" i="242" s="1"/>
  <c r="M18" i="242"/>
  <c r="T18" i="242" s="1"/>
  <c r="U18" i="242" s="1"/>
  <c r="M6" i="242"/>
  <c r="O6" i="242" s="1"/>
  <c r="M31" i="242"/>
  <c r="T31" i="242" s="1"/>
  <c r="U31" i="242" s="1"/>
  <c r="M9" i="242"/>
  <c r="T9" i="242" s="1"/>
  <c r="M42" i="242"/>
  <c r="O42" i="242" s="1"/>
  <c r="M29" i="242"/>
  <c r="O29" i="242" s="1"/>
  <c r="M11" i="242"/>
  <c r="T11" i="242" s="1"/>
  <c r="U11" i="242" s="1"/>
  <c r="M23" i="242"/>
  <c r="O23" i="242" s="1"/>
  <c r="M22" i="242"/>
  <c r="T22" i="242" s="1"/>
  <c r="M44" i="242"/>
  <c r="O44" i="242" s="1"/>
  <c r="M41" i="242"/>
  <c r="O41" i="242" s="1"/>
  <c r="M30" i="242"/>
  <c r="O30" i="242" s="1"/>
  <c r="M47" i="242"/>
  <c r="T47" i="242" s="1"/>
  <c r="U47" i="242" s="1"/>
  <c r="M46" i="242"/>
  <c r="T46" i="242" s="1"/>
  <c r="U46" i="242" s="1"/>
  <c r="M21" i="242"/>
  <c r="T21" i="242" s="1"/>
  <c r="M53" i="242"/>
  <c r="O53" i="242" s="1"/>
  <c r="M14" i="242"/>
  <c r="T14" i="242" s="1"/>
  <c r="M54" i="242"/>
  <c r="O54" i="242" s="1"/>
  <c r="M34" i="242"/>
  <c r="T34" i="242" s="1"/>
  <c r="U34" i="242" s="1"/>
  <c r="M8" i="242"/>
  <c r="O8" i="242" s="1"/>
  <c r="M26" i="242"/>
  <c r="O26" i="242" s="1"/>
  <c r="M17" i="242"/>
  <c r="O17" i="242" s="1"/>
  <c r="M12" i="242"/>
  <c r="O12" i="242" s="1"/>
  <c r="M50" i="242"/>
  <c r="O50" i="242" s="1"/>
  <c r="M49" i="242"/>
  <c r="O49" i="242" s="1"/>
  <c r="P59" i="242"/>
  <c r="P20" i="242"/>
  <c r="P35" i="242"/>
  <c r="M40" i="242"/>
  <c r="M13" i="242"/>
  <c r="M39" i="242"/>
  <c r="M33" i="242"/>
  <c r="O48" i="242"/>
  <c r="M52" i="242"/>
  <c r="M28" i="242"/>
  <c r="O58" i="242"/>
  <c r="M7" i="242"/>
  <c r="M45" i="242"/>
  <c r="M57" i="242"/>
  <c r="P93" i="249"/>
  <c r="P108" i="249"/>
  <c r="P61" i="249"/>
  <c r="K121" i="249"/>
  <c r="P119" i="249" l="1"/>
  <c r="L95" i="257"/>
  <c r="L119" i="256"/>
  <c r="K97" i="257"/>
  <c r="P67" i="249"/>
  <c r="L104" i="257"/>
  <c r="L67" i="256"/>
  <c r="P52" i="249"/>
  <c r="L38" i="257"/>
  <c r="L52" i="256"/>
  <c r="P113" i="249"/>
  <c r="L91" i="257"/>
  <c r="L113" i="256"/>
  <c r="L111" i="257"/>
  <c r="L61" i="256"/>
  <c r="P32" i="249"/>
  <c r="L100" i="257"/>
  <c r="L32" i="256"/>
  <c r="P38" i="249"/>
  <c r="L8" i="257"/>
  <c r="L38" i="256"/>
  <c r="P88" i="249"/>
  <c r="L112" i="257"/>
  <c r="L88" i="256"/>
  <c r="P39" i="249"/>
  <c r="L30" i="257"/>
  <c r="L39" i="256"/>
  <c r="K121" i="256"/>
  <c r="P17" i="249"/>
  <c r="L58" i="257"/>
  <c r="L17" i="256"/>
  <c r="P81" i="249"/>
  <c r="L74" i="257"/>
  <c r="L81" i="256"/>
  <c r="P92" i="249"/>
  <c r="L80" i="257"/>
  <c r="L92" i="256"/>
  <c r="P118" i="249"/>
  <c r="L51" i="257"/>
  <c r="L118" i="256"/>
  <c r="P66" i="249"/>
  <c r="L73" i="257"/>
  <c r="L66" i="256"/>
  <c r="P27" i="249"/>
  <c r="L66" i="257"/>
  <c r="L27" i="256"/>
  <c r="P91" i="249"/>
  <c r="L10" i="257"/>
  <c r="L91" i="256"/>
  <c r="P21" i="249"/>
  <c r="L21" i="257"/>
  <c r="L21" i="256"/>
  <c r="P85" i="249"/>
  <c r="L54" i="257"/>
  <c r="L85" i="256"/>
  <c r="L92" i="257"/>
  <c r="L114" i="256"/>
  <c r="P62" i="249"/>
  <c r="L120" i="257"/>
  <c r="L62" i="256"/>
  <c r="P115" i="249"/>
  <c r="L93" i="257"/>
  <c r="L115" i="256"/>
  <c r="P63" i="249"/>
  <c r="L39" i="257"/>
  <c r="L63" i="256"/>
  <c r="L50" i="257"/>
  <c r="L116" i="256"/>
  <c r="P41" i="249"/>
  <c r="L67" i="257"/>
  <c r="L41" i="256"/>
  <c r="P26" i="249"/>
  <c r="L6" i="257"/>
  <c r="L26" i="256"/>
  <c r="L79" i="257"/>
  <c r="L90" i="256"/>
  <c r="P36" i="249"/>
  <c r="L29" i="257"/>
  <c r="L36" i="256"/>
  <c r="P45" i="249"/>
  <c r="L33" i="257"/>
  <c r="L45" i="256"/>
  <c r="I12" i="97"/>
  <c r="P22" i="249"/>
  <c r="L22" i="257"/>
  <c r="L22" i="256"/>
  <c r="P86" i="249"/>
  <c r="L48" i="257"/>
  <c r="L86" i="256"/>
  <c r="P40" i="249"/>
  <c r="L31" i="257"/>
  <c r="L40" i="256"/>
  <c r="P23" i="249"/>
  <c r="L23" i="257"/>
  <c r="L23" i="256"/>
  <c r="P87" i="249"/>
  <c r="L77" i="257"/>
  <c r="L87" i="256"/>
  <c r="P72" i="249"/>
  <c r="L41" i="257"/>
  <c r="L72" i="256"/>
  <c r="P117" i="249"/>
  <c r="L94" i="257"/>
  <c r="L117" i="256"/>
  <c r="P65" i="249"/>
  <c r="L59" i="257"/>
  <c r="L65" i="256"/>
  <c r="P44" i="249"/>
  <c r="L124" i="257"/>
  <c r="L125" i="257" s="1"/>
  <c r="J15" i="97" s="1"/>
  <c r="L44" i="256"/>
  <c r="P50" i="249"/>
  <c r="L101" i="257"/>
  <c r="L50" i="256"/>
  <c r="P11" i="249"/>
  <c r="L16" i="257"/>
  <c r="L11" i="256"/>
  <c r="P75" i="249"/>
  <c r="L44" i="257"/>
  <c r="L75" i="256"/>
  <c r="P76" i="249"/>
  <c r="L9" i="257"/>
  <c r="L76" i="256"/>
  <c r="L49" i="257"/>
  <c r="L108" i="256"/>
  <c r="P69" i="249"/>
  <c r="L98" i="257"/>
  <c r="L69" i="256"/>
  <c r="L70" i="257"/>
  <c r="L56" i="256"/>
  <c r="P46" i="249"/>
  <c r="L34" i="257"/>
  <c r="L46" i="256"/>
  <c r="P47" i="249"/>
  <c r="L35" i="257"/>
  <c r="L47" i="256"/>
  <c r="P25" i="249"/>
  <c r="L25" i="257"/>
  <c r="L25" i="256"/>
  <c r="L78" i="257"/>
  <c r="L89" i="256"/>
  <c r="P10" i="249"/>
  <c r="L15" i="257"/>
  <c r="L10" i="256"/>
  <c r="P74" i="249"/>
  <c r="L43" i="257"/>
  <c r="L74" i="256"/>
  <c r="L96" i="257"/>
  <c r="L120" i="256"/>
  <c r="P35" i="249"/>
  <c r="L107" i="257"/>
  <c r="L35" i="256"/>
  <c r="P29" i="249"/>
  <c r="L26" i="257"/>
  <c r="L29" i="256"/>
  <c r="L81" i="257"/>
  <c r="L93" i="256"/>
  <c r="K11" i="257"/>
  <c r="P6" i="249"/>
  <c r="L13" i="257"/>
  <c r="L6" i="256"/>
  <c r="P70" i="249"/>
  <c r="L117" i="257"/>
  <c r="L70" i="256"/>
  <c r="K118" i="257"/>
  <c r="I13" i="97" s="1"/>
  <c r="P7" i="249"/>
  <c r="L64" i="257"/>
  <c r="L65" i="257" s="1"/>
  <c r="L7" i="256"/>
  <c r="P71" i="249"/>
  <c r="L40" i="257"/>
  <c r="L71" i="256"/>
  <c r="P24" i="249"/>
  <c r="L24" i="257"/>
  <c r="L24" i="256"/>
  <c r="P49" i="249"/>
  <c r="L68" i="257"/>
  <c r="L49" i="256"/>
  <c r="P112" i="249"/>
  <c r="L90" i="257"/>
  <c r="L112" i="256"/>
  <c r="P34" i="249"/>
  <c r="L28" i="257"/>
  <c r="L34" i="256"/>
  <c r="P60" i="249"/>
  <c r="L110" i="257"/>
  <c r="L60" i="256"/>
  <c r="P51" i="249"/>
  <c r="L37" i="257"/>
  <c r="L51" i="256"/>
  <c r="P111" i="249"/>
  <c r="L89" i="257"/>
  <c r="L111" i="256"/>
  <c r="P59" i="249"/>
  <c r="L103" i="257"/>
  <c r="L59" i="256"/>
  <c r="P28" i="249"/>
  <c r="L7" i="257"/>
  <c r="L28" i="256"/>
  <c r="P53" i="249"/>
  <c r="L119" i="257"/>
  <c r="L123" i="257" s="1"/>
  <c r="J14" i="97" s="1"/>
  <c r="L53" i="256"/>
  <c r="P8" i="249"/>
  <c r="L5" i="257"/>
  <c r="L8" i="256"/>
  <c r="P30" i="249"/>
  <c r="L106" i="257"/>
  <c r="L30" i="256"/>
  <c r="P64" i="249"/>
  <c r="L115" i="257"/>
  <c r="L118" i="257" s="1"/>
  <c r="J13" i="97" s="1"/>
  <c r="L64" i="256"/>
  <c r="P31" i="249"/>
  <c r="L99" i="257"/>
  <c r="L31" i="256"/>
  <c r="P9" i="249"/>
  <c r="L14" i="257"/>
  <c r="L9" i="256"/>
  <c r="P73" i="249"/>
  <c r="L42" i="257"/>
  <c r="L73" i="256"/>
  <c r="P68" i="249"/>
  <c r="L116" i="257"/>
  <c r="L68" i="256"/>
  <c r="P110" i="249"/>
  <c r="L56" i="257"/>
  <c r="L110" i="256"/>
  <c r="P58" i="249"/>
  <c r="L72" i="257"/>
  <c r="L58" i="256"/>
  <c r="M93" i="249"/>
  <c r="P81" i="257"/>
  <c r="P93" i="256"/>
  <c r="M61" i="249"/>
  <c r="P111" i="257"/>
  <c r="P61" i="256"/>
  <c r="L62" i="257"/>
  <c r="L63" i="257" s="1"/>
  <c r="L19" i="256"/>
  <c r="P83" i="249"/>
  <c r="L47" i="257"/>
  <c r="L83" i="256"/>
  <c r="P13" i="249"/>
  <c r="L126" i="257"/>
  <c r="L127" i="257" s="1"/>
  <c r="J18" i="97" s="1"/>
  <c r="L13" i="256"/>
  <c r="P77" i="249"/>
  <c r="L53" i="257"/>
  <c r="L77" i="256"/>
  <c r="S114" i="257"/>
  <c r="P80" i="249"/>
  <c r="L60" i="257"/>
  <c r="L80" i="256"/>
  <c r="P54" i="249"/>
  <c r="L109" i="257"/>
  <c r="L54" i="256"/>
  <c r="P55" i="249"/>
  <c r="L69" i="257"/>
  <c r="L55" i="256"/>
  <c r="S61" i="257"/>
  <c r="Q9" i="97" s="1"/>
  <c r="P33" i="249"/>
  <c r="L27" i="257"/>
  <c r="L33" i="256"/>
  <c r="P18" i="249"/>
  <c r="L102" i="257"/>
  <c r="L18" i="256"/>
  <c r="L75" i="257"/>
  <c r="L82" i="256"/>
  <c r="P12" i="249"/>
  <c r="L17" i="257"/>
  <c r="L12" i="256"/>
  <c r="M108" i="249"/>
  <c r="P49" i="257"/>
  <c r="P108" i="256"/>
  <c r="P43" i="249"/>
  <c r="L52" i="257"/>
  <c r="L43" i="256"/>
  <c r="P37" i="249"/>
  <c r="L108" i="257"/>
  <c r="L37" i="256"/>
  <c r="P14" i="249"/>
  <c r="L18" i="257"/>
  <c r="L14" i="256"/>
  <c r="P78" i="249"/>
  <c r="L45" i="257"/>
  <c r="L78" i="256"/>
  <c r="L105" i="257"/>
  <c r="L16" i="256"/>
  <c r="P15" i="249"/>
  <c r="L19" i="257"/>
  <c r="L15" i="256"/>
  <c r="P79" i="249"/>
  <c r="L46" i="257"/>
  <c r="L79" i="256"/>
  <c r="P48" i="249"/>
  <c r="L36" i="257"/>
  <c r="L48" i="256"/>
  <c r="L55" i="257"/>
  <c r="L109" i="256"/>
  <c r="K61" i="257"/>
  <c r="I9" i="97" s="1"/>
  <c r="P57" i="249"/>
  <c r="L71" i="257"/>
  <c r="L57" i="256"/>
  <c r="P20" i="249"/>
  <c r="L20" i="257"/>
  <c r="L20" i="256"/>
  <c r="P42" i="249"/>
  <c r="L32" i="257"/>
  <c r="L42" i="256"/>
  <c r="P84" i="249"/>
  <c r="L76" i="257"/>
  <c r="L84" i="256"/>
  <c r="T24" i="242"/>
  <c r="U24" i="242" s="1"/>
  <c r="T15" i="242"/>
  <c r="U15" i="242" s="1"/>
  <c r="T51" i="242"/>
  <c r="U51" i="242" s="1"/>
  <c r="T41" i="242"/>
  <c r="U41" i="242" s="1"/>
  <c r="T43" i="242"/>
  <c r="U43" i="242" s="1"/>
  <c r="T19" i="242"/>
  <c r="U19" i="242" s="1"/>
  <c r="T44" i="242"/>
  <c r="U44" i="242" s="1"/>
  <c r="T55" i="242"/>
  <c r="U55" i="242" s="1"/>
  <c r="T37" i="242"/>
  <c r="U37" i="242" s="1"/>
  <c r="T6" i="242"/>
  <c r="U6" i="242" s="1"/>
  <c r="T10" i="242"/>
  <c r="U10" i="242" s="1"/>
  <c r="T23" i="242"/>
  <c r="U23" i="242" s="1"/>
  <c r="T53" i="242"/>
  <c r="U53" i="242" s="1"/>
  <c r="T42" i="242"/>
  <c r="U42" i="242" s="1"/>
  <c r="T29" i="242"/>
  <c r="U29" i="242" s="1"/>
  <c r="T36" i="242"/>
  <c r="U36" i="242" s="1"/>
  <c r="T30" i="242"/>
  <c r="U30" i="242" s="1"/>
  <c r="O46" i="242"/>
  <c r="T49" i="242"/>
  <c r="U49" i="242" s="1"/>
  <c r="O47" i="242"/>
  <c r="T8" i="242"/>
  <c r="U8" i="242" s="1"/>
  <c r="T17" i="242"/>
  <c r="U17" i="242" s="1"/>
  <c r="T54" i="242"/>
  <c r="U54" i="242" s="1"/>
  <c r="T50" i="242"/>
  <c r="U50" i="242" s="1"/>
  <c r="M35" i="242"/>
  <c r="O35" i="242" s="1"/>
  <c r="M20" i="242"/>
  <c r="O20" i="242" s="1"/>
  <c r="T26" i="242"/>
  <c r="U26" i="242" s="1"/>
  <c r="T12" i="242"/>
  <c r="U12" i="242" s="1"/>
  <c r="O93" i="249"/>
  <c r="O61" i="249"/>
  <c r="T45" i="242"/>
  <c r="U45" i="242" s="1"/>
  <c r="O39" i="242"/>
  <c r="T39" i="242"/>
  <c r="U39" i="242" s="1"/>
  <c r="T7" i="242"/>
  <c r="O33" i="242"/>
  <c r="T33" i="242"/>
  <c r="U33" i="242" s="1"/>
  <c r="O28" i="242"/>
  <c r="T28" i="242"/>
  <c r="U28" i="242" s="1"/>
  <c r="T13" i="242"/>
  <c r="O57" i="242"/>
  <c r="T57" i="242"/>
  <c r="U57" i="242" s="1"/>
  <c r="O52" i="242"/>
  <c r="T52" i="242"/>
  <c r="U52" i="242" s="1"/>
  <c r="O40" i="242"/>
  <c r="T40" i="242"/>
  <c r="U40" i="242" s="1"/>
  <c r="T108" i="249"/>
  <c r="P99" i="257" l="1"/>
  <c r="P31" i="256"/>
  <c r="M31" i="249"/>
  <c r="L11" i="257"/>
  <c r="P37" i="257"/>
  <c r="P51" i="256"/>
  <c r="M51" i="249"/>
  <c r="T51" i="249" s="1"/>
  <c r="L121" i="256"/>
  <c r="P124" i="257"/>
  <c r="P125" i="257" s="1"/>
  <c r="N15" i="97" s="1"/>
  <c r="P44" i="256"/>
  <c r="M44" i="249"/>
  <c r="P10" i="257"/>
  <c r="P91" i="256"/>
  <c r="M91" i="249"/>
  <c r="M57" i="249"/>
  <c r="P71" i="257"/>
  <c r="P57" i="256"/>
  <c r="T57" i="249"/>
  <c r="P44" i="257"/>
  <c r="P75" i="256"/>
  <c r="M75" i="249"/>
  <c r="P6" i="257"/>
  <c r="P26" i="256"/>
  <c r="M26" i="249"/>
  <c r="P46" i="257"/>
  <c r="P79" i="256"/>
  <c r="M79" i="249"/>
  <c r="P45" i="257"/>
  <c r="P78" i="256"/>
  <c r="M78" i="249"/>
  <c r="P17" i="257"/>
  <c r="P12" i="256"/>
  <c r="M12" i="249"/>
  <c r="P27" i="257"/>
  <c r="P33" i="256"/>
  <c r="M33" i="249"/>
  <c r="T75" i="249"/>
  <c r="P32" i="257"/>
  <c r="P42" i="256"/>
  <c r="M42" i="249"/>
  <c r="P126" i="257"/>
  <c r="P127" i="257" s="1"/>
  <c r="N18" i="97" s="1"/>
  <c r="P13" i="256"/>
  <c r="P72" i="257"/>
  <c r="P58" i="256"/>
  <c r="M58" i="249"/>
  <c r="P5" i="257"/>
  <c r="P8" i="256"/>
  <c r="P90" i="257"/>
  <c r="P112" i="256"/>
  <c r="M112" i="249"/>
  <c r="P41" i="257"/>
  <c r="P72" i="256"/>
  <c r="M72" i="249"/>
  <c r="M22" i="249"/>
  <c r="T22" i="249" s="1"/>
  <c r="P22" i="257"/>
  <c r="P22" i="256"/>
  <c r="P29" i="257"/>
  <c r="P36" i="256"/>
  <c r="P51" i="257"/>
  <c r="P118" i="256"/>
  <c r="M118" i="249"/>
  <c r="L61" i="257"/>
  <c r="J9" i="97" s="1"/>
  <c r="P112" i="257"/>
  <c r="P88" i="256"/>
  <c r="M88" i="249"/>
  <c r="P109" i="257"/>
  <c r="P54" i="256"/>
  <c r="M54" i="249"/>
  <c r="P116" i="257"/>
  <c r="P68" i="256"/>
  <c r="M68" i="249"/>
  <c r="P35" i="257"/>
  <c r="P47" i="256"/>
  <c r="M47" i="249"/>
  <c r="P39" i="257"/>
  <c r="P63" i="256"/>
  <c r="M63" i="249"/>
  <c r="O81" i="257"/>
  <c r="O93" i="256"/>
  <c r="P52" i="257"/>
  <c r="P43" i="256"/>
  <c r="M43" i="249"/>
  <c r="P60" i="257"/>
  <c r="P80" i="256"/>
  <c r="M80" i="249"/>
  <c r="T61" i="249"/>
  <c r="M111" i="257"/>
  <c r="M61" i="256"/>
  <c r="M73" i="249"/>
  <c r="P42" i="257"/>
  <c r="P73" i="256"/>
  <c r="T73" i="249"/>
  <c r="P103" i="257"/>
  <c r="P59" i="256"/>
  <c r="M59" i="249"/>
  <c r="P40" i="257"/>
  <c r="P71" i="256"/>
  <c r="M71" i="249"/>
  <c r="P117" i="257"/>
  <c r="P70" i="256"/>
  <c r="M70" i="249"/>
  <c r="P34" i="257"/>
  <c r="P46" i="256"/>
  <c r="M46" i="249"/>
  <c r="P16" i="257"/>
  <c r="P11" i="256"/>
  <c r="M11" i="249"/>
  <c r="M41" i="249"/>
  <c r="P67" i="257"/>
  <c r="P41" i="256"/>
  <c r="T41" i="249"/>
  <c r="M115" i="249"/>
  <c r="P93" i="257"/>
  <c r="P115" i="256"/>
  <c r="P54" i="257"/>
  <c r="P85" i="256"/>
  <c r="M85" i="249"/>
  <c r="L97" i="257"/>
  <c r="P58" i="257"/>
  <c r="P61" i="257" s="1"/>
  <c r="N9" i="97" s="1"/>
  <c r="P17" i="256"/>
  <c r="M17" i="249"/>
  <c r="P104" i="257"/>
  <c r="P67" i="256"/>
  <c r="M67" i="249"/>
  <c r="P108" i="257"/>
  <c r="P37" i="256"/>
  <c r="M37" i="249"/>
  <c r="P7" i="257"/>
  <c r="P28" i="256"/>
  <c r="M28" i="249"/>
  <c r="P23" i="257"/>
  <c r="P23" i="256"/>
  <c r="T23" i="249"/>
  <c r="M23" i="249"/>
  <c r="P19" i="257"/>
  <c r="P15" i="256"/>
  <c r="M15" i="249"/>
  <c r="T15" i="249" s="1"/>
  <c r="Q12" i="97"/>
  <c r="P115" i="257"/>
  <c r="P118" i="257" s="1"/>
  <c r="N13" i="97" s="1"/>
  <c r="P64" i="256"/>
  <c r="M64" i="249"/>
  <c r="P110" i="257"/>
  <c r="P60" i="256"/>
  <c r="M60" i="249"/>
  <c r="P26" i="257"/>
  <c r="P29" i="256"/>
  <c r="M29" i="249"/>
  <c r="P43" i="257"/>
  <c r="P74" i="256"/>
  <c r="M74" i="249"/>
  <c r="M65" i="249"/>
  <c r="P59" i="257"/>
  <c r="P65" i="256"/>
  <c r="P31" i="257"/>
  <c r="P40" i="256"/>
  <c r="M40" i="249"/>
  <c r="P66" i="257"/>
  <c r="P27" i="256"/>
  <c r="M27" i="249"/>
  <c r="P38" i="257"/>
  <c r="P52" i="256"/>
  <c r="M52" i="249"/>
  <c r="P18" i="257"/>
  <c r="P14" i="256"/>
  <c r="P76" i="257"/>
  <c r="P84" i="256"/>
  <c r="M84" i="249"/>
  <c r="P20" i="257"/>
  <c r="P20" i="256"/>
  <c r="M20" i="249"/>
  <c r="P69" i="257"/>
  <c r="P55" i="256"/>
  <c r="M55" i="249"/>
  <c r="P47" i="257"/>
  <c r="P83" i="256"/>
  <c r="M83" i="249"/>
  <c r="T83" i="249" s="1"/>
  <c r="P56" i="257"/>
  <c r="P110" i="256"/>
  <c r="M110" i="249"/>
  <c r="P119" i="257"/>
  <c r="P53" i="256"/>
  <c r="M53" i="249"/>
  <c r="M49" i="249"/>
  <c r="T49" i="249" s="1"/>
  <c r="P68" i="257"/>
  <c r="P49" i="256"/>
  <c r="P25" i="257"/>
  <c r="P25" i="256"/>
  <c r="M25" i="249"/>
  <c r="P9" i="257"/>
  <c r="P76" i="256"/>
  <c r="M76" i="249"/>
  <c r="P77" i="257"/>
  <c r="P87" i="256"/>
  <c r="M87" i="249"/>
  <c r="P80" i="257"/>
  <c r="P92" i="256"/>
  <c r="M92" i="249"/>
  <c r="P8" i="257"/>
  <c r="P38" i="256"/>
  <c r="M38" i="249"/>
  <c r="P91" i="257"/>
  <c r="P113" i="256"/>
  <c r="M113" i="249"/>
  <c r="M81" i="249"/>
  <c r="T81" i="249" s="1"/>
  <c r="P74" i="257"/>
  <c r="P81" i="256"/>
  <c r="T37" i="249"/>
  <c r="P36" i="257"/>
  <c r="P48" i="256"/>
  <c r="M48" i="249"/>
  <c r="M49" i="257"/>
  <c r="M108" i="256"/>
  <c r="P102" i="257"/>
  <c r="P18" i="256"/>
  <c r="M18" i="249"/>
  <c r="T93" i="249"/>
  <c r="M81" i="257"/>
  <c r="M93" i="256"/>
  <c r="P14" i="257"/>
  <c r="P9" i="256"/>
  <c r="P89" i="257"/>
  <c r="P111" i="256"/>
  <c r="M111" i="249"/>
  <c r="P64" i="257"/>
  <c r="P65" i="257" s="1"/>
  <c r="P7" i="256"/>
  <c r="M7" i="249"/>
  <c r="P13" i="257"/>
  <c r="P6" i="256"/>
  <c r="M6" i="249"/>
  <c r="P101" i="257"/>
  <c r="P50" i="256"/>
  <c r="M50" i="249"/>
  <c r="P120" i="257"/>
  <c r="P62" i="256"/>
  <c r="M62" i="249"/>
  <c r="P21" i="257"/>
  <c r="P21" i="256"/>
  <c r="M21" i="249"/>
  <c r="P24" i="257"/>
  <c r="P24" i="256"/>
  <c r="M24" i="249"/>
  <c r="T24" i="249" s="1"/>
  <c r="P98" i="257"/>
  <c r="P69" i="256"/>
  <c r="M69" i="249"/>
  <c r="P100" i="257"/>
  <c r="P32" i="256"/>
  <c r="M32" i="249"/>
  <c r="T33" i="249"/>
  <c r="T49" i="257"/>
  <c r="T108" i="256"/>
  <c r="O111" i="257"/>
  <c r="O61" i="256"/>
  <c r="T63" i="249"/>
  <c r="P53" i="257"/>
  <c r="P77" i="256"/>
  <c r="M77" i="249"/>
  <c r="M30" i="249"/>
  <c r="T30" i="249" s="1"/>
  <c r="P106" i="257"/>
  <c r="P30" i="256"/>
  <c r="P28" i="257"/>
  <c r="P34" i="256"/>
  <c r="M34" i="249"/>
  <c r="P107" i="257"/>
  <c r="P35" i="256"/>
  <c r="P15" i="257"/>
  <c r="P10" i="256"/>
  <c r="M10" i="249"/>
  <c r="L114" i="257"/>
  <c r="J12" i="97" s="1"/>
  <c r="P94" i="257"/>
  <c r="P117" i="256"/>
  <c r="P48" i="257"/>
  <c r="P86" i="256"/>
  <c r="M86" i="249"/>
  <c r="P33" i="257"/>
  <c r="P45" i="256"/>
  <c r="M45" i="249"/>
  <c r="P73" i="257"/>
  <c r="P66" i="256"/>
  <c r="M66" i="249"/>
  <c r="P30" i="257"/>
  <c r="P39" i="256"/>
  <c r="M39" i="249"/>
  <c r="P95" i="257"/>
  <c r="P119" i="256"/>
  <c r="M119" i="249"/>
  <c r="T35" i="242"/>
  <c r="U35" i="242" s="1"/>
  <c r="T20" i="242"/>
  <c r="U20" i="242" s="1"/>
  <c r="U108" i="249"/>
  <c r="S72" i="253"/>
  <c r="S73" i="253"/>
  <c r="S74" i="253"/>
  <c r="S75" i="253"/>
  <c r="S76" i="253"/>
  <c r="S77" i="253"/>
  <c r="S78" i="253"/>
  <c r="S79" i="253"/>
  <c r="S80" i="253"/>
  <c r="S81" i="253"/>
  <c r="S82" i="253"/>
  <c r="S71" i="253"/>
  <c r="S12" i="253"/>
  <c r="S15" i="253"/>
  <c r="S19" i="253"/>
  <c r="S20" i="253"/>
  <c r="S54" i="253"/>
  <c r="S28" i="253"/>
  <c r="S31" i="253"/>
  <c r="S36" i="253"/>
  <c r="S41" i="253"/>
  <c r="S66" i="253"/>
  <c r="S40" i="253"/>
  <c r="S43" i="253"/>
  <c r="S21" i="253"/>
  <c r="S16" i="253"/>
  <c r="S26" i="253"/>
  <c r="S46" i="253"/>
  <c r="S65" i="253"/>
  <c r="S42" i="253"/>
  <c r="S70" i="253"/>
  <c r="S55" i="253"/>
  <c r="S53" i="253"/>
  <c r="S50" i="253"/>
  <c r="S45" i="253"/>
  <c r="S11" i="253"/>
  <c r="S5" i="253"/>
  <c r="S6" i="253"/>
  <c r="S7" i="253"/>
  <c r="S8" i="253"/>
  <c r="S9" i="253"/>
  <c r="S10" i="253"/>
  <c r="S13" i="253"/>
  <c r="S17" i="253"/>
  <c r="S18" i="253"/>
  <c r="S22" i="253"/>
  <c r="S23" i="253"/>
  <c r="S24" i="253"/>
  <c r="S25" i="253"/>
  <c r="S27" i="253"/>
  <c r="S29" i="253"/>
  <c r="S30" i="253"/>
  <c r="S32" i="253"/>
  <c r="S33" i="253"/>
  <c r="S34" i="253"/>
  <c r="S35" i="253"/>
  <c r="S37" i="253"/>
  <c r="S38" i="253"/>
  <c r="S39" i="253"/>
  <c r="S44" i="253"/>
  <c r="S47" i="253"/>
  <c r="S48" i="253"/>
  <c r="S49" i="253"/>
  <c r="S51" i="253"/>
  <c r="S52" i="253"/>
  <c r="S56" i="253"/>
  <c r="S57" i="253"/>
  <c r="S58" i="253"/>
  <c r="S59" i="253"/>
  <c r="S60" i="253"/>
  <c r="S61" i="253"/>
  <c r="S62" i="253"/>
  <c r="S63" i="253"/>
  <c r="S64" i="253"/>
  <c r="S67" i="253"/>
  <c r="S68" i="253"/>
  <c r="S69" i="253"/>
  <c r="L75" i="253"/>
  <c r="L76" i="253"/>
  <c r="L78" i="253"/>
  <c r="L80" i="253"/>
  <c r="K12" i="253"/>
  <c r="K15" i="253"/>
  <c r="K19" i="253"/>
  <c r="K20" i="253"/>
  <c r="K54" i="253"/>
  <c r="K28" i="253"/>
  <c r="K31" i="253"/>
  <c r="K36" i="253"/>
  <c r="K41" i="253"/>
  <c r="K66" i="253"/>
  <c r="K40" i="253"/>
  <c r="K43" i="253"/>
  <c r="K21" i="253"/>
  <c r="K16" i="253"/>
  <c r="K26" i="253"/>
  <c r="K46" i="253"/>
  <c r="K65" i="253"/>
  <c r="K42" i="253"/>
  <c r="K70" i="253"/>
  <c r="K55" i="253"/>
  <c r="K53" i="253"/>
  <c r="K50" i="253"/>
  <c r="K45" i="253"/>
  <c r="K11" i="253"/>
  <c r="K5" i="253"/>
  <c r="K6" i="253"/>
  <c r="K7" i="253"/>
  <c r="K8" i="253"/>
  <c r="K9" i="253"/>
  <c r="K10" i="253"/>
  <c r="K13" i="253"/>
  <c r="K17" i="253"/>
  <c r="K18" i="253"/>
  <c r="K22" i="253"/>
  <c r="K23" i="253"/>
  <c r="K24" i="253"/>
  <c r="K25" i="253"/>
  <c r="K27" i="253"/>
  <c r="K29" i="253"/>
  <c r="K30" i="253"/>
  <c r="K32" i="253"/>
  <c r="K33" i="253"/>
  <c r="K34" i="253"/>
  <c r="K35" i="253"/>
  <c r="K37" i="253"/>
  <c r="K38" i="253"/>
  <c r="K39" i="253"/>
  <c r="K44" i="253"/>
  <c r="K47" i="253"/>
  <c r="K48" i="253"/>
  <c r="K49" i="253"/>
  <c r="K51" i="253"/>
  <c r="K52" i="253"/>
  <c r="K56" i="253"/>
  <c r="K57" i="253"/>
  <c r="K58" i="253"/>
  <c r="K59" i="253"/>
  <c r="K60" i="253"/>
  <c r="K61" i="253"/>
  <c r="K62" i="253"/>
  <c r="K63" i="253"/>
  <c r="K64" i="253"/>
  <c r="K67" i="253"/>
  <c r="K68" i="253"/>
  <c r="K69" i="253"/>
  <c r="F72" i="253"/>
  <c r="F73" i="253"/>
  <c r="F74" i="253"/>
  <c r="F75" i="253"/>
  <c r="F76" i="253"/>
  <c r="F77" i="253"/>
  <c r="F78" i="253"/>
  <c r="F79" i="253"/>
  <c r="F80" i="253"/>
  <c r="F81" i="253"/>
  <c r="F82" i="253"/>
  <c r="F71" i="253"/>
  <c r="F54" i="253"/>
  <c r="F31" i="253"/>
  <c r="F36" i="253"/>
  <c r="F41" i="253"/>
  <c r="F66" i="253"/>
  <c r="F40" i="253"/>
  <c r="F21" i="253"/>
  <c r="F16" i="253"/>
  <c r="F26" i="253"/>
  <c r="F46" i="253"/>
  <c r="F65" i="253"/>
  <c r="F42" i="253"/>
  <c r="F70" i="253"/>
  <c r="F55" i="253"/>
  <c r="F53" i="253"/>
  <c r="F50" i="253"/>
  <c r="F45" i="253"/>
  <c r="F5" i="253"/>
  <c r="F6" i="253"/>
  <c r="F8" i="253"/>
  <c r="F9" i="253"/>
  <c r="F10" i="253"/>
  <c r="F13" i="253"/>
  <c r="F17" i="253"/>
  <c r="F18" i="253"/>
  <c r="F22" i="253"/>
  <c r="F24" i="253"/>
  <c r="F25" i="253"/>
  <c r="F27" i="253"/>
  <c r="F29" i="253"/>
  <c r="F30" i="253"/>
  <c r="F32" i="253"/>
  <c r="F34" i="253"/>
  <c r="F35" i="253"/>
  <c r="F38" i="253"/>
  <c r="F39" i="253"/>
  <c r="F47" i="253"/>
  <c r="F48" i="253"/>
  <c r="F49" i="253"/>
  <c r="F51" i="253"/>
  <c r="F56" i="253"/>
  <c r="F57" i="253"/>
  <c r="F58" i="253"/>
  <c r="F59" i="253"/>
  <c r="F60" i="253"/>
  <c r="F61" i="253"/>
  <c r="F62" i="253"/>
  <c r="F63" i="253"/>
  <c r="F64" i="253"/>
  <c r="F67" i="253"/>
  <c r="F68" i="253"/>
  <c r="F69" i="253"/>
  <c r="F12" i="253"/>
  <c r="F15" i="253"/>
  <c r="F19" i="253"/>
  <c r="U83" i="249" l="1"/>
  <c r="T47" i="257"/>
  <c r="T83" i="256"/>
  <c r="U49" i="249"/>
  <c r="T68" i="257"/>
  <c r="T49" i="256"/>
  <c r="U51" i="249"/>
  <c r="T37" i="257"/>
  <c r="T51" i="256"/>
  <c r="U22" i="249"/>
  <c r="T22" i="257"/>
  <c r="T22" i="256"/>
  <c r="U81" i="249"/>
  <c r="T74" i="257"/>
  <c r="T81" i="256"/>
  <c r="U30" i="249"/>
  <c r="T106" i="257"/>
  <c r="T30" i="256"/>
  <c r="U24" i="249"/>
  <c r="T24" i="257"/>
  <c r="T24" i="256"/>
  <c r="U15" i="249"/>
  <c r="T19" i="257"/>
  <c r="T15" i="256"/>
  <c r="T119" i="249"/>
  <c r="M95" i="257"/>
  <c r="M119" i="256"/>
  <c r="T50" i="249"/>
  <c r="M101" i="257"/>
  <c r="M50" i="256"/>
  <c r="U93" i="249"/>
  <c r="T81" i="257"/>
  <c r="T93" i="256"/>
  <c r="O87" i="249"/>
  <c r="M77" i="257"/>
  <c r="M87" i="256"/>
  <c r="T87" i="249"/>
  <c r="T110" i="249"/>
  <c r="M56" i="257"/>
  <c r="M110" i="256"/>
  <c r="O65" i="249"/>
  <c r="M59" i="257"/>
  <c r="M65" i="256"/>
  <c r="O17" i="249"/>
  <c r="M17" i="256"/>
  <c r="M58" i="257"/>
  <c r="T17" i="249"/>
  <c r="T71" i="249"/>
  <c r="M40" i="257"/>
  <c r="M71" i="256"/>
  <c r="O43" i="249"/>
  <c r="M52" i="257"/>
  <c r="M43" i="256"/>
  <c r="T43" i="249"/>
  <c r="O33" i="249"/>
  <c r="M27" i="257"/>
  <c r="M33" i="256"/>
  <c r="T45" i="249"/>
  <c r="M33" i="257"/>
  <c r="M45" i="256"/>
  <c r="O45" i="249"/>
  <c r="T32" i="249"/>
  <c r="M100" i="257"/>
  <c r="M32" i="256"/>
  <c r="T111" i="249"/>
  <c r="M89" i="257"/>
  <c r="M111" i="256"/>
  <c r="O18" i="249"/>
  <c r="M18" i="256"/>
  <c r="M102" i="257"/>
  <c r="O74" i="249"/>
  <c r="M43" i="257"/>
  <c r="M74" i="256"/>
  <c r="T74" i="249"/>
  <c r="O37" i="249"/>
  <c r="M108" i="257"/>
  <c r="M37" i="256"/>
  <c r="T115" i="249"/>
  <c r="M93" i="257"/>
  <c r="M115" i="256"/>
  <c r="O73" i="249"/>
  <c r="M42" i="257"/>
  <c r="M73" i="256"/>
  <c r="O47" i="249"/>
  <c r="M35" i="257"/>
  <c r="M47" i="256"/>
  <c r="T79" i="249"/>
  <c r="M46" i="257"/>
  <c r="M79" i="256"/>
  <c r="O44" i="249"/>
  <c r="M124" i="257"/>
  <c r="M125" i="257" s="1"/>
  <c r="K15" i="97" s="1"/>
  <c r="M44" i="256"/>
  <c r="T44" i="249"/>
  <c r="O10" i="249"/>
  <c r="M10" i="256"/>
  <c r="M15" i="257"/>
  <c r="T10" i="249"/>
  <c r="U63" i="249"/>
  <c r="T39" i="257"/>
  <c r="T63" i="256"/>
  <c r="O21" i="249"/>
  <c r="M21" i="256"/>
  <c r="M21" i="257"/>
  <c r="T21" i="249"/>
  <c r="T18" i="249"/>
  <c r="U37" i="249"/>
  <c r="T108" i="257"/>
  <c r="T37" i="256"/>
  <c r="O38" i="249"/>
  <c r="M8" i="257"/>
  <c r="M38" i="256"/>
  <c r="T38" i="249"/>
  <c r="O20" i="249"/>
  <c r="M20" i="256"/>
  <c r="M20" i="257"/>
  <c r="T20" i="249"/>
  <c r="T52" i="249"/>
  <c r="M38" i="257"/>
  <c r="M52" i="256"/>
  <c r="O52" i="249"/>
  <c r="T40" i="249"/>
  <c r="M31" i="257"/>
  <c r="M40" i="256"/>
  <c r="O40" i="249"/>
  <c r="O64" i="249"/>
  <c r="M115" i="257"/>
  <c r="M64" i="256"/>
  <c r="T64" i="249"/>
  <c r="M23" i="256"/>
  <c r="M23" i="257"/>
  <c r="U41" i="249"/>
  <c r="T67" i="257"/>
  <c r="T41" i="256"/>
  <c r="O46" i="249"/>
  <c r="M34" i="257"/>
  <c r="M46" i="256"/>
  <c r="T46" i="249"/>
  <c r="T88" i="249"/>
  <c r="M112" i="257"/>
  <c r="M88" i="256"/>
  <c r="O88" i="249"/>
  <c r="T112" i="249"/>
  <c r="M90" i="257"/>
  <c r="M112" i="256"/>
  <c r="U57" i="249"/>
  <c r="T71" i="257"/>
  <c r="T57" i="256"/>
  <c r="O31" i="249"/>
  <c r="M99" i="257"/>
  <c r="M31" i="256"/>
  <c r="T31" i="249"/>
  <c r="O39" i="249"/>
  <c r="M30" i="257"/>
  <c r="M39" i="256"/>
  <c r="T39" i="249"/>
  <c r="M6" i="256"/>
  <c r="M13" i="257"/>
  <c r="O6" i="249"/>
  <c r="T6" i="249"/>
  <c r="T76" i="249"/>
  <c r="M9" i="257"/>
  <c r="M76" i="256"/>
  <c r="O76" i="249"/>
  <c r="T23" i="257"/>
  <c r="T23" i="256"/>
  <c r="O59" i="249"/>
  <c r="M103" i="257"/>
  <c r="M59" i="256"/>
  <c r="T59" i="249"/>
  <c r="T12" i="249"/>
  <c r="M12" i="256"/>
  <c r="M17" i="257"/>
  <c r="T86" i="249"/>
  <c r="M48" i="257"/>
  <c r="M86" i="256"/>
  <c r="O69" i="249"/>
  <c r="M98" i="257"/>
  <c r="M69" i="256"/>
  <c r="O49" i="249"/>
  <c r="M68" i="257"/>
  <c r="M49" i="256"/>
  <c r="O83" i="249"/>
  <c r="M47" i="257"/>
  <c r="M83" i="256"/>
  <c r="O29" i="249"/>
  <c r="M26" i="257"/>
  <c r="M29" i="256"/>
  <c r="T29" i="249"/>
  <c r="O67" i="249"/>
  <c r="M104" i="257"/>
  <c r="M67" i="256"/>
  <c r="T85" i="249"/>
  <c r="M54" i="257"/>
  <c r="M85" i="256"/>
  <c r="U61" i="249"/>
  <c r="T111" i="257"/>
  <c r="T61" i="256"/>
  <c r="T68" i="249"/>
  <c r="M116" i="257"/>
  <c r="M68" i="256"/>
  <c r="M32" i="257"/>
  <c r="M42" i="256"/>
  <c r="O42" i="249"/>
  <c r="T42" i="249"/>
  <c r="T26" i="249"/>
  <c r="M6" i="257"/>
  <c r="M26" i="256"/>
  <c r="V108" i="249"/>
  <c r="U49" i="257"/>
  <c r="U108" i="256"/>
  <c r="O30" i="249"/>
  <c r="M106" i="257"/>
  <c r="M30" i="256"/>
  <c r="T62" i="249"/>
  <c r="M120" i="257"/>
  <c r="M62" i="256"/>
  <c r="T92" i="249"/>
  <c r="M80" i="257"/>
  <c r="M92" i="256"/>
  <c r="T53" i="249"/>
  <c r="M119" i="257"/>
  <c r="M123" i="257" s="1"/>
  <c r="M53" i="256"/>
  <c r="O53" i="249"/>
  <c r="O84" i="249"/>
  <c r="M76" i="257"/>
  <c r="M84" i="256"/>
  <c r="T84" i="249"/>
  <c r="T65" i="249"/>
  <c r="T67" i="249"/>
  <c r="O41" i="249"/>
  <c r="M67" i="257"/>
  <c r="M41" i="256"/>
  <c r="T70" i="249"/>
  <c r="M117" i="257"/>
  <c r="M70" i="256"/>
  <c r="O70" i="249"/>
  <c r="T80" i="249"/>
  <c r="M60" i="257"/>
  <c r="M80" i="256"/>
  <c r="T47" i="249"/>
  <c r="O57" i="249"/>
  <c r="M71" i="257"/>
  <c r="M57" i="256"/>
  <c r="O66" i="249"/>
  <c r="M73" i="257"/>
  <c r="M66" i="256"/>
  <c r="T66" i="249"/>
  <c r="O77" i="249"/>
  <c r="M53" i="257"/>
  <c r="M77" i="256"/>
  <c r="T7" i="249"/>
  <c r="M7" i="256"/>
  <c r="M64" i="257"/>
  <c r="M65" i="257" s="1"/>
  <c r="O81" i="249"/>
  <c r="M74" i="257"/>
  <c r="M81" i="256"/>
  <c r="T25" i="249"/>
  <c r="M25" i="257"/>
  <c r="M25" i="256"/>
  <c r="O27" i="249"/>
  <c r="M66" i="257"/>
  <c r="M27" i="256"/>
  <c r="T27" i="249"/>
  <c r="T28" i="249"/>
  <c r="M7" i="257"/>
  <c r="M28" i="256"/>
  <c r="O11" i="249"/>
  <c r="M11" i="256"/>
  <c r="M16" i="257"/>
  <c r="U73" i="249"/>
  <c r="T42" i="257"/>
  <c r="T73" i="256"/>
  <c r="O63" i="249"/>
  <c r="M39" i="257"/>
  <c r="M63" i="256"/>
  <c r="T118" i="249"/>
  <c r="M51" i="257"/>
  <c r="M118" i="256"/>
  <c r="O22" i="249"/>
  <c r="M22" i="256"/>
  <c r="M22" i="257"/>
  <c r="P11" i="257"/>
  <c r="T78" i="249"/>
  <c r="M45" i="257"/>
  <c r="M78" i="256"/>
  <c r="O91" i="249"/>
  <c r="M10" i="257"/>
  <c r="M91" i="256"/>
  <c r="T91" i="249"/>
  <c r="M37" i="257"/>
  <c r="M51" i="256"/>
  <c r="T34" i="249"/>
  <c r="M28" i="257"/>
  <c r="M34" i="256"/>
  <c r="O34" i="249"/>
  <c r="T77" i="249"/>
  <c r="U33" i="249"/>
  <c r="T27" i="257"/>
  <c r="T33" i="256"/>
  <c r="O24" i="249"/>
  <c r="M24" i="257"/>
  <c r="M24" i="256"/>
  <c r="M36" i="257"/>
  <c r="M48" i="256"/>
  <c r="T48" i="249"/>
  <c r="T113" i="249"/>
  <c r="M91" i="257"/>
  <c r="M113" i="256"/>
  <c r="P123" i="257"/>
  <c r="N14" i="97" s="1"/>
  <c r="O55" i="249"/>
  <c r="M69" i="257"/>
  <c r="M55" i="256"/>
  <c r="T55" i="249"/>
  <c r="O60" i="249"/>
  <c r="M110" i="257"/>
  <c r="M60" i="256"/>
  <c r="T60" i="249"/>
  <c r="O15" i="249"/>
  <c r="M15" i="256"/>
  <c r="M19" i="257"/>
  <c r="T11" i="249"/>
  <c r="T54" i="249"/>
  <c r="M109" i="257"/>
  <c r="M54" i="256"/>
  <c r="T72" i="249"/>
  <c r="M41" i="257"/>
  <c r="M72" i="256"/>
  <c r="T58" i="249"/>
  <c r="M72" i="257"/>
  <c r="M58" i="256"/>
  <c r="O58" i="249"/>
  <c r="U75" i="249"/>
  <c r="T44" i="257"/>
  <c r="T75" i="256"/>
  <c r="O75" i="249"/>
  <c r="M44" i="257"/>
  <c r="M75" i="256"/>
  <c r="T69" i="249"/>
  <c r="F49" i="255"/>
  <c r="F27" i="254"/>
  <c r="F13" i="255"/>
  <c r="F47" i="254"/>
  <c r="F53" i="255"/>
  <c r="F29" i="254"/>
  <c r="F21" i="255"/>
  <c r="F10" i="254"/>
  <c r="F82" i="255"/>
  <c r="F41" i="254"/>
  <c r="F74" i="255"/>
  <c r="F71" i="254"/>
  <c r="L62" i="253"/>
  <c r="K62" i="255"/>
  <c r="K64" i="254"/>
  <c r="L51" i="253"/>
  <c r="K51" i="255"/>
  <c r="K28" i="254"/>
  <c r="L35" i="253"/>
  <c r="K35" i="255"/>
  <c r="K17" i="254"/>
  <c r="L24" i="253"/>
  <c r="K24" i="255"/>
  <c r="K12" i="254"/>
  <c r="L8" i="253"/>
  <c r="K44" i="254"/>
  <c r="K8" i="255"/>
  <c r="L55" i="253"/>
  <c r="K55" i="255"/>
  <c r="K30" i="254"/>
  <c r="L43" i="253"/>
  <c r="K43" i="255"/>
  <c r="K22" i="254"/>
  <c r="L20" i="253"/>
  <c r="K9" i="254"/>
  <c r="K20" i="255"/>
  <c r="S69" i="255"/>
  <c r="S38" i="254"/>
  <c r="S59" i="255"/>
  <c r="S32" i="254"/>
  <c r="S47" i="255"/>
  <c r="S59" i="254"/>
  <c r="S54" i="254"/>
  <c r="S32" i="255"/>
  <c r="S49" i="254"/>
  <c r="S18" i="255"/>
  <c r="S5" i="255"/>
  <c r="S5" i="254"/>
  <c r="S65" i="255"/>
  <c r="S35" i="254"/>
  <c r="S41" i="255"/>
  <c r="S57" i="254"/>
  <c r="S46" i="254"/>
  <c r="S12" i="255"/>
  <c r="S76" i="255"/>
  <c r="S73" i="254"/>
  <c r="F34" i="255"/>
  <c r="F16" i="254"/>
  <c r="F15" i="255"/>
  <c r="F48" i="254"/>
  <c r="F40" i="255"/>
  <c r="F21" i="254"/>
  <c r="L61" i="253"/>
  <c r="K61" i="255"/>
  <c r="K34" i="254"/>
  <c r="L49" i="253"/>
  <c r="K49" i="255"/>
  <c r="K27" i="254"/>
  <c r="L34" i="253"/>
  <c r="K34" i="255"/>
  <c r="K16" i="254"/>
  <c r="L23" i="253"/>
  <c r="K23" i="255"/>
  <c r="K51" i="254"/>
  <c r="L7" i="253"/>
  <c r="K7" i="255"/>
  <c r="K43" i="254"/>
  <c r="L70" i="253"/>
  <c r="K70" i="255"/>
  <c r="K39" i="254"/>
  <c r="L40" i="253"/>
  <c r="K40" i="255"/>
  <c r="K21" i="254"/>
  <c r="L19" i="253"/>
  <c r="K19" i="255"/>
  <c r="K50" i="254"/>
  <c r="S68" i="255"/>
  <c r="S37" i="254"/>
  <c r="S58" i="255"/>
  <c r="S31" i="254"/>
  <c r="S44" i="255"/>
  <c r="S23" i="254"/>
  <c r="S15" i="254"/>
  <c r="S30" i="255"/>
  <c r="S17" i="255"/>
  <c r="S81" i="254"/>
  <c r="S11" i="255"/>
  <c r="S6" i="254"/>
  <c r="S46" i="255"/>
  <c r="S25" i="254"/>
  <c r="S56" i="254"/>
  <c r="S36" i="255"/>
  <c r="S71" i="255"/>
  <c r="S68" i="254"/>
  <c r="S75" i="255"/>
  <c r="S72" i="254"/>
  <c r="F19" i="255"/>
  <c r="F50" i="254"/>
  <c r="F10" i="255"/>
  <c r="F79" i="254"/>
  <c r="F9" i="255"/>
  <c r="F45" i="254"/>
  <c r="F80" i="255"/>
  <c r="F77" i="254"/>
  <c r="L60" i="253"/>
  <c r="K60" i="255"/>
  <c r="K33" i="254"/>
  <c r="L33" i="253"/>
  <c r="K33" i="255"/>
  <c r="K55" i="254"/>
  <c r="L6" i="253"/>
  <c r="K80" i="254"/>
  <c r="K6" i="255"/>
  <c r="L42" i="253"/>
  <c r="K42" i="255"/>
  <c r="K58" i="254"/>
  <c r="L66" i="253"/>
  <c r="K66" i="255"/>
  <c r="K67" i="254"/>
  <c r="L15" i="253"/>
  <c r="K15" i="255"/>
  <c r="K48" i="254"/>
  <c r="S67" i="255"/>
  <c r="S36" i="254"/>
  <c r="S57" i="255"/>
  <c r="S63" i="254"/>
  <c r="S39" i="255"/>
  <c r="S20" i="254"/>
  <c r="S29" i="255"/>
  <c r="S82" i="254"/>
  <c r="S13" i="255"/>
  <c r="S47" i="254"/>
  <c r="S45" i="255"/>
  <c r="S24" i="254"/>
  <c r="S13" i="254"/>
  <c r="S26" i="255"/>
  <c r="S31" i="255"/>
  <c r="S53" i="254"/>
  <c r="S82" i="255"/>
  <c r="S41" i="254"/>
  <c r="S74" i="255"/>
  <c r="S71" i="254"/>
  <c r="F30" i="255"/>
  <c r="F15" i="254"/>
  <c r="F61" i="255"/>
  <c r="F34" i="254"/>
  <c r="F55" i="255"/>
  <c r="F30" i="254"/>
  <c r="F12" i="255"/>
  <c r="F46" i="254"/>
  <c r="F27" i="255"/>
  <c r="F84" i="254"/>
  <c r="F85" i="254" s="1"/>
  <c r="F70" i="255"/>
  <c r="F39" i="254"/>
  <c r="F66" i="255"/>
  <c r="F67" i="254"/>
  <c r="F72" i="255"/>
  <c r="F69" i="254"/>
  <c r="L48" i="253"/>
  <c r="K26" i="254"/>
  <c r="K48" i="255"/>
  <c r="L22" i="253"/>
  <c r="K11" i="254"/>
  <c r="K22" i="255"/>
  <c r="F69" i="255"/>
  <c r="F38" i="254"/>
  <c r="F59" i="255"/>
  <c r="F32" i="254"/>
  <c r="F39" i="255"/>
  <c r="F20" i="254"/>
  <c r="F25" i="255"/>
  <c r="F52" i="254"/>
  <c r="F8" i="255"/>
  <c r="F44" i="254"/>
  <c r="F42" i="255"/>
  <c r="F58" i="254"/>
  <c r="F41" i="255"/>
  <c r="F57" i="254"/>
  <c r="F79" i="255"/>
  <c r="F76" i="254"/>
  <c r="L69" i="253"/>
  <c r="K69" i="255"/>
  <c r="K38" i="254"/>
  <c r="L59" i="253"/>
  <c r="K59" i="255"/>
  <c r="K32" i="254"/>
  <c r="L47" i="253"/>
  <c r="K47" i="255"/>
  <c r="K59" i="254"/>
  <c r="L32" i="253"/>
  <c r="K32" i="255"/>
  <c r="K54" i="254"/>
  <c r="L18" i="253"/>
  <c r="K18" i="255"/>
  <c r="K49" i="254"/>
  <c r="K5" i="255"/>
  <c r="K5" i="254"/>
  <c r="L65" i="253"/>
  <c r="K65" i="255"/>
  <c r="K35" i="254"/>
  <c r="L41" i="253"/>
  <c r="K41" i="255"/>
  <c r="K57" i="254"/>
  <c r="L12" i="253"/>
  <c r="K12" i="255"/>
  <c r="K46" i="254"/>
  <c r="S64" i="255"/>
  <c r="S66" i="254"/>
  <c r="S56" i="255"/>
  <c r="S62" i="254"/>
  <c r="S38" i="255"/>
  <c r="S19" i="254"/>
  <c r="S27" i="255"/>
  <c r="S84" i="254"/>
  <c r="S85" i="254" s="1"/>
  <c r="S79" i="254"/>
  <c r="S10" i="255"/>
  <c r="S50" i="255"/>
  <c r="S60" i="254"/>
  <c r="S8" i="254"/>
  <c r="S16" i="255"/>
  <c r="S14" i="254"/>
  <c r="S28" i="255"/>
  <c r="S81" i="255"/>
  <c r="S40" i="254"/>
  <c r="S73" i="255"/>
  <c r="S70" i="254"/>
  <c r="F64" i="255"/>
  <c r="F66" i="254"/>
  <c r="F29" i="255"/>
  <c r="F82" i="254"/>
  <c r="F81" i="255"/>
  <c r="F40" i="254"/>
  <c r="F60" i="255"/>
  <c r="F33" i="254"/>
  <c r="F38" i="255"/>
  <c r="F19" i="254"/>
  <c r="F6" i="255"/>
  <c r="F80" i="254"/>
  <c r="F65" i="255"/>
  <c r="F35" i="254"/>
  <c r="F36" i="255"/>
  <c r="F56" i="254"/>
  <c r="F78" i="255"/>
  <c r="F75" i="254"/>
  <c r="L68" i="253"/>
  <c r="K68" i="255"/>
  <c r="K37" i="254"/>
  <c r="L58" i="253"/>
  <c r="K58" i="255"/>
  <c r="K31" i="254"/>
  <c r="L44" i="253"/>
  <c r="K44" i="255"/>
  <c r="K23" i="254"/>
  <c r="L30" i="253"/>
  <c r="K30" i="255"/>
  <c r="K15" i="254"/>
  <c r="L17" i="253"/>
  <c r="K17" i="255"/>
  <c r="K81" i="254"/>
  <c r="L11" i="253"/>
  <c r="K11" i="255"/>
  <c r="K6" i="254"/>
  <c r="L46" i="253"/>
  <c r="K46" i="255"/>
  <c r="K25" i="254"/>
  <c r="L36" i="253"/>
  <c r="K36" i="255"/>
  <c r="K56" i="254"/>
  <c r="P80" i="253"/>
  <c r="L80" i="255"/>
  <c r="L77" i="254"/>
  <c r="S63" i="255"/>
  <c r="S65" i="254"/>
  <c r="S52" i="255"/>
  <c r="S78" i="254"/>
  <c r="S37" i="255"/>
  <c r="S18" i="254"/>
  <c r="S25" i="255"/>
  <c r="S52" i="254"/>
  <c r="S9" i="255"/>
  <c r="S45" i="254"/>
  <c r="S53" i="255"/>
  <c r="S29" i="254"/>
  <c r="S21" i="255"/>
  <c r="S10" i="254"/>
  <c r="S54" i="255"/>
  <c r="S61" i="254"/>
  <c r="S80" i="255"/>
  <c r="S77" i="254"/>
  <c r="S72" i="255"/>
  <c r="S69" i="254"/>
  <c r="F62" i="255"/>
  <c r="F64" i="254"/>
  <c r="F48" i="255"/>
  <c r="F26" i="254"/>
  <c r="F73" i="255"/>
  <c r="F70" i="254"/>
  <c r="F47" i="255"/>
  <c r="F59" i="254"/>
  <c r="F68" i="255"/>
  <c r="F37" i="254"/>
  <c r="F58" i="255"/>
  <c r="F31" i="254"/>
  <c r="F24" i="255"/>
  <c r="F12" i="254"/>
  <c r="F67" i="255"/>
  <c r="F36" i="254"/>
  <c r="F57" i="255"/>
  <c r="F63" i="254"/>
  <c r="F35" i="255"/>
  <c r="F17" i="254"/>
  <c r="F22" i="255"/>
  <c r="F11" i="254"/>
  <c r="F5" i="255"/>
  <c r="F5" i="254"/>
  <c r="F46" i="255"/>
  <c r="F25" i="254"/>
  <c r="F31" i="255"/>
  <c r="F53" i="254"/>
  <c r="F77" i="255"/>
  <c r="F74" i="254"/>
  <c r="L67" i="253"/>
  <c r="K67" i="255"/>
  <c r="K36" i="254"/>
  <c r="L57" i="253"/>
  <c r="K57" i="255"/>
  <c r="K63" i="254"/>
  <c r="L39" i="253"/>
  <c r="K39" i="255"/>
  <c r="K20" i="254"/>
  <c r="L29" i="253"/>
  <c r="K29" i="255"/>
  <c r="K82" i="254"/>
  <c r="L13" i="253"/>
  <c r="K13" i="255"/>
  <c r="K47" i="254"/>
  <c r="L45" i="253"/>
  <c r="K45" i="255"/>
  <c r="K24" i="254"/>
  <c r="L26" i="253"/>
  <c r="K26" i="255"/>
  <c r="K13" i="254"/>
  <c r="L31" i="253"/>
  <c r="K31" i="255"/>
  <c r="K53" i="254"/>
  <c r="L78" i="255"/>
  <c r="L75" i="254"/>
  <c r="S62" i="255"/>
  <c r="S64" i="254"/>
  <c r="S51" i="255"/>
  <c r="S28" i="254"/>
  <c r="S35" i="255"/>
  <c r="S17" i="254"/>
  <c r="S12" i="254"/>
  <c r="S24" i="255"/>
  <c r="S8" i="255"/>
  <c r="S44" i="254"/>
  <c r="S55" i="255"/>
  <c r="S30" i="254"/>
  <c r="S43" i="255"/>
  <c r="S22" i="254"/>
  <c r="S20" i="255"/>
  <c r="S9" i="254"/>
  <c r="S79" i="255"/>
  <c r="S76" i="254"/>
  <c r="L76" i="255"/>
  <c r="L73" i="254"/>
  <c r="S61" i="255"/>
  <c r="S34" i="254"/>
  <c r="S49" i="255"/>
  <c r="S27" i="254"/>
  <c r="S34" i="255"/>
  <c r="S16" i="254"/>
  <c r="S23" i="255"/>
  <c r="S51" i="254"/>
  <c r="S7" i="255"/>
  <c r="S43" i="254"/>
  <c r="S70" i="255"/>
  <c r="S39" i="254"/>
  <c r="S40" i="255"/>
  <c r="S21" i="254"/>
  <c r="S19" i="255"/>
  <c r="S50" i="254"/>
  <c r="S78" i="255"/>
  <c r="S75" i="254"/>
  <c r="F56" i="255"/>
  <c r="F62" i="254"/>
  <c r="F18" i="255"/>
  <c r="F49" i="254"/>
  <c r="F45" i="255"/>
  <c r="F24" i="254"/>
  <c r="F26" i="255"/>
  <c r="F13" i="254"/>
  <c r="F54" i="255"/>
  <c r="F61" i="254"/>
  <c r="F76" i="255"/>
  <c r="F73" i="254"/>
  <c r="L64" i="253"/>
  <c r="K64" i="255"/>
  <c r="K66" i="254"/>
  <c r="L56" i="253"/>
  <c r="K56" i="255"/>
  <c r="K62" i="254"/>
  <c r="L38" i="253"/>
  <c r="K38" i="255"/>
  <c r="K19" i="254"/>
  <c r="L27" i="253"/>
  <c r="K27" i="255"/>
  <c r="K84" i="254"/>
  <c r="K85" i="254" s="1"/>
  <c r="L10" i="253"/>
  <c r="K10" i="255"/>
  <c r="K79" i="254"/>
  <c r="L50" i="253"/>
  <c r="K50" i="255"/>
  <c r="K60" i="254"/>
  <c r="L16" i="253"/>
  <c r="K8" i="254"/>
  <c r="K16" i="255"/>
  <c r="L28" i="253"/>
  <c r="K14" i="254"/>
  <c r="K28" i="255"/>
  <c r="F63" i="255"/>
  <c r="F65" i="254"/>
  <c r="F51" i="255"/>
  <c r="F28" i="254"/>
  <c r="F32" i="255"/>
  <c r="F54" i="254"/>
  <c r="F17" i="255"/>
  <c r="F81" i="254"/>
  <c r="F50" i="255"/>
  <c r="F60" i="254"/>
  <c r="F16" i="255"/>
  <c r="F8" i="254"/>
  <c r="F71" i="255"/>
  <c r="F68" i="254"/>
  <c r="F75" i="255"/>
  <c r="F72" i="254"/>
  <c r="L63" i="253"/>
  <c r="K63" i="255"/>
  <c r="K65" i="254"/>
  <c r="L52" i="253"/>
  <c r="K78" i="254"/>
  <c r="K52" i="255"/>
  <c r="L37" i="253"/>
  <c r="K37" i="255"/>
  <c r="K18" i="254"/>
  <c r="L25" i="253"/>
  <c r="K25" i="255"/>
  <c r="K52" i="254"/>
  <c r="L9" i="253"/>
  <c r="K9" i="255"/>
  <c r="K45" i="254"/>
  <c r="L53" i="253"/>
  <c r="K53" i="255"/>
  <c r="K29" i="254"/>
  <c r="L21" i="253"/>
  <c r="K21" i="255"/>
  <c r="K10" i="254"/>
  <c r="L54" i="253"/>
  <c r="K54" i="255"/>
  <c r="K61" i="254"/>
  <c r="L75" i="255"/>
  <c r="L72" i="254"/>
  <c r="S60" i="255"/>
  <c r="S33" i="254"/>
  <c r="S48" i="255"/>
  <c r="S26" i="254"/>
  <c r="S33" i="255"/>
  <c r="S55" i="254"/>
  <c r="S22" i="255"/>
  <c r="S11" i="254"/>
  <c r="S6" i="255"/>
  <c r="S80" i="254"/>
  <c r="S42" i="255"/>
  <c r="S58" i="254"/>
  <c r="S66" i="255"/>
  <c r="S67" i="254"/>
  <c r="S15" i="255"/>
  <c r="S48" i="254"/>
  <c r="S77" i="255"/>
  <c r="S74" i="254"/>
  <c r="L5" i="253"/>
  <c r="P40" i="253"/>
  <c r="P19" i="253"/>
  <c r="P60" i="253"/>
  <c r="P48" i="253"/>
  <c r="P22" i="253"/>
  <c r="P6" i="253"/>
  <c r="P42" i="253"/>
  <c r="P66" i="253"/>
  <c r="P15" i="253"/>
  <c r="P34" i="253"/>
  <c r="P47" i="253"/>
  <c r="P18" i="253"/>
  <c r="P41" i="253"/>
  <c r="P12" i="253"/>
  <c r="P69" i="253"/>
  <c r="P59" i="253"/>
  <c r="P32" i="253"/>
  <c r="P65" i="253"/>
  <c r="P68" i="253"/>
  <c r="P58" i="253"/>
  <c r="P30" i="253"/>
  <c r="P17" i="253"/>
  <c r="P46" i="253"/>
  <c r="P36" i="253"/>
  <c r="P61" i="253"/>
  <c r="M80" i="253"/>
  <c r="P49" i="253"/>
  <c r="P70" i="253"/>
  <c r="P64" i="253"/>
  <c r="P56" i="253"/>
  <c r="P38" i="253"/>
  <c r="P27" i="253"/>
  <c r="P10" i="253"/>
  <c r="P16" i="253"/>
  <c r="P62" i="253"/>
  <c r="P51" i="253"/>
  <c r="P35" i="253"/>
  <c r="P24" i="253"/>
  <c r="P8" i="253"/>
  <c r="P55" i="253"/>
  <c r="P67" i="253"/>
  <c r="P57" i="253"/>
  <c r="P39" i="253"/>
  <c r="P29" i="253"/>
  <c r="P13" i="253"/>
  <c r="P45" i="253"/>
  <c r="P26" i="253"/>
  <c r="P31" i="253"/>
  <c r="P78" i="253"/>
  <c r="P63" i="253"/>
  <c r="P25" i="253"/>
  <c r="P9" i="253"/>
  <c r="P21" i="253"/>
  <c r="P54" i="253"/>
  <c r="P76" i="253"/>
  <c r="P75" i="253"/>
  <c r="W7" i="12"/>
  <c r="X24" i="12"/>
  <c r="V17" i="12"/>
  <c r="W17" i="12"/>
  <c r="X17" i="12"/>
  <c r="Y17" i="12"/>
  <c r="W9" i="12"/>
  <c r="W10" i="12"/>
  <c r="W11" i="12"/>
  <c r="Y14" i="240"/>
  <c r="W12" i="12" s="1"/>
  <c r="W13" i="12"/>
  <c r="W16" i="12"/>
  <c r="W18" i="12"/>
  <c r="U69" i="249" l="1"/>
  <c r="T98" i="257"/>
  <c r="T69" i="256"/>
  <c r="U54" i="249"/>
  <c r="T109" i="257"/>
  <c r="T54" i="256"/>
  <c r="O110" i="257"/>
  <c r="O60" i="256"/>
  <c r="U113" i="249"/>
  <c r="T91" i="257"/>
  <c r="T113" i="256"/>
  <c r="U84" i="249"/>
  <c r="T76" i="257"/>
  <c r="T84" i="256"/>
  <c r="U68" i="249"/>
  <c r="T116" i="257"/>
  <c r="T68" i="256"/>
  <c r="O47" i="257"/>
  <c r="O83" i="256"/>
  <c r="O103" i="257"/>
  <c r="O59" i="256"/>
  <c r="O13" i="257"/>
  <c r="O6" i="256"/>
  <c r="U112" i="249"/>
  <c r="T90" i="257"/>
  <c r="T112" i="256"/>
  <c r="O34" i="257"/>
  <c r="O46" i="256"/>
  <c r="M118" i="257"/>
  <c r="K13" i="97" s="1"/>
  <c r="O15" i="257"/>
  <c r="O10" i="256"/>
  <c r="U79" i="249"/>
  <c r="T46" i="257"/>
  <c r="T79" i="256"/>
  <c r="O43" i="257"/>
  <c r="O74" i="256"/>
  <c r="O27" i="257"/>
  <c r="O33" i="256"/>
  <c r="U17" i="249"/>
  <c r="T58" i="257"/>
  <c r="T17" i="256"/>
  <c r="U106" i="257"/>
  <c r="U30" i="256"/>
  <c r="E18" i="99"/>
  <c r="V30" i="249"/>
  <c r="U11" i="249"/>
  <c r="T16" i="257"/>
  <c r="T11" i="256"/>
  <c r="U55" i="249"/>
  <c r="T69" i="257"/>
  <c r="T55" i="256"/>
  <c r="T36" i="257"/>
  <c r="T48" i="256"/>
  <c r="U27" i="257"/>
  <c r="U33" i="256"/>
  <c r="V33" i="249"/>
  <c r="U91" i="249"/>
  <c r="T10" i="257"/>
  <c r="T91" i="256"/>
  <c r="O39" i="257"/>
  <c r="O63" i="256"/>
  <c r="T25" i="257"/>
  <c r="T25" i="256"/>
  <c r="U26" i="249"/>
  <c r="T6" i="257"/>
  <c r="T26" i="256"/>
  <c r="O104" i="257"/>
  <c r="O67" i="256"/>
  <c r="U86" i="249"/>
  <c r="T48" i="257"/>
  <c r="T86" i="256"/>
  <c r="O112" i="257"/>
  <c r="O88" i="256"/>
  <c r="O115" i="257"/>
  <c r="O64" i="256"/>
  <c r="U52" i="249"/>
  <c r="T38" i="257"/>
  <c r="T52" i="256"/>
  <c r="O8" i="257"/>
  <c r="O38" i="256"/>
  <c r="O21" i="257"/>
  <c r="O21" i="256"/>
  <c r="U115" i="249"/>
  <c r="T93" i="257"/>
  <c r="T115" i="256"/>
  <c r="T100" i="257"/>
  <c r="T32" i="256"/>
  <c r="U43" i="249"/>
  <c r="T52" i="257"/>
  <c r="T43" i="256"/>
  <c r="M61" i="257"/>
  <c r="K9" i="97" s="1"/>
  <c r="U81" i="257"/>
  <c r="U93" i="256"/>
  <c r="V93" i="249"/>
  <c r="U37" i="257"/>
  <c r="U51" i="256"/>
  <c r="V51" i="249"/>
  <c r="U58" i="249"/>
  <c r="T72" i="257"/>
  <c r="T58" i="256"/>
  <c r="U77" i="249"/>
  <c r="T53" i="257"/>
  <c r="T77" i="256"/>
  <c r="T7" i="257"/>
  <c r="T28" i="256"/>
  <c r="O71" i="257"/>
  <c r="O57" i="256"/>
  <c r="U70" i="249"/>
  <c r="T117" i="257"/>
  <c r="T70" i="256"/>
  <c r="U92" i="249"/>
  <c r="T80" i="257"/>
  <c r="T92" i="256"/>
  <c r="O106" i="257"/>
  <c r="O30" i="256"/>
  <c r="U42" i="249"/>
  <c r="T32" i="257"/>
  <c r="T42" i="256"/>
  <c r="U29" i="249"/>
  <c r="T26" i="257"/>
  <c r="T29" i="256"/>
  <c r="O99" i="257"/>
  <c r="O31" i="256"/>
  <c r="O31" i="257"/>
  <c r="O40" i="256"/>
  <c r="U20" i="249"/>
  <c r="T20" i="257"/>
  <c r="T20" i="256"/>
  <c r="U44" i="249"/>
  <c r="T124" i="257"/>
  <c r="T125" i="257" s="1"/>
  <c r="R15" i="97" s="1"/>
  <c r="T44" i="256"/>
  <c r="O33" i="257"/>
  <c r="O45" i="256"/>
  <c r="U110" i="249"/>
  <c r="T56" i="257"/>
  <c r="T110" i="256"/>
  <c r="V15" i="249"/>
  <c r="U15" i="256"/>
  <c r="U19" i="257"/>
  <c r="O44" i="257"/>
  <c r="O75" i="256"/>
  <c r="O28" i="257"/>
  <c r="O34" i="256"/>
  <c r="O22" i="257"/>
  <c r="O22" i="256"/>
  <c r="U27" i="249"/>
  <c r="T66" i="257"/>
  <c r="T27" i="256"/>
  <c r="O53" i="257"/>
  <c r="O77" i="256"/>
  <c r="U47" i="249"/>
  <c r="T35" i="257"/>
  <c r="T47" i="256"/>
  <c r="O76" i="257"/>
  <c r="O84" i="256"/>
  <c r="O32" i="257"/>
  <c r="O42" i="256"/>
  <c r="U111" i="257"/>
  <c r="U61" i="256"/>
  <c r="V61" i="249"/>
  <c r="O68" i="257"/>
  <c r="O49" i="256"/>
  <c r="O9" i="257"/>
  <c r="O76" i="256"/>
  <c r="U39" i="249"/>
  <c r="T30" i="257"/>
  <c r="T39" i="256"/>
  <c r="U67" i="257"/>
  <c r="U41" i="256"/>
  <c r="V41" i="249"/>
  <c r="O35" i="257"/>
  <c r="O47" i="256"/>
  <c r="O102" i="257"/>
  <c r="O18" i="256"/>
  <c r="O58" i="257"/>
  <c r="O17" i="256"/>
  <c r="U87" i="249"/>
  <c r="T77" i="257"/>
  <c r="T87" i="256"/>
  <c r="U74" i="257"/>
  <c r="U81" i="256"/>
  <c r="V81" i="249"/>
  <c r="O19" i="257"/>
  <c r="O15" i="256"/>
  <c r="O69" i="257"/>
  <c r="O55" i="256"/>
  <c r="O10" i="257"/>
  <c r="O91" i="256"/>
  <c r="U42" i="257"/>
  <c r="U73" i="256"/>
  <c r="V73" i="249"/>
  <c r="O74" i="257"/>
  <c r="O81" i="256"/>
  <c r="U66" i="249"/>
  <c r="T73" i="257"/>
  <c r="T66" i="256"/>
  <c r="O119" i="257"/>
  <c r="O53" i="256"/>
  <c r="U12" i="249"/>
  <c r="T17" i="257"/>
  <c r="T12" i="256"/>
  <c r="U88" i="249"/>
  <c r="T112" i="257"/>
  <c r="T88" i="256"/>
  <c r="U108" i="257"/>
  <c r="U37" i="256"/>
  <c r="V37" i="249"/>
  <c r="U39" i="257"/>
  <c r="U63" i="256"/>
  <c r="V63" i="249"/>
  <c r="O108" i="257"/>
  <c r="O37" i="256"/>
  <c r="O52" i="257"/>
  <c r="O43" i="256"/>
  <c r="T101" i="257"/>
  <c r="T50" i="256"/>
  <c r="U68" i="257"/>
  <c r="U49" i="256"/>
  <c r="E12" i="99"/>
  <c r="V49" i="249"/>
  <c r="T41" i="257"/>
  <c r="T72" i="256"/>
  <c r="U60" i="249"/>
  <c r="T110" i="257"/>
  <c r="T60" i="256"/>
  <c r="O67" i="257"/>
  <c r="O41" i="256"/>
  <c r="V49" i="257"/>
  <c r="V108" i="256"/>
  <c r="O26" i="257"/>
  <c r="O29" i="256"/>
  <c r="U59" i="249"/>
  <c r="T103" i="257"/>
  <c r="T59" i="256"/>
  <c r="U71" i="257"/>
  <c r="U57" i="256"/>
  <c r="V57" i="249"/>
  <c r="U46" i="249"/>
  <c r="T34" i="257"/>
  <c r="T46" i="256"/>
  <c r="U40" i="249"/>
  <c r="T31" i="257"/>
  <c r="T40" i="256"/>
  <c r="O20" i="257"/>
  <c r="O20" i="256"/>
  <c r="U18" i="249"/>
  <c r="T102" i="257"/>
  <c r="T18" i="256"/>
  <c r="U10" i="249"/>
  <c r="T15" i="257"/>
  <c r="T10" i="256"/>
  <c r="O124" i="257"/>
  <c r="O125" i="257" s="1"/>
  <c r="M15" i="97" s="1"/>
  <c r="O44" i="256"/>
  <c r="U74" i="249"/>
  <c r="T43" i="257"/>
  <c r="T74" i="256"/>
  <c r="U45" i="249"/>
  <c r="T33" i="257"/>
  <c r="T45" i="256"/>
  <c r="U24" i="257"/>
  <c r="U24" i="256"/>
  <c r="V24" i="249"/>
  <c r="U44" i="257"/>
  <c r="U75" i="256"/>
  <c r="V75" i="249"/>
  <c r="O24" i="257"/>
  <c r="O24" i="256"/>
  <c r="U34" i="249"/>
  <c r="T28" i="257"/>
  <c r="T34" i="256"/>
  <c r="U118" i="249"/>
  <c r="T51" i="257"/>
  <c r="T118" i="256"/>
  <c r="O66" i="257"/>
  <c r="O27" i="256"/>
  <c r="U80" i="249"/>
  <c r="T60" i="257"/>
  <c r="T80" i="256"/>
  <c r="U67" i="249"/>
  <c r="T67" i="256"/>
  <c r="T104" i="257"/>
  <c r="K14" i="97"/>
  <c r="U62" i="249"/>
  <c r="T120" i="257"/>
  <c r="T62" i="256"/>
  <c r="T54" i="257"/>
  <c r="T85" i="256"/>
  <c r="O98" i="257"/>
  <c r="O69" i="256"/>
  <c r="U76" i="249"/>
  <c r="T9" i="257"/>
  <c r="T76" i="256"/>
  <c r="O30" i="257"/>
  <c r="O39" i="256"/>
  <c r="U64" i="249"/>
  <c r="T115" i="257"/>
  <c r="T64" i="256"/>
  <c r="O38" i="257"/>
  <c r="O52" i="256"/>
  <c r="U38" i="249"/>
  <c r="T8" i="257"/>
  <c r="T38" i="256"/>
  <c r="U21" i="249"/>
  <c r="T21" i="257"/>
  <c r="T21" i="256"/>
  <c r="O42" i="257"/>
  <c r="O73" i="256"/>
  <c r="U111" i="249"/>
  <c r="T89" i="257"/>
  <c r="T111" i="256"/>
  <c r="O59" i="257"/>
  <c r="O65" i="256"/>
  <c r="O77" i="257"/>
  <c r="O87" i="256"/>
  <c r="U22" i="257"/>
  <c r="U22" i="256"/>
  <c r="V22" i="249"/>
  <c r="O72" i="257"/>
  <c r="O58" i="256"/>
  <c r="U78" i="249"/>
  <c r="T45" i="257"/>
  <c r="T78" i="256"/>
  <c r="O16" i="257"/>
  <c r="O11" i="256"/>
  <c r="U7" i="249"/>
  <c r="T64" i="257"/>
  <c r="T65" i="257" s="1"/>
  <c r="T7" i="256"/>
  <c r="O73" i="257"/>
  <c r="O66" i="256"/>
  <c r="O117" i="257"/>
  <c r="O70" i="256"/>
  <c r="U65" i="249"/>
  <c r="T59" i="257"/>
  <c r="T65" i="256"/>
  <c r="U53" i="249"/>
  <c r="T119" i="257"/>
  <c r="T53" i="256"/>
  <c r="U6" i="249"/>
  <c r="T13" i="257"/>
  <c r="T6" i="256"/>
  <c r="U31" i="249"/>
  <c r="T99" i="257"/>
  <c r="T31" i="256"/>
  <c r="T40" i="257"/>
  <c r="T71" i="256"/>
  <c r="T95" i="257"/>
  <c r="T119" i="256"/>
  <c r="U47" i="257"/>
  <c r="U83" i="256"/>
  <c r="V83" i="249"/>
  <c r="P16" i="255"/>
  <c r="P8" i="254"/>
  <c r="P25" i="255"/>
  <c r="P52" i="254"/>
  <c r="P39" i="255"/>
  <c r="P20" i="254"/>
  <c r="P62" i="255"/>
  <c r="P64" i="254"/>
  <c r="P70" i="255"/>
  <c r="P39" i="254"/>
  <c r="P58" i="255"/>
  <c r="P31" i="254"/>
  <c r="P18" i="255"/>
  <c r="P49" i="254"/>
  <c r="P48" i="255"/>
  <c r="P26" i="254"/>
  <c r="L63" i="255"/>
  <c r="L65" i="254"/>
  <c r="L64" i="255"/>
  <c r="L66" i="254"/>
  <c r="L13" i="255"/>
  <c r="L47" i="254"/>
  <c r="L30" i="255"/>
  <c r="L15" i="254"/>
  <c r="Q10" i="97"/>
  <c r="L65" i="255"/>
  <c r="L35" i="254"/>
  <c r="L32" i="255"/>
  <c r="L54" i="254"/>
  <c r="P23" i="253"/>
  <c r="L23" i="255"/>
  <c r="L51" i="254"/>
  <c r="L51" i="255"/>
  <c r="L28" i="254"/>
  <c r="P60" i="255"/>
  <c r="P33" i="254"/>
  <c r="L53" i="255"/>
  <c r="L29" i="254"/>
  <c r="L50" i="255"/>
  <c r="L60" i="254"/>
  <c r="L57" i="255"/>
  <c r="L63" i="254"/>
  <c r="P80" i="255"/>
  <c r="P77" i="254"/>
  <c r="L68" i="255"/>
  <c r="L37" i="254"/>
  <c r="L69" i="255"/>
  <c r="L38" i="254"/>
  <c r="L66" i="255"/>
  <c r="L67" i="254"/>
  <c r="L61" i="255"/>
  <c r="L34" i="254"/>
  <c r="P43" i="253"/>
  <c r="L43" i="255"/>
  <c r="L22" i="254"/>
  <c r="P57" i="255"/>
  <c r="P63" i="254"/>
  <c r="P75" i="255"/>
  <c r="P72" i="254"/>
  <c r="P67" i="255"/>
  <c r="P36" i="254"/>
  <c r="P50" i="253"/>
  <c r="T80" i="253"/>
  <c r="M80" i="255"/>
  <c r="M77" i="254"/>
  <c r="P65" i="255"/>
  <c r="P35" i="254"/>
  <c r="P34" i="255"/>
  <c r="P16" i="254"/>
  <c r="P19" i="255"/>
  <c r="P50" i="254"/>
  <c r="P37" i="253"/>
  <c r="L37" i="255"/>
  <c r="L18" i="254"/>
  <c r="L38" i="255"/>
  <c r="L19" i="254"/>
  <c r="L26" i="255"/>
  <c r="L13" i="254"/>
  <c r="P11" i="253"/>
  <c r="L11" i="255"/>
  <c r="L6" i="254"/>
  <c r="L12" i="255"/>
  <c r="L46" i="254"/>
  <c r="P33" i="253"/>
  <c r="L33" i="255"/>
  <c r="L55" i="254"/>
  <c r="L70" i="255"/>
  <c r="L39" i="254"/>
  <c r="L24" i="255"/>
  <c r="L12" i="254"/>
  <c r="P78" i="255"/>
  <c r="P75" i="254"/>
  <c r="P76" i="255"/>
  <c r="P73" i="254"/>
  <c r="P31" i="255"/>
  <c r="P53" i="254"/>
  <c r="P55" i="255"/>
  <c r="P30" i="254"/>
  <c r="P10" i="255"/>
  <c r="P79" i="254"/>
  <c r="P61" i="255"/>
  <c r="P34" i="254"/>
  <c r="P32" i="255"/>
  <c r="P54" i="254"/>
  <c r="P15" i="255"/>
  <c r="P48" i="254"/>
  <c r="P40" i="255"/>
  <c r="P21" i="254"/>
  <c r="L54" i="255"/>
  <c r="L61" i="254"/>
  <c r="P28" i="253"/>
  <c r="L28" i="255"/>
  <c r="L14" i="254"/>
  <c r="L29" i="255"/>
  <c r="L82" i="254"/>
  <c r="P44" i="253"/>
  <c r="L44" i="255"/>
  <c r="L23" i="254"/>
  <c r="L47" i="255"/>
  <c r="L59" i="254"/>
  <c r="L34" i="255"/>
  <c r="L16" i="254"/>
  <c r="S83" i="254"/>
  <c r="L64" i="254"/>
  <c r="L62" i="255"/>
  <c r="P47" i="255"/>
  <c r="P59" i="254"/>
  <c r="P54" i="255"/>
  <c r="P61" i="254"/>
  <c r="P26" i="255"/>
  <c r="P13" i="254"/>
  <c r="P8" i="255"/>
  <c r="P44" i="254"/>
  <c r="P27" i="255"/>
  <c r="P84" i="254"/>
  <c r="P85" i="254" s="1"/>
  <c r="P36" i="255"/>
  <c r="P56" i="254"/>
  <c r="P59" i="255"/>
  <c r="P32" i="254"/>
  <c r="P66" i="255"/>
  <c r="P67" i="254"/>
  <c r="P5" i="253"/>
  <c r="L5" i="255"/>
  <c r="L5" i="254"/>
  <c r="L9" i="255"/>
  <c r="L45" i="254"/>
  <c r="L10" i="255"/>
  <c r="L79" i="254"/>
  <c r="L67" i="255"/>
  <c r="L36" i="254"/>
  <c r="L36" i="255"/>
  <c r="L56" i="254"/>
  <c r="L22" i="255"/>
  <c r="L11" i="254"/>
  <c r="L42" i="255"/>
  <c r="L58" i="254"/>
  <c r="L19" i="255"/>
  <c r="L50" i="254"/>
  <c r="L55" i="255"/>
  <c r="L30" i="254"/>
  <c r="P63" i="255"/>
  <c r="P65" i="254"/>
  <c r="P45" i="255"/>
  <c r="P24" i="254"/>
  <c r="P38" i="255"/>
  <c r="P19" i="254"/>
  <c r="P46" i="255"/>
  <c r="P25" i="254"/>
  <c r="P69" i="255"/>
  <c r="P38" i="254"/>
  <c r="P42" i="255"/>
  <c r="P58" i="254"/>
  <c r="P52" i="253"/>
  <c r="L52" i="255"/>
  <c r="L78" i="254"/>
  <c r="I10" i="97"/>
  <c r="L56" i="255"/>
  <c r="L62" i="254"/>
  <c r="L45" i="255"/>
  <c r="L24" i="254"/>
  <c r="L17" i="255"/>
  <c r="L81" i="254"/>
  <c r="L41" i="255"/>
  <c r="L57" i="254"/>
  <c r="L18" i="255"/>
  <c r="L49" i="254"/>
  <c r="L60" i="255"/>
  <c r="L33" i="254"/>
  <c r="P7" i="253"/>
  <c r="L7" i="255"/>
  <c r="L43" i="254"/>
  <c r="L35" i="255"/>
  <c r="L17" i="254"/>
  <c r="P68" i="255"/>
  <c r="P37" i="254"/>
  <c r="P21" i="255"/>
  <c r="P10" i="254"/>
  <c r="P13" i="255"/>
  <c r="P47" i="254"/>
  <c r="P35" i="255"/>
  <c r="P17" i="254"/>
  <c r="P56" i="255"/>
  <c r="P62" i="254"/>
  <c r="P17" i="255"/>
  <c r="P81" i="254"/>
  <c r="P12" i="255"/>
  <c r="P46" i="254"/>
  <c r="P6" i="255"/>
  <c r="P80" i="254"/>
  <c r="L21" i="255"/>
  <c r="L10" i="254"/>
  <c r="L16" i="255"/>
  <c r="L8" i="254"/>
  <c r="L39" i="255"/>
  <c r="L20" i="254"/>
  <c r="L58" i="255"/>
  <c r="L31" i="254"/>
  <c r="L59" i="255"/>
  <c r="L32" i="254"/>
  <c r="L15" i="255"/>
  <c r="L48" i="254"/>
  <c r="L49" i="255"/>
  <c r="L27" i="254"/>
  <c r="P20" i="253"/>
  <c r="L20" i="255"/>
  <c r="L9" i="254"/>
  <c r="P49" i="255"/>
  <c r="P27" i="254"/>
  <c r="P24" i="255"/>
  <c r="P12" i="254"/>
  <c r="P53" i="253"/>
  <c r="P9" i="255"/>
  <c r="P45" i="254"/>
  <c r="P29" i="255"/>
  <c r="P82" i="254"/>
  <c r="P51" i="255"/>
  <c r="P28" i="254"/>
  <c r="P64" i="255"/>
  <c r="P66" i="254"/>
  <c r="P30" i="255"/>
  <c r="P15" i="254"/>
  <c r="P41" i="255"/>
  <c r="P57" i="254"/>
  <c r="P22" i="255"/>
  <c r="P11" i="254"/>
  <c r="L25" i="255"/>
  <c r="L52" i="254"/>
  <c r="L27" i="255"/>
  <c r="L84" i="254"/>
  <c r="L85" i="254" s="1"/>
  <c r="L31" i="255"/>
  <c r="L53" i="254"/>
  <c r="L46" i="255"/>
  <c r="L25" i="254"/>
  <c r="L48" i="255"/>
  <c r="L26" i="254"/>
  <c r="L6" i="255"/>
  <c r="L80" i="254"/>
  <c r="L40" i="255"/>
  <c r="L21" i="254"/>
  <c r="L8" i="255"/>
  <c r="L44" i="254"/>
  <c r="W15" i="12"/>
  <c r="W14" i="12"/>
  <c r="O80" i="253"/>
  <c r="M75" i="253"/>
  <c r="M76" i="253"/>
  <c r="M78" i="253"/>
  <c r="W8" i="12"/>
  <c r="V42" i="257" l="1"/>
  <c r="V73" i="256"/>
  <c r="U120" i="257"/>
  <c r="U62" i="256"/>
  <c r="V62" i="249"/>
  <c r="U60" i="257"/>
  <c r="U80" i="256"/>
  <c r="V80" i="249"/>
  <c r="U28" i="257"/>
  <c r="U34" i="256"/>
  <c r="V34" i="249"/>
  <c r="V74" i="257"/>
  <c r="V81" i="256"/>
  <c r="U35" i="257"/>
  <c r="U47" i="256"/>
  <c r="V47" i="249"/>
  <c r="U29" i="256"/>
  <c r="U26" i="257"/>
  <c r="V29" i="249"/>
  <c r="U80" i="257"/>
  <c r="U92" i="256"/>
  <c r="V92" i="249"/>
  <c r="U17" i="256"/>
  <c r="U58" i="257"/>
  <c r="V17" i="249"/>
  <c r="U116" i="257"/>
  <c r="U68" i="256"/>
  <c r="V68" i="249"/>
  <c r="U59" i="257"/>
  <c r="U65" i="256"/>
  <c r="V65" i="249"/>
  <c r="U12" i="256"/>
  <c r="U17" i="257"/>
  <c r="V12" i="249"/>
  <c r="U6" i="257"/>
  <c r="U26" i="256"/>
  <c r="V26" i="249"/>
  <c r="U46" i="257"/>
  <c r="U79" i="256"/>
  <c r="V79" i="249"/>
  <c r="U6" i="256"/>
  <c r="U13" i="257"/>
  <c r="V6" i="249"/>
  <c r="U9" i="257"/>
  <c r="U76" i="256"/>
  <c r="V76" i="249"/>
  <c r="U30" i="257"/>
  <c r="U39" i="256"/>
  <c r="V39" i="249"/>
  <c r="V110" i="249"/>
  <c r="U56" i="257"/>
  <c r="U110" i="256"/>
  <c r="U20" i="256"/>
  <c r="U20" i="257"/>
  <c r="V20" i="249"/>
  <c r="V81" i="257"/>
  <c r="V93" i="256"/>
  <c r="U11" i="256"/>
  <c r="U16" i="257"/>
  <c r="V11" i="249"/>
  <c r="V111" i="249"/>
  <c r="U89" i="257"/>
  <c r="U111" i="256"/>
  <c r="U52" i="257"/>
  <c r="U43" i="256"/>
  <c r="V43" i="249"/>
  <c r="T61" i="257"/>
  <c r="R9" i="97" s="1"/>
  <c r="V68" i="257"/>
  <c r="V49" i="256"/>
  <c r="U53" i="257"/>
  <c r="U77" i="256"/>
  <c r="V77" i="249"/>
  <c r="U48" i="257"/>
  <c r="U86" i="256"/>
  <c r="V86" i="249"/>
  <c r="V106" i="257"/>
  <c r="V30" i="256"/>
  <c r="U8" i="257"/>
  <c r="U38" i="256"/>
  <c r="V38" i="249"/>
  <c r="V27" i="257"/>
  <c r="V33" i="256"/>
  <c r="U45" i="257"/>
  <c r="U78" i="256"/>
  <c r="V78" i="249"/>
  <c r="V44" i="257"/>
  <c r="V75" i="256"/>
  <c r="U33" i="257"/>
  <c r="U45" i="256"/>
  <c r="V45" i="249"/>
  <c r="V10" i="249"/>
  <c r="E22" i="99"/>
  <c r="U10" i="256"/>
  <c r="U15" i="257"/>
  <c r="U31" i="257"/>
  <c r="U40" i="256"/>
  <c r="V40" i="249"/>
  <c r="U32" i="257"/>
  <c r="U42" i="256"/>
  <c r="V42" i="249"/>
  <c r="U117" i="257"/>
  <c r="U70" i="256"/>
  <c r="V70" i="249"/>
  <c r="U38" i="257"/>
  <c r="U52" i="256"/>
  <c r="V52" i="249"/>
  <c r="U76" i="257"/>
  <c r="U84" i="256"/>
  <c r="V84" i="249"/>
  <c r="U109" i="257"/>
  <c r="U54" i="256"/>
  <c r="V54" i="249"/>
  <c r="V71" i="257"/>
  <c r="V57" i="256"/>
  <c r="T123" i="257"/>
  <c r="R14" i="97" s="1"/>
  <c r="T118" i="257"/>
  <c r="R13" i="97" s="1"/>
  <c r="U119" i="257"/>
  <c r="U123" i="257" s="1"/>
  <c r="U53" i="256"/>
  <c r="V53" i="249"/>
  <c r="U21" i="256"/>
  <c r="U21" i="257"/>
  <c r="V21" i="249"/>
  <c r="U115" i="257"/>
  <c r="U64" i="256"/>
  <c r="V64" i="249"/>
  <c r="U103" i="257"/>
  <c r="U59" i="256"/>
  <c r="V59" i="249"/>
  <c r="V39" i="257"/>
  <c r="V63" i="256"/>
  <c r="U112" i="257"/>
  <c r="U88" i="256"/>
  <c r="V88" i="249"/>
  <c r="U73" i="257"/>
  <c r="U66" i="256"/>
  <c r="V66" i="249"/>
  <c r="V67" i="257"/>
  <c r="V41" i="256"/>
  <c r="V115" i="249"/>
  <c r="U93" i="257"/>
  <c r="U115" i="256"/>
  <c r="V108" i="257"/>
  <c r="V37" i="256"/>
  <c r="U90" i="257"/>
  <c r="U112" i="256"/>
  <c r="V47" i="257"/>
  <c r="V83" i="256"/>
  <c r="U104" i="257"/>
  <c r="U67" i="256"/>
  <c r="V67" i="249"/>
  <c r="V118" i="249"/>
  <c r="U51" i="257"/>
  <c r="U118" i="256"/>
  <c r="V87" i="249"/>
  <c r="U77" i="257"/>
  <c r="U87" i="256"/>
  <c r="V27" i="249"/>
  <c r="U66" i="257"/>
  <c r="U27" i="256"/>
  <c r="U72" i="257"/>
  <c r="U58" i="256"/>
  <c r="V58" i="249"/>
  <c r="U110" i="257"/>
  <c r="U60" i="256"/>
  <c r="V60" i="249"/>
  <c r="U99" i="257"/>
  <c r="U31" i="256"/>
  <c r="E11" i="99"/>
  <c r="V31" i="249"/>
  <c r="U7" i="256"/>
  <c r="U64" i="257"/>
  <c r="U65" i="257" s="1"/>
  <c r="E16" i="99"/>
  <c r="V7" i="249"/>
  <c r="V22" i="257"/>
  <c r="V22" i="256"/>
  <c r="V24" i="257"/>
  <c r="V24" i="256"/>
  <c r="V74" i="249"/>
  <c r="U43" i="257"/>
  <c r="U74" i="256"/>
  <c r="U18" i="256"/>
  <c r="U102" i="257"/>
  <c r="V18" i="249"/>
  <c r="U34" i="257"/>
  <c r="U46" i="256"/>
  <c r="V46" i="249"/>
  <c r="V111" i="257"/>
  <c r="V61" i="256"/>
  <c r="V19" i="257"/>
  <c r="V15" i="256"/>
  <c r="U124" i="257"/>
  <c r="U125" i="257" s="1"/>
  <c r="S15" i="97" s="1"/>
  <c r="U44" i="256"/>
  <c r="V44" i="249"/>
  <c r="V37" i="257"/>
  <c r="V51" i="256"/>
  <c r="U10" i="257"/>
  <c r="U91" i="256"/>
  <c r="V91" i="249"/>
  <c r="U69" i="257"/>
  <c r="U55" i="256"/>
  <c r="V55" i="249"/>
  <c r="V113" i="249"/>
  <c r="U91" i="257"/>
  <c r="U113" i="256"/>
  <c r="U98" i="257"/>
  <c r="U69" i="256"/>
  <c r="V69" i="249"/>
  <c r="P23" i="255"/>
  <c r="P51" i="254"/>
  <c r="O76" i="253"/>
  <c r="M76" i="255"/>
  <c r="M73" i="254"/>
  <c r="P52" i="255"/>
  <c r="P78" i="254"/>
  <c r="N10" i="97"/>
  <c r="O75" i="253"/>
  <c r="M75" i="255"/>
  <c r="M72" i="254"/>
  <c r="J10" i="97"/>
  <c r="P5" i="255"/>
  <c r="P5" i="254"/>
  <c r="P28" i="255"/>
  <c r="P14" i="254"/>
  <c r="P37" i="255"/>
  <c r="P18" i="254"/>
  <c r="P20" i="255"/>
  <c r="P9" i="254"/>
  <c r="P11" i="255"/>
  <c r="P6" i="254"/>
  <c r="U80" i="253"/>
  <c r="T80" i="255"/>
  <c r="T77" i="254"/>
  <c r="P7" i="255"/>
  <c r="P43" i="254"/>
  <c r="P53" i="255"/>
  <c r="P29" i="254"/>
  <c r="P44" i="255"/>
  <c r="P23" i="254"/>
  <c r="P50" i="255"/>
  <c r="P60" i="254"/>
  <c r="P33" i="255"/>
  <c r="P55" i="254"/>
  <c r="P43" i="255"/>
  <c r="P22" i="254"/>
  <c r="O78" i="253"/>
  <c r="M78" i="255"/>
  <c r="M75" i="254"/>
  <c r="O80" i="255"/>
  <c r="O77" i="254"/>
  <c r="T78" i="253"/>
  <c r="T76" i="253"/>
  <c r="T75" i="253"/>
  <c r="W19" i="12"/>
  <c r="W25" i="12" s="1"/>
  <c r="V38" i="257" l="1"/>
  <c r="V52" i="256"/>
  <c r="V10" i="257"/>
  <c r="V91" i="256"/>
  <c r="V31" i="257"/>
  <c r="V40" i="256"/>
  <c r="V48" i="257"/>
  <c r="V86" i="256"/>
  <c r="V89" i="257"/>
  <c r="V111" i="256"/>
  <c r="V9" i="257"/>
  <c r="V76" i="256"/>
  <c r="V80" i="257"/>
  <c r="V92" i="256"/>
  <c r="V33" i="257"/>
  <c r="V45" i="256"/>
  <c r="V110" i="257"/>
  <c r="V60" i="256"/>
  <c r="V51" i="257"/>
  <c r="V118" i="256"/>
  <c r="V73" i="257"/>
  <c r="V66" i="256"/>
  <c r="V103" i="257"/>
  <c r="V59" i="256"/>
  <c r="V109" i="257"/>
  <c r="V54" i="256"/>
  <c r="V16" i="257"/>
  <c r="V11" i="256"/>
  <c r="V6" i="257"/>
  <c r="V26" i="256"/>
  <c r="V102" i="257"/>
  <c r="V18" i="256"/>
  <c r="V59" i="257"/>
  <c r="V65" i="256"/>
  <c r="V104" i="257"/>
  <c r="V67" i="256"/>
  <c r="V119" i="257"/>
  <c r="V123" i="257" s="1"/>
  <c r="T14" i="97" s="1"/>
  <c r="V53" i="256"/>
  <c r="V117" i="257"/>
  <c r="V70" i="256"/>
  <c r="V116" i="257"/>
  <c r="V68" i="256"/>
  <c r="V120" i="257"/>
  <c r="V62" i="256"/>
  <c r="V60" i="257"/>
  <c r="V80" i="256"/>
  <c r="V66" i="257"/>
  <c r="V27" i="256"/>
  <c r="V8" i="257"/>
  <c r="V38" i="256"/>
  <c r="V53" i="257"/>
  <c r="V77" i="256"/>
  <c r="V52" i="257"/>
  <c r="V43" i="256"/>
  <c r="V56" i="257"/>
  <c r="V110" i="256"/>
  <c r="V13" i="257"/>
  <c r="V6" i="256"/>
  <c r="V26" i="257"/>
  <c r="V29" i="256"/>
  <c r="V91" i="257"/>
  <c r="V113" i="256"/>
  <c r="V43" i="257"/>
  <c r="V74" i="256"/>
  <c r="V112" i="257"/>
  <c r="V88" i="256"/>
  <c r="V115" i="257"/>
  <c r="V118" i="257" s="1"/>
  <c r="T13" i="97" s="1"/>
  <c r="V64" i="256"/>
  <c r="S14" i="97"/>
  <c r="V76" i="257"/>
  <c r="V84" i="256"/>
  <c r="V30" i="257"/>
  <c r="V39" i="256"/>
  <c r="V17" i="257"/>
  <c r="V12" i="256"/>
  <c r="V28" i="257"/>
  <c r="V34" i="256"/>
  <c r="V64" i="257"/>
  <c r="V65" i="257" s="1"/>
  <c r="V7" i="256"/>
  <c r="V69" i="257"/>
  <c r="V55" i="256"/>
  <c r="V93" i="257"/>
  <c r="V115" i="256"/>
  <c r="V32" i="257"/>
  <c r="V42" i="256"/>
  <c r="V45" i="257"/>
  <c r="V78" i="256"/>
  <c r="V58" i="257"/>
  <c r="V17" i="256"/>
  <c r="V98" i="257"/>
  <c r="V69" i="256"/>
  <c r="V21" i="257"/>
  <c r="V21" i="256"/>
  <c r="V34" i="257"/>
  <c r="V46" i="256"/>
  <c r="V124" i="257"/>
  <c r="V125" i="257" s="1"/>
  <c r="T15" i="97" s="1"/>
  <c r="V44" i="256"/>
  <c r="V99" i="257"/>
  <c r="V31" i="256"/>
  <c r="V72" i="257"/>
  <c r="V58" i="256"/>
  <c r="V77" i="257"/>
  <c r="V87" i="256"/>
  <c r="U118" i="257"/>
  <c r="S13" i="97" s="1"/>
  <c r="V15" i="257"/>
  <c r="V10" i="256"/>
  <c r="V20" i="257"/>
  <c r="V20" i="256"/>
  <c r="V46" i="257"/>
  <c r="V79" i="256"/>
  <c r="U61" i="257"/>
  <c r="S9" i="97" s="1"/>
  <c r="V35" i="257"/>
  <c r="V47" i="256"/>
  <c r="O75" i="255"/>
  <c r="O72" i="254"/>
  <c r="O76" i="255"/>
  <c r="O73" i="254"/>
  <c r="V80" i="253"/>
  <c r="U80" i="255"/>
  <c r="U77" i="254"/>
  <c r="U75" i="253"/>
  <c r="T75" i="255"/>
  <c r="T72" i="254"/>
  <c r="U76" i="253"/>
  <c r="T76" i="255"/>
  <c r="T73" i="254"/>
  <c r="O78" i="255"/>
  <c r="O75" i="254"/>
  <c r="U78" i="253"/>
  <c r="T78" i="255"/>
  <c r="T75" i="254"/>
  <c r="M4" i="44"/>
  <c r="P7" i="12"/>
  <c r="S14" i="253"/>
  <c r="N77" i="253"/>
  <c r="V61" i="257" l="1"/>
  <c r="T9" i="97" s="1"/>
  <c r="S83" i="253"/>
  <c r="S14" i="255"/>
  <c r="S83" i="255" s="1"/>
  <c r="S7" i="254"/>
  <c r="S42" i="254" s="1"/>
  <c r="V80" i="255"/>
  <c r="V77" i="254"/>
  <c r="V78" i="253"/>
  <c r="U78" i="255"/>
  <c r="U75" i="254"/>
  <c r="V76" i="253"/>
  <c r="U76" i="255"/>
  <c r="U73" i="254"/>
  <c r="N77" i="255"/>
  <c r="N74" i="254"/>
  <c r="V75" i="253"/>
  <c r="U75" i="255"/>
  <c r="U72" i="254"/>
  <c r="Q7" i="12"/>
  <c r="O7" i="12"/>
  <c r="V78" i="255" l="1"/>
  <c r="V75" i="254"/>
  <c r="Q7" i="97"/>
  <c r="S86" i="254"/>
  <c r="V75" i="255"/>
  <c r="V72" i="254"/>
  <c r="V76" i="255"/>
  <c r="V73" i="254"/>
  <c r="N65" i="253"/>
  <c r="K82" i="253"/>
  <c r="K81" i="253"/>
  <c r="K79" i="253"/>
  <c r="K77" i="253"/>
  <c r="K74" i="253"/>
  <c r="K73" i="253"/>
  <c r="K72" i="253"/>
  <c r="K71" i="253"/>
  <c r="N61" i="253"/>
  <c r="N60" i="253"/>
  <c r="D52" i="253"/>
  <c r="M48" i="253"/>
  <c r="D44" i="253"/>
  <c r="M38" i="253"/>
  <c r="D37" i="253"/>
  <c r="M33" i="253"/>
  <c r="D33" i="253"/>
  <c r="N29" i="253"/>
  <c r="M29" i="253"/>
  <c r="M25" i="253"/>
  <c r="N24" i="253"/>
  <c r="D23" i="253"/>
  <c r="M22" i="253"/>
  <c r="M17" i="253"/>
  <c r="M10" i="253"/>
  <c r="M8" i="253"/>
  <c r="D7" i="253"/>
  <c r="M5" i="253"/>
  <c r="D11" i="253"/>
  <c r="N50" i="253"/>
  <c r="M50" i="253"/>
  <c r="M55" i="253"/>
  <c r="AA70" i="253"/>
  <c r="M70" i="253"/>
  <c r="M65" i="253"/>
  <c r="M46" i="253"/>
  <c r="M43" i="253"/>
  <c r="D43" i="253"/>
  <c r="N40" i="253"/>
  <c r="M66" i="253"/>
  <c r="M36" i="253"/>
  <c r="N28" i="253"/>
  <c r="D28" i="253"/>
  <c r="M20" i="253"/>
  <c r="D20" i="253"/>
  <c r="K14" i="253"/>
  <c r="F14" i="253"/>
  <c r="M22" i="255" l="1"/>
  <c r="M11" i="254"/>
  <c r="L72" i="253"/>
  <c r="K72" i="255"/>
  <c r="K69" i="254"/>
  <c r="D23" i="255"/>
  <c r="D51" i="254"/>
  <c r="L74" i="253"/>
  <c r="K74" i="255"/>
  <c r="K71" i="254"/>
  <c r="N40" i="255"/>
  <c r="N21" i="254"/>
  <c r="D37" i="255"/>
  <c r="D18" i="254"/>
  <c r="D43" i="255"/>
  <c r="D22" i="254"/>
  <c r="L73" i="253"/>
  <c r="K73" i="255"/>
  <c r="K70" i="254"/>
  <c r="D11" i="255"/>
  <c r="D6" i="254"/>
  <c r="M46" i="255"/>
  <c r="M25" i="254"/>
  <c r="M48" i="255"/>
  <c r="M26" i="254"/>
  <c r="L77" i="253"/>
  <c r="K77" i="255"/>
  <c r="K74" i="254"/>
  <c r="T43" i="253"/>
  <c r="M43" i="255"/>
  <c r="M22" i="254"/>
  <c r="D7" i="255"/>
  <c r="D43" i="254"/>
  <c r="L79" i="253"/>
  <c r="K79" i="255"/>
  <c r="K76" i="254"/>
  <c r="T20" i="253"/>
  <c r="M20" i="255"/>
  <c r="M9" i="254"/>
  <c r="D28" i="255"/>
  <c r="D14" i="254"/>
  <c r="M29" i="255"/>
  <c r="M82" i="254"/>
  <c r="M8" i="255"/>
  <c r="M44" i="254"/>
  <c r="N29" i="255"/>
  <c r="N82" i="254"/>
  <c r="N60" i="255"/>
  <c r="N33" i="254"/>
  <c r="L81" i="253"/>
  <c r="K81" i="255"/>
  <c r="K40" i="254"/>
  <c r="F14" i="255"/>
  <c r="F7" i="254"/>
  <c r="K83" i="253"/>
  <c r="K7" i="254"/>
  <c r="K42" i="254" s="1"/>
  <c r="I7" i="97" s="1"/>
  <c r="K14" i="255"/>
  <c r="M38" i="255"/>
  <c r="M19" i="254"/>
  <c r="D20" i="255"/>
  <c r="D9" i="254"/>
  <c r="D44" i="255"/>
  <c r="D23" i="254"/>
  <c r="M25" i="255"/>
  <c r="M52" i="254"/>
  <c r="M36" i="255"/>
  <c r="M56" i="254"/>
  <c r="AA39" i="254"/>
  <c r="AA42" i="254" s="1"/>
  <c r="AA70" i="255"/>
  <c r="AA83" i="255" s="1"/>
  <c r="M10" i="255"/>
  <c r="M79" i="254"/>
  <c r="D33" i="255"/>
  <c r="D55" i="254"/>
  <c r="N61" i="255"/>
  <c r="N34" i="254"/>
  <c r="L82" i="253"/>
  <c r="K82" i="255"/>
  <c r="K41" i="254"/>
  <c r="M50" i="255"/>
  <c r="M60" i="254"/>
  <c r="N50" i="255"/>
  <c r="N60" i="254"/>
  <c r="N24" i="255"/>
  <c r="N12" i="254"/>
  <c r="M5" i="255"/>
  <c r="M5" i="254"/>
  <c r="M65" i="255"/>
  <c r="M35" i="254"/>
  <c r="D52" i="255"/>
  <c r="D78" i="254"/>
  <c r="N28" i="255"/>
  <c r="N14" i="254"/>
  <c r="M70" i="255"/>
  <c r="M39" i="254"/>
  <c r="M66" i="255"/>
  <c r="M67" i="254"/>
  <c r="M55" i="255"/>
  <c r="M30" i="254"/>
  <c r="M17" i="255"/>
  <c r="M81" i="254"/>
  <c r="T33" i="253"/>
  <c r="M33" i="255"/>
  <c r="M55" i="254"/>
  <c r="K71" i="255"/>
  <c r="K68" i="254"/>
  <c r="K83" i="254" s="1"/>
  <c r="N65" i="255"/>
  <c r="N35" i="254"/>
  <c r="N83" i="253"/>
  <c r="D83" i="253"/>
  <c r="B7" i="12" s="1"/>
  <c r="AA83" i="253"/>
  <c r="E13" i="67" s="1"/>
  <c r="J4" i="44"/>
  <c r="O25" i="253"/>
  <c r="T25" i="253"/>
  <c r="F52" i="253"/>
  <c r="P79" i="253"/>
  <c r="P82" i="253"/>
  <c r="F7" i="253"/>
  <c r="Y7" i="12"/>
  <c r="O10" i="253"/>
  <c r="T10" i="253"/>
  <c r="F33" i="253"/>
  <c r="O33" i="253"/>
  <c r="F28" i="253"/>
  <c r="O55" i="253"/>
  <c r="T55" i="253"/>
  <c r="O17" i="253"/>
  <c r="T17" i="253"/>
  <c r="O5" i="253"/>
  <c r="T5" i="253"/>
  <c r="P77" i="253"/>
  <c r="O70" i="253"/>
  <c r="T70" i="253"/>
  <c r="O36" i="253"/>
  <c r="T36" i="253"/>
  <c r="O50" i="253"/>
  <c r="T50" i="253"/>
  <c r="O22" i="253"/>
  <c r="T22" i="253"/>
  <c r="F37" i="253"/>
  <c r="L71" i="253"/>
  <c r="O46" i="253"/>
  <c r="T46" i="253"/>
  <c r="O48" i="253"/>
  <c r="T48" i="253"/>
  <c r="O29" i="253"/>
  <c r="T29" i="253"/>
  <c r="O8" i="253"/>
  <c r="T8" i="253"/>
  <c r="L14" i="253"/>
  <c r="O43" i="253"/>
  <c r="F43" i="253"/>
  <c r="F23" i="253"/>
  <c r="O38" i="253"/>
  <c r="T38" i="253"/>
  <c r="P72" i="253"/>
  <c r="P74" i="253"/>
  <c r="O65" i="253"/>
  <c r="T65" i="253"/>
  <c r="O66" i="253"/>
  <c r="T66" i="253"/>
  <c r="O20" i="253"/>
  <c r="F20" i="253"/>
  <c r="F11" i="253"/>
  <c r="F44" i="253"/>
  <c r="P73" i="253"/>
  <c r="P81" i="253"/>
  <c r="C7" i="12"/>
  <c r="V7" i="12"/>
  <c r="E7" i="12"/>
  <c r="X7" i="12"/>
  <c r="U7" i="12"/>
  <c r="M31" i="253"/>
  <c r="M24" i="253"/>
  <c r="M34" i="253"/>
  <c r="F7" i="12"/>
  <c r="G7" i="12"/>
  <c r="H7" i="12"/>
  <c r="M9" i="253"/>
  <c r="M12" i="253"/>
  <c r="M18" i="253"/>
  <c r="M39" i="253"/>
  <c r="M45" i="253"/>
  <c r="M19" i="253"/>
  <c r="M11" i="253"/>
  <c r="M6" i="253"/>
  <c r="M30" i="253"/>
  <c r="M26" i="253"/>
  <c r="M37" i="253"/>
  <c r="M40" i="253"/>
  <c r="M21" i="253"/>
  <c r="M23" i="253"/>
  <c r="M61" i="253"/>
  <c r="M49" i="253"/>
  <c r="M52" i="253"/>
  <c r="M11" i="255" l="1"/>
  <c r="M6" i="254"/>
  <c r="U50" i="253"/>
  <c r="T50" i="255"/>
  <c r="T60" i="254"/>
  <c r="O5" i="255"/>
  <c r="O5" i="254"/>
  <c r="U10" i="253"/>
  <c r="T10" i="255"/>
  <c r="T79" i="254"/>
  <c r="O52" i="254"/>
  <c r="O25" i="255"/>
  <c r="D83" i="255"/>
  <c r="L74" i="255"/>
  <c r="L71" i="254"/>
  <c r="O23" i="253"/>
  <c r="M23" i="255"/>
  <c r="M51" i="254"/>
  <c r="M19" i="255"/>
  <c r="M50" i="254"/>
  <c r="O50" i="255"/>
  <c r="O60" i="254"/>
  <c r="U17" i="253"/>
  <c r="T17" i="255"/>
  <c r="T81" i="254"/>
  <c r="O10" i="255"/>
  <c r="O79" i="254"/>
  <c r="O66" i="255"/>
  <c r="O67" i="254"/>
  <c r="M40" i="255"/>
  <c r="M21" i="254"/>
  <c r="M45" i="255"/>
  <c r="M24" i="254"/>
  <c r="M34" i="255"/>
  <c r="M16" i="254"/>
  <c r="P81" i="255"/>
  <c r="P40" i="254"/>
  <c r="U65" i="253"/>
  <c r="T65" i="255"/>
  <c r="T35" i="254"/>
  <c r="O43" i="255"/>
  <c r="O22" i="254"/>
  <c r="U46" i="253"/>
  <c r="T46" i="255"/>
  <c r="T25" i="254"/>
  <c r="U36" i="253"/>
  <c r="T36" i="255"/>
  <c r="T56" i="254"/>
  <c r="O81" i="254"/>
  <c r="O17" i="255"/>
  <c r="U48" i="253"/>
  <c r="T48" i="255"/>
  <c r="T26" i="254"/>
  <c r="M24" i="255"/>
  <c r="M12" i="254"/>
  <c r="L14" i="255"/>
  <c r="L7" i="254"/>
  <c r="O46" i="255"/>
  <c r="O25" i="254"/>
  <c r="O36" i="255"/>
  <c r="O56" i="254"/>
  <c r="U55" i="253"/>
  <c r="T55" i="255"/>
  <c r="T30" i="254"/>
  <c r="F7" i="255"/>
  <c r="F43" i="254"/>
  <c r="U33" i="253"/>
  <c r="T33" i="255"/>
  <c r="T55" i="254"/>
  <c r="U20" i="253"/>
  <c r="T20" i="255"/>
  <c r="T9" i="254"/>
  <c r="U43" i="253"/>
  <c r="T43" i="255"/>
  <c r="T22" i="254"/>
  <c r="D42" i="254"/>
  <c r="B7" i="97" s="1"/>
  <c r="U66" i="253"/>
  <c r="T66" i="255"/>
  <c r="T67" i="254"/>
  <c r="O37" i="253"/>
  <c r="M37" i="255"/>
  <c r="M18" i="254"/>
  <c r="M31" i="255"/>
  <c r="M53" i="254"/>
  <c r="U8" i="253"/>
  <c r="T8" i="255"/>
  <c r="T44" i="254"/>
  <c r="L71" i="255"/>
  <c r="L68" i="254"/>
  <c r="U70" i="253"/>
  <c r="T70" i="255"/>
  <c r="T39" i="254"/>
  <c r="O30" i="254"/>
  <c r="O55" i="255"/>
  <c r="P82" i="255"/>
  <c r="P41" i="254"/>
  <c r="L82" i="255"/>
  <c r="L41" i="254"/>
  <c r="Y7" i="97"/>
  <c r="AA86" i="254"/>
  <c r="F43" i="255"/>
  <c r="F22" i="254"/>
  <c r="M39" i="255"/>
  <c r="M20" i="254"/>
  <c r="F44" i="255"/>
  <c r="F23" i="254"/>
  <c r="M26" i="255"/>
  <c r="M13" i="254"/>
  <c r="M12" i="255"/>
  <c r="M46" i="254"/>
  <c r="F11" i="255"/>
  <c r="F6" i="254"/>
  <c r="P72" i="255"/>
  <c r="P69" i="254"/>
  <c r="O8" i="255"/>
  <c r="O44" i="254"/>
  <c r="F37" i="255"/>
  <c r="F18" i="254"/>
  <c r="O70" i="255"/>
  <c r="O39" i="254"/>
  <c r="F28" i="255"/>
  <c r="F14" i="254"/>
  <c r="P79" i="255"/>
  <c r="P76" i="254"/>
  <c r="N42" i="254"/>
  <c r="L7" i="97" s="1"/>
  <c r="N83" i="255"/>
  <c r="L72" i="255"/>
  <c r="L69" i="254"/>
  <c r="O48" i="255"/>
  <c r="O26" i="254"/>
  <c r="P73" i="255"/>
  <c r="P70" i="254"/>
  <c r="P74" i="255"/>
  <c r="P71" i="254"/>
  <c r="T52" i="253"/>
  <c r="M52" i="255"/>
  <c r="M78" i="254"/>
  <c r="M49" i="255"/>
  <c r="M27" i="254"/>
  <c r="M30" i="255"/>
  <c r="M15" i="254"/>
  <c r="M9" i="255"/>
  <c r="M45" i="254"/>
  <c r="F20" i="255"/>
  <c r="F9" i="254"/>
  <c r="U38" i="253"/>
  <c r="T38" i="255"/>
  <c r="T19" i="254"/>
  <c r="U29" i="253"/>
  <c r="T29" i="255"/>
  <c r="T82" i="254"/>
  <c r="U22" i="253"/>
  <c r="T22" i="255"/>
  <c r="T11" i="254"/>
  <c r="P77" i="255"/>
  <c r="P74" i="254"/>
  <c r="O55" i="254"/>
  <c r="O33" i="255"/>
  <c r="F52" i="255"/>
  <c r="F78" i="254"/>
  <c r="N83" i="254"/>
  <c r="L81" i="255"/>
  <c r="L40" i="254"/>
  <c r="L79" i="255"/>
  <c r="L76" i="254"/>
  <c r="L77" i="255"/>
  <c r="L74" i="254"/>
  <c r="F23" i="255"/>
  <c r="F51" i="254"/>
  <c r="M21" i="255"/>
  <c r="M10" i="254"/>
  <c r="O65" i="255"/>
  <c r="O35" i="254"/>
  <c r="M18" i="255"/>
  <c r="M49" i="254"/>
  <c r="M61" i="255"/>
  <c r="M34" i="254"/>
  <c r="M6" i="255"/>
  <c r="M80" i="254"/>
  <c r="O20" i="255"/>
  <c r="O9" i="254"/>
  <c r="O38" i="255"/>
  <c r="O19" i="254"/>
  <c r="O82" i="254"/>
  <c r="O29" i="255"/>
  <c r="O22" i="255"/>
  <c r="O11" i="254"/>
  <c r="U5" i="253"/>
  <c r="T5" i="255"/>
  <c r="T5" i="254"/>
  <c r="F33" i="255"/>
  <c r="F55" i="254"/>
  <c r="U25" i="253"/>
  <c r="T25" i="255"/>
  <c r="T52" i="254"/>
  <c r="K86" i="254"/>
  <c r="L87" i="254" s="1"/>
  <c r="K83" i="255"/>
  <c r="L84" i="255" s="1"/>
  <c r="D83" i="254"/>
  <c r="L73" i="255"/>
  <c r="L70" i="254"/>
  <c r="F83" i="253"/>
  <c r="D7" i="12" s="1"/>
  <c r="L83" i="253"/>
  <c r="L84" i="253"/>
  <c r="V29" i="253"/>
  <c r="O26" i="253"/>
  <c r="T26" i="253"/>
  <c r="O18" i="253"/>
  <c r="T18" i="253"/>
  <c r="P71" i="253"/>
  <c r="M72" i="253"/>
  <c r="M79" i="253"/>
  <c r="O39" i="253"/>
  <c r="T39" i="253"/>
  <c r="M82" i="253"/>
  <c r="M73" i="253"/>
  <c r="O61" i="253"/>
  <c r="T61" i="253"/>
  <c r="O40" i="253"/>
  <c r="T40" i="253"/>
  <c r="O6" i="253"/>
  <c r="T6" i="253"/>
  <c r="O9" i="253"/>
  <c r="T9" i="253"/>
  <c r="O34" i="253"/>
  <c r="T34" i="253"/>
  <c r="P14" i="253"/>
  <c r="M74" i="253"/>
  <c r="T11" i="253"/>
  <c r="O24" i="253"/>
  <c r="T24" i="253"/>
  <c r="M77" i="253"/>
  <c r="O49" i="253"/>
  <c r="T49" i="253"/>
  <c r="O31" i="253"/>
  <c r="T31" i="253"/>
  <c r="O52" i="253"/>
  <c r="O21" i="253"/>
  <c r="T21" i="253"/>
  <c r="O30" i="253"/>
  <c r="T30" i="253"/>
  <c r="T37" i="253"/>
  <c r="O12" i="253"/>
  <c r="T12" i="253"/>
  <c r="O19" i="253"/>
  <c r="T19" i="253"/>
  <c r="T23" i="253"/>
  <c r="O45" i="253"/>
  <c r="T45" i="253"/>
  <c r="M81" i="253"/>
  <c r="O11" i="253"/>
  <c r="M47" i="253"/>
  <c r="M53" i="253"/>
  <c r="M15" i="253"/>
  <c r="M28" i="253"/>
  <c r="M60" i="253"/>
  <c r="M44" i="253"/>
  <c r="M57" i="253"/>
  <c r="M68" i="253"/>
  <c r="M67" i="253"/>
  <c r="M16" i="253"/>
  <c r="M56" i="253"/>
  <c r="M58" i="253"/>
  <c r="L7" i="12"/>
  <c r="M27" i="253"/>
  <c r="M51" i="253"/>
  <c r="M7" i="253"/>
  <c r="M35" i="253"/>
  <c r="M54" i="253"/>
  <c r="M42" i="253"/>
  <c r="M62" i="253"/>
  <c r="M59" i="253"/>
  <c r="M63" i="253"/>
  <c r="M32" i="253"/>
  <c r="M13" i="253"/>
  <c r="M41" i="253"/>
  <c r="M69" i="253"/>
  <c r="M64" i="253"/>
  <c r="O21" i="255" l="1"/>
  <c r="O10" i="254"/>
  <c r="U39" i="253"/>
  <c r="T39" i="255"/>
  <c r="T20" i="254"/>
  <c r="O26" i="255"/>
  <c r="O13" i="254"/>
  <c r="V20" i="253"/>
  <c r="U20" i="255"/>
  <c r="U9" i="254"/>
  <c r="O23" i="255"/>
  <c r="O51" i="254"/>
  <c r="V10" i="253"/>
  <c r="U10" i="255"/>
  <c r="U79" i="254"/>
  <c r="M56" i="255"/>
  <c r="M62" i="254"/>
  <c r="M53" i="255"/>
  <c r="M29" i="254"/>
  <c r="U29" i="255"/>
  <c r="U82" i="254"/>
  <c r="V8" i="253"/>
  <c r="U8" i="255"/>
  <c r="U44" i="254"/>
  <c r="V66" i="253"/>
  <c r="U66" i="255"/>
  <c r="E12" i="163"/>
  <c r="U67" i="254"/>
  <c r="V55" i="253"/>
  <c r="U55" i="255"/>
  <c r="U30" i="254"/>
  <c r="V17" i="253"/>
  <c r="U17" i="255"/>
  <c r="U81" i="254"/>
  <c r="O24" i="255"/>
  <c r="O12" i="254"/>
  <c r="O52" i="255"/>
  <c r="O78" i="254"/>
  <c r="U11" i="253"/>
  <c r="T11" i="255"/>
  <c r="T6" i="254"/>
  <c r="M35" i="255"/>
  <c r="M17" i="254"/>
  <c r="U12" i="253"/>
  <c r="T12" i="255"/>
  <c r="T46" i="254"/>
  <c r="U31" i="253"/>
  <c r="T31" i="255"/>
  <c r="T53" i="254"/>
  <c r="O74" i="253"/>
  <c r="M74" i="255"/>
  <c r="M71" i="254"/>
  <c r="U40" i="253"/>
  <c r="T40" i="255"/>
  <c r="T21" i="254"/>
  <c r="O79" i="253"/>
  <c r="M79" i="255"/>
  <c r="M76" i="254"/>
  <c r="V5" i="253"/>
  <c r="U5" i="255"/>
  <c r="U5" i="254"/>
  <c r="V36" i="253"/>
  <c r="U36" i="255"/>
  <c r="U56" i="254"/>
  <c r="V65" i="253"/>
  <c r="U65" i="255"/>
  <c r="U35" i="254"/>
  <c r="U6" i="253"/>
  <c r="T6" i="255"/>
  <c r="T80" i="254"/>
  <c r="O6" i="255"/>
  <c r="O80" i="254"/>
  <c r="M67" i="255"/>
  <c r="M36" i="254"/>
  <c r="M7" i="255"/>
  <c r="M43" i="254"/>
  <c r="O6" i="254"/>
  <c r="O11" i="255"/>
  <c r="O12" i="255"/>
  <c r="O46" i="254"/>
  <c r="O31" i="255"/>
  <c r="O53" i="254"/>
  <c r="P14" i="255"/>
  <c r="P83" i="255" s="1"/>
  <c r="P7" i="254"/>
  <c r="P42" i="254" s="1"/>
  <c r="N7" i="97" s="1"/>
  <c r="O40" i="255"/>
  <c r="O21" i="254"/>
  <c r="O72" i="253"/>
  <c r="M72" i="255"/>
  <c r="M69" i="254"/>
  <c r="M64" i="255"/>
  <c r="M66" i="254"/>
  <c r="M54" i="255"/>
  <c r="M61" i="254"/>
  <c r="M51" i="255"/>
  <c r="M28" i="254"/>
  <c r="U37" i="253"/>
  <c r="T37" i="255"/>
  <c r="T18" i="254"/>
  <c r="U49" i="253"/>
  <c r="T49" i="255"/>
  <c r="T27" i="254"/>
  <c r="U34" i="253"/>
  <c r="T34" i="255"/>
  <c r="T16" i="254"/>
  <c r="U61" i="253"/>
  <c r="T61" i="255"/>
  <c r="T34" i="254"/>
  <c r="P71" i="255"/>
  <c r="P68" i="254"/>
  <c r="P83" i="254" s="1"/>
  <c r="V38" i="253"/>
  <c r="U38" i="255"/>
  <c r="U19" i="254"/>
  <c r="V70" i="253"/>
  <c r="E10" i="163"/>
  <c r="U70" i="255"/>
  <c r="U39" i="254"/>
  <c r="V33" i="253"/>
  <c r="U33" i="255"/>
  <c r="U55" i="254"/>
  <c r="V48" i="253"/>
  <c r="U48" i="255"/>
  <c r="U26" i="254"/>
  <c r="M42" i="255"/>
  <c r="M58" i="254"/>
  <c r="O50" i="254"/>
  <c r="O19" i="255"/>
  <c r="M68" i="255"/>
  <c r="M37" i="254"/>
  <c r="M44" i="255"/>
  <c r="M23" i="254"/>
  <c r="U30" i="253"/>
  <c r="T30" i="255"/>
  <c r="T15" i="254"/>
  <c r="O49" i="255"/>
  <c r="O27" i="254"/>
  <c r="O34" i="255"/>
  <c r="O16" i="254"/>
  <c r="O61" i="255"/>
  <c r="O34" i="254"/>
  <c r="U18" i="253"/>
  <c r="T18" i="255"/>
  <c r="T49" i="254"/>
  <c r="V25" i="253"/>
  <c r="U25" i="255"/>
  <c r="U52" i="254"/>
  <c r="L8" i="97"/>
  <c r="N86" i="254"/>
  <c r="L83" i="254"/>
  <c r="V43" i="253"/>
  <c r="U43" i="255"/>
  <c r="U22" i="254"/>
  <c r="F83" i="254"/>
  <c r="V46" i="253"/>
  <c r="U46" i="255"/>
  <c r="U25" i="254"/>
  <c r="V50" i="253"/>
  <c r="U50" i="255"/>
  <c r="U60" i="254"/>
  <c r="M15" i="255"/>
  <c r="M48" i="254"/>
  <c r="M16" i="255"/>
  <c r="M8" i="254"/>
  <c r="V29" i="255"/>
  <c r="V82" i="254"/>
  <c r="M41" i="255"/>
  <c r="M57" i="254"/>
  <c r="M13" i="255"/>
  <c r="M47" i="254"/>
  <c r="M57" i="255"/>
  <c r="M63" i="254"/>
  <c r="M63" i="255"/>
  <c r="M65" i="254"/>
  <c r="M59" i="255"/>
  <c r="M32" i="254"/>
  <c r="M60" i="255"/>
  <c r="M33" i="254"/>
  <c r="O45" i="255"/>
  <c r="O24" i="254"/>
  <c r="O30" i="255"/>
  <c r="O15" i="254"/>
  <c r="O77" i="253"/>
  <c r="M77" i="255"/>
  <c r="M74" i="254"/>
  <c r="U9" i="253"/>
  <c r="T9" i="255"/>
  <c r="T45" i="254"/>
  <c r="O73" i="253"/>
  <c r="M73" i="255"/>
  <c r="M70" i="254"/>
  <c r="O18" i="255"/>
  <c r="O49" i="254"/>
  <c r="V22" i="253"/>
  <c r="U22" i="255"/>
  <c r="U11" i="254"/>
  <c r="F42" i="254"/>
  <c r="O18" i="254"/>
  <c r="O37" i="255"/>
  <c r="F83" i="255"/>
  <c r="L42" i="254"/>
  <c r="J7" i="97" s="1"/>
  <c r="U19" i="253"/>
  <c r="T19" i="255"/>
  <c r="T50" i="254"/>
  <c r="M69" i="255"/>
  <c r="M38" i="254"/>
  <c r="O39" i="255"/>
  <c r="O20" i="254"/>
  <c r="M47" i="255"/>
  <c r="M59" i="254"/>
  <c r="M32" i="255"/>
  <c r="M54" i="254"/>
  <c r="O81" i="253"/>
  <c r="M81" i="255"/>
  <c r="M40" i="254"/>
  <c r="M27" i="255"/>
  <c r="M84" i="254"/>
  <c r="M85" i="254" s="1"/>
  <c r="U45" i="253"/>
  <c r="T45" i="255"/>
  <c r="T24" i="254"/>
  <c r="M62" i="255"/>
  <c r="M64" i="254"/>
  <c r="M58" i="255"/>
  <c r="M31" i="254"/>
  <c r="M28" i="255"/>
  <c r="M14" i="254"/>
  <c r="U23" i="253"/>
  <c r="T23" i="255"/>
  <c r="T51" i="254"/>
  <c r="U21" i="253"/>
  <c r="T21" i="255"/>
  <c r="T10" i="254"/>
  <c r="U24" i="253"/>
  <c r="T24" i="255"/>
  <c r="T12" i="254"/>
  <c r="O9" i="255"/>
  <c r="O45" i="254"/>
  <c r="O82" i="253"/>
  <c r="M82" i="255"/>
  <c r="M41" i="254"/>
  <c r="U26" i="253"/>
  <c r="T26" i="255"/>
  <c r="T13" i="254"/>
  <c r="B8" i="97"/>
  <c r="D86" i="254"/>
  <c r="U52" i="253"/>
  <c r="T52" i="255"/>
  <c r="T78" i="254"/>
  <c r="L83" i="255"/>
  <c r="P83" i="253"/>
  <c r="I7" i="12"/>
  <c r="T73" i="253"/>
  <c r="T79" i="253"/>
  <c r="T77" i="253"/>
  <c r="O35" i="253"/>
  <c r="T35" i="253"/>
  <c r="O27" i="253"/>
  <c r="T27" i="253"/>
  <c r="O56" i="253"/>
  <c r="T56" i="253"/>
  <c r="O60" i="253"/>
  <c r="T60" i="253"/>
  <c r="T74" i="253"/>
  <c r="T72" i="253"/>
  <c r="O13" i="253"/>
  <c r="T13" i="253"/>
  <c r="O57" i="253"/>
  <c r="T57" i="253"/>
  <c r="O54" i="253"/>
  <c r="T54" i="253"/>
  <c r="T28" i="253"/>
  <c r="O28" i="253"/>
  <c r="O15" i="253"/>
  <c r="T15" i="253"/>
  <c r="M14" i="253"/>
  <c r="T82" i="253"/>
  <c r="O63" i="253"/>
  <c r="T63" i="253"/>
  <c r="O64" i="253"/>
  <c r="T64" i="253"/>
  <c r="O59" i="253"/>
  <c r="T59" i="253"/>
  <c r="O53" i="253"/>
  <c r="T53" i="253"/>
  <c r="O47" i="253"/>
  <c r="T47" i="253"/>
  <c r="T81" i="253"/>
  <c r="O62" i="253"/>
  <c r="T62" i="253"/>
  <c r="M71" i="253"/>
  <c r="T7" i="253"/>
  <c r="O7" i="253"/>
  <c r="O67" i="253"/>
  <c r="T67" i="253"/>
  <c r="J7" i="12"/>
  <c r="O68" i="253"/>
  <c r="T68" i="253"/>
  <c r="O32" i="253"/>
  <c r="T32" i="253"/>
  <c r="O16" i="253"/>
  <c r="T16" i="253"/>
  <c r="O69" i="253"/>
  <c r="T69" i="253"/>
  <c r="O42" i="253"/>
  <c r="T42" i="253"/>
  <c r="O58" i="253"/>
  <c r="T58" i="253"/>
  <c r="T44" i="253"/>
  <c r="O44" i="253"/>
  <c r="O41" i="253"/>
  <c r="T41" i="253"/>
  <c r="O51" i="253"/>
  <c r="T51" i="253"/>
  <c r="U56" i="253" l="1"/>
  <c r="T56" i="255"/>
  <c r="T62" i="254"/>
  <c r="U73" i="253"/>
  <c r="T73" i="255"/>
  <c r="T70" i="254"/>
  <c r="V12" i="253"/>
  <c r="E11" i="163"/>
  <c r="U12" i="255"/>
  <c r="U46" i="254"/>
  <c r="V55" i="255"/>
  <c r="V30" i="254"/>
  <c r="U32" i="253"/>
  <c r="T32" i="255"/>
  <c r="T54" i="254"/>
  <c r="M14" i="255"/>
  <c r="M7" i="254"/>
  <c r="M42" i="254" s="1"/>
  <c r="O57" i="255"/>
  <c r="O63" i="254"/>
  <c r="O56" i="255"/>
  <c r="O62" i="254"/>
  <c r="V23" i="253"/>
  <c r="U23" i="255"/>
  <c r="U51" i="254"/>
  <c r="V46" i="255"/>
  <c r="V25" i="254"/>
  <c r="V70" i="255"/>
  <c r="V39" i="254"/>
  <c r="V61" i="253"/>
  <c r="U61" i="255"/>
  <c r="U34" i="254"/>
  <c r="V5" i="255"/>
  <c r="V5" i="254"/>
  <c r="V10" i="255"/>
  <c r="V79" i="254"/>
  <c r="O7" i="255"/>
  <c r="O43" i="254"/>
  <c r="O32" i="255"/>
  <c r="O54" i="254"/>
  <c r="U59" i="253"/>
  <c r="T59" i="255"/>
  <c r="T32" i="254"/>
  <c r="U15" i="253"/>
  <c r="T15" i="255"/>
  <c r="T48" i="254"/>
  <c r="U13" i="253"/>
  <c r="T13" i="255"/>
  <c r="T47" i="254"/>
  <c r="U27" i="253"/>
  <c r="T27" i="255"/>
  <c r="T84" i="254"/>
  <c r="T85" i="254" s="1"/>
  <c r="V45" i="253"/>
  <c r="U45" i="255"/>
  <c r="U24" i="254"/>
  <c r="V19" i="253"/>
  <c r="U19" i="255"/>
  <c r="U50" i="254"/>
  <c r="V22" i="255"/>
  <c r="V11" i="254"/>
  <c r="V9" i="253"/>
  <c r="U9" i="255"/>
  <c r="U45" i="254"/>
  <c r="F86" i="254"/>
  <c r="V48" i="255"/>
  <c r="V26" i="254"/>
  <c r="V37" i="253"/>
  <c r="U37" i="255"/>
  <c r="U18" i="254"/>
  <c r="O74" i="255"/>
  <c r="O71" i="254"/>
  <c r="U44" i="253"/>
  <c r="T44" i="255"/>
  <c r="T23" i="254"/>
  <c r="U58" i="253"/>
  <c r="T58" i="255"/>
  <c r="T31" i="254"/>
  <c r="U51" i="253"/>
  <c r="T51" i="255"/>
  <c r="T28" i="254"/>
  <c r="U62" i="253"/>
  <c r="T62" i="255"/>
  <c r="T64" i="254"/>
  <c r="O59" i="255"/>
  <c r="O32" i="254"/>
  <c r="O48" i="254"/>
  <c r="O15" i="255"/>
  <c r="O47" i="254"/>
  <c r="O13" i="255"/>
  <c r="O84" i="254"/>
  <c r="O85" i="254" s="1"/>
  <c r="O27" i="255"/>
  <c r="V26" i="253"/>
  <c r="U26" i="255"/>
  <c r="U13" i="254"/>
  <c r="V24" i="253"/>
  <c r="U24" i="255"/>
  <c r="U12" i="254"/>
  <c r="K10" i="97"/>
  <c r="V25" i="255"/>
  <c r="V52" i="254"/>
  <c r="V65" i="255"/>
  <c r="V35" i="254"/>
  <c r="U53" i="253"/>
  <c r="T53" i="255"/>
  <c r="T29" i="254"/>
  <c r="M83" i="253"/>
  <c r="M71" i="255"/>
  <c r="M83" i="255" s="1"/>
  <c r="M68" i="254"/>
  <c r="O68" i="255"/>
  <c r="O37" i="254"/>
  <c r="O28" i="255"/>
  <c r="O14" i="254"/>
  <c r="U35" i="253"/>
  <c r="T35" i="255"/>
  <c r="T17" i="254"/>
  <c r="V38" i="255"/>
  <c r="V19" i="254"/>
  <c r="V34" i="253"/>
  <c r="U34" i="255"/>
  <c r="U16" i="254"/>
  <c r="O72" i="255"/>
  <c r="O69" i="254"/>
  <c r="O79" i="255"/>
  <c r="O76" i="254"/>
  <c r="V66" i="255"/>
  <c r="V67" i="254"/>
  <c r="V39" i="253"/>
  <c r="U39" i="255"/>
  <c r="U20" i="254"/>
  <c r="U57" i="253"/>
  <c r="T57" i="255"/>
  <c r="T63" i="254"/>
  <c r="O58" i="255"/>
  <c r="O31" i="254"/>
  <c r="U42" i="253"/>
  <c r="T42" i="255"/>
  <c r="T58" i="254"/>
  <c r="O42" i="255"/>
  <c r="O58" i="254"/>
  <c r="U64" i="253"/>
  <c r="T64" i="255"/>
  <c r="T66" i="254"/>
  <c r="U41" i="253"/>
  <c r="T41" i="255"/>
  <c r="T57" i="254"/>
  <c r="O64" i="255"/>
  <c r="O66" i="254"/>
  <c r="U28" i="253"/>
  <c r="T28" i="255"/>
  <c r="T14" i="254"/>
  <c r="U74" i="253"/>
  <c r="T74" i="255"/>
  <c r="T71" i="254"/>
  <c r="O35" i="255"/>
  <c r="O17" i="254"/>
  <c r="O77" i="255"/>
  <c r="O74" i="254"/>
  <c r="V43" i="255"/>
  <c r="V22" i="254"/>
  <c r="V33" i="255"/>
  <c r="V55" i="254"/>
  <c r="P86" i="254"/>
  <c r="V31" i="253"/>
  <c r="U31" i="255"/>
  <c r="U53" i="254"/>
  <c r="V11" i="253"/>
  <c r="U11" i="255"/>
  <c r="E8" i="163"/>
  <c r="U6" i="254"/>
  <c r="V17" i="255"/>
  <c r="V81" i="254"/>
  <c r="O16" i="255"/>
  <c r="O8" i="254"/>
  <c r="O53" i="255"/>
  <c r="O29" i="254"/>
  <c r="O51" i="255"/>
  <c r="O28" i="254"/>
  <c r="O64" i="254"/>
  <c r="O62" i="255"/>
  <c r="U72" i="253"/>
  <c r="T72" i="255"/>
  <c r="T69" i="254"/>
  <c r="U69" i="253"/>
  <c r="T69" i="255"/>
  <c r="T38" i="254"/>
  <c r="U81" i="253"/>
  <c r="T81" i="255"/>
  <c r="T40" i="254"/>
  <c r="O41" i="255"/>
  <c r="O57" i="254"/>
  <c r="O38" i="254"/>
  <c r="O69" i="255"/>
  <c r="U67" i="253"/>
  <c r="T67" i="255"/>
  <c r="T36" i="254"/>
  <c r="U47" i="253"/>
  <c r="T47" i="255"/>
  <c r="T59" i="254"/>
  <c r="U63" i="253"/>
  <c r="T63" i="255"/>
  <c r="T65" i="254"/>
  <c r="U54" i="253"/>
  <c r="T54" i="255"/>
  <c r="T61" i="254"/>
  <c r="U60" i="253"/>
  <c r="T60" i="255"/>
  <c r="T33" i="254"/>
  <c r="U77" i="253"/>
  <c r="T77" i="255"/>
  <c r="T74" i="254"/>
  <c r="V52" i="253"/>
  <c r="U52" i="255"/>
  <c r="U78" i="254"/>
  <c r="O82" i="255"/>
  <c r="O41" i="254"/>
  <c r="V21" i="253"/>
  <c r="U21" i="255"/>
  <c r="U10" i="254"/>
  <c r="V50" i="255"/>
  <c r="V60" i="254"/>
  <c r="L86" i="254"/>
  <c r="V18" i="253"/>
  <c r="U18" i="255"/>
  <c r="U49" i="254"/>
  <c r="V36" i="255"/>
  <c r="V56" i="254"/>
  <c r="V20" i="255"/>
  <c r="V9" i="254"/>
  <c r="U82" i="253"/>
  <c r="V82" i="253" s="1"/>
  <c r="T82" i="255"/>
  <c r="T41" i="254"/>
  <c r="U7" i="253"/>
  <c r="T7" i="255"/>
  <c r="T43" i="254"/>
  <c r="U68" i="253"/>
  <c r="T68" i="255"/>
  <c r="T37" i="254"/>
  <c r="O44" i="255"/>
  <c r="O23" i="254"/>
  <c r="U16" i="253"/>
  <c r="T16" i="255"/>
  <c r="T8" i="254"/>
  <c r="O67" i="255"/>
  <c r="O36" i="254"/>
  <c r="O47" i="255"/>
  <c r="O59" i="254"/>
  <c r="O63" i="255"/>
  <c r="O65" i="254"/>
  <c r="O54" i="255"/>
  <c r="O61" i="254"/>
  <c r="O60" i="255"/>
  <c r="O33" i="254"/>
  <c r="U79" i="253"/>
  <c r="T79" i="255"/>
  <c r="T76" i="254"/>
  <c r="O81" i="255"/>
  <c r="O40" i="254"/>
  <c r="O73" i="255"/>
  <c r="O70" i="254"/>
  <c r="V30" i="253"/>
  <c r="U30" i="255"/>
  <c r="U15" i="254"/>
  <c r="V49" i="253"/>
  <c r="U49" i="255"/>
  <c r="U27" i="254"/>
  <c r="M83" i="254"/>
  <c r="V6" i="253"/>
  <c r="U6" i="255"/>
  <c r="U80" i="254"/>
  <c r="V40" i="253"/>
  <c r="U40" i="255"/>
  <c r="U21" i="254"/>
  <c r="V8" i="255"/>
  <c r="V44" i="254"/>
  <c r="N7" i="12"/>
  <c r="V81" i="253"/>
  <c r="T14" i="253"/>
  <c r="O14" i="253"/>
  <c r="O71" i="253"/>
  <c r="T71" i="253"/>
  <c r="V82" i="255" l="1"/>
  <c r="V41" i="254"/>
  <c r="V16" i="253"/>
  <c r="U16" i="255"/>
  <c r="U8" i="254"/>
  <c r="V67" i="253"/>
  <c r="U67" i="255"/>
  <c r="U36" i="254"/>
  <c r="V57" i="253"/>
  <c r="U57" i="255"/>
  <c r="U63" i="254"/>
  <c r="M86" i="254"/>
  <c r="V58" i="253"/>
  <c r="U58" i="255"/>
  <c r="U31" i="254"/>
  <c r="V37" i="255"/>
  <c r="V18" i="254"/>
  <c r="V77" i="253"/>
  <c r="U77" i="255"/>
  <c r="U74" i="254"/>
  <c r="V35" i="253"/>
  <c r="U35" i="255"/>
  <c r="U17" i="254"/>
  <c r="R10" i="97"/>
  <c r="V15" i="253"/>
  <c r="U15" i="255"/>
  <c r="U48" i="254"/>
  <c r="V73" i="253"/>
  <c r="U73" i="255"/>
  <c r="U70" i="254"/>
  <c r="V18" i="255"/>
  <c r="V49" i="254"/>
  <c r="V63" i="253"/>
  <c r="U63" i="255"/>
  <c r="U65" i="254"/>
  <c r="V69" i="253"/>
  <c r="U69" i="255"/>
  <c r="U38" i="254"/>
  <c r="V62" i="253"/>
  <c r="U62" i="255"/>
  <c r="U64" i="254"/>
  <c r="V7" i="253"/>
  <c r="U7" i="255"/>
  <c r="U43" i="254"/>
  <c r="V79" i="253"/>
  <c r="U76" i="254"/>
  <c r="U79" i="255"/>
  <c r="U82" i="255"/>
  <c r="U41" i="254"/>
  <c r="V11" i="255"/>
  <c r="V6" i="254"/>
  <c r="V74" i="253"/>
  <c r="U74" i="255"/>
  <c r="U71" i="254"/>
  <c r="V41" i="253"/>
  <c r="U41" i="255"/>
  <c r="U57" i="254"/>
  <c r="V42" i="253"/>
  <c r="U42" i="255"/>
  <c r="U58" i="254"/>
  <c r="V39" i="255"/>
  <c r="V20" i="254"/>
  <c r="V53" i="253"/>
  <c r="U53" i="255"/>
  <c r="U29" i="254"/>
  <c r="V44" i="253"/>
  <c r="U44" i="255"/>
  <c r="U23" i="254"/>
  <c r="V27" i="253"/>
  <c r="U27" i="255"/>
  <c r="U84" i="254"/>
  <c r="U85" i="254" s="1"/>
  <c r="V49" i="255"/>
  <c r="V27" i="254"/>
  <c r="V30" i="255"/>
  <c r="V15" i="254"/>
  <c r="V34" i="255"/>
  <c r="V16" i="254"/>
  <c r="V24" i="255"/>
  <c r="V12" i="254"/>
  <c r="V19" i="255"/>
  <c r="V50" i="254"/>
  <c r="V59" i="253"/>
  <c r="U59" i="255"/>
  <c r="U32" i="254"/>
  <c r="V56" i="253"/>
  <c r="U56" i="255"/>
  <c r="U62" i="254"/>
  <c r="V21" i="255"/>
  <c r="V10" i="254"/>
  <c r="V60" i="253"/>
  <c r="U60" i="255"/>
  <c r="U33" i="254"/>
  <c r="V6" i="255"/>
  <c r="V80" i="254"/>
  <c r="V68" i="253"/>
  <c r="U68" i="255"/>
  <c r="U37" i="254"/>
  <c r="V47" i="253"/>
  <c r="U47" i="255"/>
  <c r="U59" i="254"/>
  <c r="V72" i="253"/>
  <c r="U72" i="255"/>
  <c r="U69" i="254"/>
  <c r="V51" i="253"/>
  <c r="U51" i="255"/>
  <c r="U28" i="254"/>
  <c r="V12" i="255"/>
  <c r="V46" i="254"/>
  <c r="O14" i="255"/>
  <c r="O83" i="255" s="1"/>
  <c r="O7" i="254"/>
  <c r="O42" i="254" s="1"/>
  <c r="T14" i="255"/>
  <c r="T7" i="254"/>
  <c r="T42" i="254" s="1"/>
  <c r="T83" i="253"/>
  <c r="M84" i="253" s="1"/>
  <c r="T71" i="255"/>
  <c r="T83" i="255" s="1"/>
  <c r="M84" i="255" s="1"/>
  <c r="T68" i="254"/>
  <c r="T83" i="254" s="1"/>
  <c r="V52" i="255"/>
  <c r="V78" i="254"/>
  <c r="V31" i="255"/>
  <c r="V53" i="254"/>
  <c r="V28" i="253"/>
  <c r="U28" i="255"/>
  <c r="U14" i="254"/>
  <c r="V64" i="253"/>
  <c r="U64" i="255"/>
  <c r="U66" i="254"/>
  <c r="V13" i="253"/>
  <c r="U13" i="255"/>
  <c r="U47" i="254"/>
  <c r="V23" i="255"/>
  <c r="V51" i="254"/>
  <c r="V40" i="255"/>
  <c r="V21" i="254"/>
  <c r="V81" i="255"/>
  <c r="V40" i="254"/>
  <c r="O71" i="255"/>
  <c r="O68" i="254"/>
  <c r="V54" i="253"/>
  <c r="E9" i="163"/>
  <c r="U54" i="255"/>
  <c r="U61" i="254"/>
  <c r="U81" i="255"/>
  <c r="U40" i="254"/>
  <c r="V26" i="255"/>
  <c r="V13" i="254"/>
  <c r="V9" i="255"/>
  <c r="V45" i="254"/>
  <c r="V45" i="255"/>
  <c r="V24" i="254"/>
  <c r="O83" i="254"/>
  <c r="V61" i="255"/>
  <c r="V34" i="254"/>
  <c r="V32" i="253"/>
  <c r="U32" i="255"/>
  <c r="U54" i="254"/>
  <c r="O83" i="253"/>
  <c r="M7" i="12" s="1"/>
  <c r="K7" i="12"/>
  <c r="U14" i="253"/>
  <c r="U71" i="253"/>
  <c r="T86" i="254" l="1"/>
  <c r="M87" i="254" s="1"/>
  <c r="V13" i="255"/>
  <c r="V47" i="254"/>
  <c r="V68" i="255"/>
  <c r="V37" i="254"/>
  <c r="V63" i="255"/>
  <c r="V65" i="254"/>
  <c r="V15" i="255"/>
  <c r="V48" i="254"/>
  <c r="V58" i="255"/>
  <c r="V31" i="254"/>
  <c r="V72" i="255"/>
  <c r="V69" i="254"/>
  <c r="V56" i="255"/>
  <c r="V62" i="254"/>
  <c r="S10" i="97"/>
  <c r="V53" i="255"/>
  <c r="V29" i="254"/>
  <c r="V41" i="255"/>
  <c r="V57" i="254"/>
  <c r="V62" i="255"/>
  <c r="V64" i="254"/>
  <c r="V77" i="255"/>
  <c r="V74" i="254"/>
  <c r="V16" i="255"/>
  <c r="V8" i="254"/>
  <c r="V64" i="255"/>
  <c r="V66" i="254"/>
  <c r="O86" i="254"/>
  <c r="V27" i="255"/>
  <c r="V84" i="254"/>
  <c r="V85" i="254" s="1"/>
  <c r="V79" i="255"/>
  <c r="V76" i="254"/>
  <c r="V57" i="255"/>
  <c r="V63" i="254"/>
  <c r="U14" i="255"/>
  <c r="U7" i="254"/>
  <c r="U42" i="254" s="1"/>
  <c r="V32" i="255"/>
  <c r="V54" i="254"/>
  <c r="V54" i="255"/>
  <c r="V61" i="254"/>
  <c r="V47" i="255"/>
  <c r="V59" i="254"/>
  <c r="V60" i="255"/>
  <c r="V33" i="254"/>
  <c r="V74" i="255"/>
  <c r="V71" i="254"/>
  <c r="V69" i="255"/>
  <c r="V38" i="254"/>
  <c r="V73" i="255"/>
  <c r="V70" i="254"/>
  <c r="V28" i="255"/>
  <c r="V14" i="254"/>
  <c r="V59" i="255"/>
  <c r="V32" i="254"/>
  <c r="U83" i="253"/>
  <c r="H5" i="67" s="1"/>
  <c r="U71" i="255"/>
  <c r="U83" i="255" s="1"/>
  <c r="U68" i="254"/>
  <c r="U83" i="254" s="1"/>
  <c r="V51" i="255"/>
  <c r="V28" i="254"/>
  <c r="V44" i="255"/>
  <c r="V23" i="254"/>
  <c r="V42" i="255"/>
  <c r="V58" i="254"/>
  <c r="V7" i="255"/>
  <c r="V43" i="254"/>
  <c r="V35" i="255"/>
  <c r="V17" i="254"/>
  <c r="V67" i="255"/>
  <c r="V36" i="254"/>
  <c r="R7" i="12"/>
  <c r="V71" i="253"/>
  <c r="V14" i="253"/>
  <c r="U86" i="254" l="1"/>
  <c r="V83" i="254"/>
  <c r="T10" i="97"/>
  <c r="V14" i="255"/>
  <c r="V83" i="255" s="1"/>
  <c r="V7" i="254"/>
  <c r="V42" i="254" s="1"/>
  <c r="V86" i="254" s="1"/>
  <c r="V71" i="255"/>
  <c r="V68" i="254"/>
  <c r="V83" i="253"/>
  <c r="E12" i="67" s="1"/>
  <c r="S7" i="12"/>
  <c r="T7" i="12"/>
  <c r="N85" i="249"/>
  <c r="U85" i="249" s="1"/>
  <c r="D85" i="249"/>
  <c r="U71" i="249"/>
  <c r="D71" i="249"/>
  <c r="N25" i="249"/>
  <c r="U40" i="257" l="1"/>
  <c r="U71" i="256"/>
  <c r="U54" i="257"/>
  <c r="U85" i="256"/>
  <c r="E19" i="99"/>
  <c r="V85" i="249"/>
  <c r="V71" i="249"/>
  <c r="U32" i="249"/>
  <c r="O32" i="249"/>
  <c r="U48" i="249"/>
  <c r="O48" i="249"/>
  <c r="U50" i="249"/>
  <c r="O50" i="249"/>
  <c r="F71" i="249"/>
  <c r="O71" i="249"/>
  <c r="U72" i="249"/>
  <c r="O72" i="249"/>
  <c r="F85" i="249"/>
  <c r="O85" i="249"/>
  <c r="U25" i="249"/>
  <c r="O25" i="249"/>
  <c r="D12" i="245"/>
  <c r="O40" i="257" l="1"/>
  <c r="O71" i="256"/>
  <c r="O25" i="257"/>
  <c r="O25" i="256"/>
  <c r="V54" i="257"/>
  <c r="V85" i="256"/>
  <c r="F40" i="257"/>
  <c r="F71" i="256"/>
  <c r="U101" i="257"/>
  <c r="U50" i="256"/>
  <c r="O36" i="257"/>
  <c r="O48" i="256"/>
  <c r="O41" i="257"/>
  <c r="O72" i="256"/>
  <c r="V40" i="257"/>
  <c r="V71" i="256"/>
  <c r="O101" i="257"/>
  <c r="O50" i="256"/>
  <c r="U25" i="257"/>
  <c r="U25" i="256"/>
  <c r="E15" i="99"/>
  <c r="O54" i="257"/>
  <c r="O85" i="256"/>
  <c r="F54" i="257"/>
  <c r="F85" i="256"/>
  <c r="U36" i="257"/>
  <c r="U48" i="256"/>
  <c r="E13" i="99"/>
  <c r="O100" i="257"/>
  <c r="O32" i="256"/>
  <c r="U41" i="257"/>
  <c r="U72" i="256"/>
  <c r="U100" i="257"/>
  <c r="U32" i="256"/>
  <c r="V25" i="249"/>
  <c r="V48" i="249"/>
  <c r="V72" i="249"/>
  <c r="V50" i="249"/>
  <c r="V32" i="249"/>
  <c r="V101" i="257" l="1"/>
  <c r="V50" i="256"/>
  <c r="V41" i="257"/>
  <c r="V72" i="256"/>
  <c r="V25" i="257"/>
  <c r="V25" i="256"/>
  <c r="V100" i="257"/>
  <c r="V32" i="256"/>
  <c r="V36" i="257"/>
  <c r="V48" i="256"/>
  <c r="D20" i="246"/>
  <c r="D45" i="242" l="1"/>
  <c r="D18" i="242"/>
  <c r="D11" i="242"/>
  <c r="F11" i="242" l="1"/>
  <c r="O11" i="242"/>
  <c r="F45" i="242"/>
  <c r="O45" i="242"/>
  <c r="F18" i="242"/>
  <c r="O18" i="242"/>
  <c r="D15" i="44"/>
  <c r="G11" i="44"/>
  <c r="C11" i="44"/>
  <c r="G5" i="44" l="1"/>
  <c r="K5" i="44"/>
  <c r="B5" i="44"/>
  <c r="C5" i="44"/>
  <c r="AA117" i="249" l="1"/>
  <c r="N117" i="249"/>
  <c r="BP123" i="235" l="1"/>
  <c r="BI123" i="235" l="1"/>
  <c r="D117" i="249" l="1"/>
  <c r="F117" i="249" s="1"/>
  <c r="Q117" i="249"/>
  <c r="F94" i="257" l="1"/>
  <c r="F117" i="256"/>
  <c r="S117" i="249"/>
  <c r="Q121" i="249"/>
  <c r="Q122" i="249" s="1"/>
  <c r="G120" i="249"/>
  <c r="P120" i="249" s="1"/>
  <c r="D120" i="249"/>
  <c r="N119" i="249"/>
  <c r="U119" i="249" s="1"/>
  <c r="G116" i="249"/>
  <c r="P116" i="249" s="1"/>
  <c r="G114" i="249"/>
  <c r="P114" i="249" s="1"/>
  <c r="AA112" i="249"/>
  <c r="V112" i="249" s="1"/>
  <c r="N109" i="249"/>
  <c r="G109" i="249"/>
  <c r="AB104" i="249"/>
  <c r="D92" i="249"/>
  <c r="G90" i="249"/>
  <c r="P90" i="249" s="1"/>
  <c r="D90" i="249"/>
  <c r="G89" i="249"/>
  <c r="P89" i="249" s="1"/>
  <c r="D89" i="249"/>
  <c r="F89" i="249" s="1"/>
  <c r="D86" i="249"/>
  <c r="G82" i="249"/>
  <c r="P82" i="249" s="1"/>
  <c r="D80" i="249"/>
  <c r="D79" i="249"/>
  <c r="D78" i="249"/>
  <c r="D68" i="249"/>
  <c r="D62" i="249"/>
  <c r="G56" i="249"/>
  <c r="P56" i="249" s="1"/>
  <c r="D56" i="249"/>
  <c r="D54" i="249"/>
  <c r="D51" i="249"/>
  <c r="N36" i="249"/>
  <c r="N28" i="249"/>
  <c r="N104" i="249" s="1"/>
  <c r="D26" i="249"/>
  <c r="G19" i="249"/>
  <c r="P19" i="249" s="1"/>
  <c r="G16" i="249"/>
  <c r="G104" i="249" s="1"/>
  <c r="D13" i="249"/>
  <c r="F13" i="249" s="1"/>
  <c r="D12" i="249"/>
  <c r="D9" i="249"/>
  <c r="F9" i="249" s="1"/>
  <c r="D7" i="249"/>
  <c r="A6" i="249"/>
  <c r="A7" i="249" s="1"/>
  <c r="A8" i="249" s="1"/>
  <c r="A9" i="249" s="1"/>
  <c r="A10" i="249" s="1"/>
  <c r="A11" i="249" s="1"/>
  <c r="A12" i="249" s="1"/>
  <c r="A13" i="249" s="1"/>
  <c r="A14" i="249" s="1"/>
  <c r="A15" i="249" s="1"/>
  <c r="A16" i="249" s="1"/>
  <c r="A17" i="249" s="1"/>
  <c r="A18" i="249" s="1"/>
  <c r="A19" i="249" s="1"/>
  <c r="A20" i="249" s="1"/>
  <c r="A21" i="249" s="1"/>
  <c r="A22" i="249" s="1"/>
  <c r="A23" i="249" s="1"/>
  <c r="A24" i="249" s="1"/>
  <c r="A25" i="249" s="1"/>
  <c r="A26" i="249" s="1"/>
  <c r="A27" i="249" s="1"/>
  <c r="A28" i="249" s="1"/>
  <c r="A29" i="249" s="1"/>
  <c r="A30" i="249" s="1"/>
  <c r="A31" i="249" s="1"/>
  <c r="A32" i="249" s="1"/>
  <c r="A33" i="249" s="1"/>
  <c r="A34" i="249" s="1"/>
  <c r="A35" i="249" s="1"/>
  <c r="A36" i="249" s="1"/>
  <c r="A37" i="249" s="1"/>
  <c r="A38" i="249" s="1"/>
  <c r="A39" i="249" s="1"/>
  <c r="A40" i="249" s="1"/>
  <c r="A41" i="249" s="1"/>
  <c r="A42" i="249" s="1"/>
  <c r="A43" i="249" s="1"/>
  <c r="A44" i="249" s="1"/>
  <c r="A45" i="249" s="1"/>
  <c r="A46" i="249" s="1"/>
  <c r="A47" i="249" s="1"/>
  <c r="A48" i="249" s="1"/>
  <c r="A49" i="249" s="1"/>
  <c r="A50" i="249" s="1"/>
  <c r="A51" i="249" s="1"/>
  <c r="A52" i="249" s="1"/>
  <c r="A53" i="249" s="1"/>
  <c r="A54" i="249" s="1"/>
  <c r="A55" i="249" s="1"/>
  <c r="A56" i="249" s="1"/>
  <c r="A57" i="249" s="1"/>
  <c r="A58" i="249" s="1"/>
  <c r="A59" i="249" s="1"/>
  <c r="S5" i="249"/>
  <c r="K5" i="249"/>
  <c r="F5" i="249"/>
  <c r="V119" i="249" l="1"/>
  <c r="U95" i="257"/>
  <c r="U119" i="256"/>
  <c r="F14" i="257"/>
  <c r="F9" i="256"/>
  <c r="P75" i="257"/>
  <c r="P82" i="256"/>
  <c r="S104" i="249"/>
  <c r="S12" i="257"/>
  <c r="S57" i="257" s="1"/>
  <c r="Q8" i="97" s="1"/>
  <c r="S5" i="256"/>
  <c r="S104" i="256" s="1"/>
  <c r="M116" i="249"/>
  <c r="P50" i="257"/>
  <c r="P116" i="256"/>
  <c r="P79" i="257"/>
  <c r="P90" i="256"/>
  <c r="M120" i="249"/>
  <c r="P96" i="257"/>
  <c r="P120" i="256"/>
  <c r="F126" i="257"/>
  <c r="F127" i="257" s="1"/>
  <c r="F13" i="256"/>
  <c r="S94" i="257"/>
  <c r="S97" i="257" s="1"/>
  <c r="S117" i="256"/>
  <c r="S121" i="256" s="1"/>
  <c r="F12" i="257"/>
  <c r="F5" i="256"/>
  <c r="M56" i="249"/>
  <c r="P70" i="257"/>
  <c r="P56" i="256"/>
  <c r="F78" i="257"/>
  <c r="F89" i="256"/>
  <c r="V90" i="257"/>
  <c r="V112" i="256"/>
  <c r="K104" i="249"/>
  <c r="K122" i="249" s="1"/>
  <c r="K12" i="257"/>
  <c r="K57" i="257" s="1"/>
  <c r="K5" i="256"/>
  <c r="K104" i="256" s="1"/>
  <c r="P62" i="257"/>
  <c r="P63" i="257" s="1"/>
  <c r="P19" i="256"/>
  <c r="P78" i="257"/>
  <c r="P89" i="256"/>
  <c r="M114" i="249"/>
  <c r="P92" i="257"/>
  <c r="P114" i="256"/>
  <c r="D104" i="249"/>
  <c r="M82" i="249"/>
  <c r="P16" i="249"/>
  <c r="N121" i="249"/>
  <c r="N122" i="249" s="1"/>
  <c r="L5" i="249"/>
  <c r="F56" i="249"/>
  <c r="O56" i="249"/>
  <c r="M19" i="249"/>
  <c r="O26" i="249"/>
  <c r="F26" i="249"/>
  <c r="D5" i="44"/>
  <c r="AA121" i="249"/>
  <c r="M89" i="249"/>
  <c r="M90" i="249"/>
  <c r="F54" i="249"/>
  <c r="O54" i="249"/>
  <c r="G121" i="249"/>
  <c r="G122" i="249" s="1"/>
  <c r="P109" i="249"/>
  <c r="F86" i="249"/>
  <c r="O86" i="249"/>
  <c r="U23" i="249"/>
  <c r="O23" i="249"/>
  <c r="F62" i="249"/>
  <c r="O62" i="249"/>
  <c r="F90" i="249"/>
  <c r="F7" i="249"/>
  <c r="O7" i="249"/>
  <c r="F79" i="249"/>
  <c r="O79" i="249"/>
  <c r="F92" i="249"/>
  <c r="O92" i="249"/>
  <c r="D121" i="249"/>
  <c r="D122" i="249" s="1"/>
  <c r="C119" i="176" s="1"/>
  <c r="C120" i="176" s="1"/>
  <c r="F120" i="249"/>
  <c r="F68" i="249"/>
  <c r="O68" i="249"/>
  <c r="U28" i="249"/>
  <c r="O28" i="249"/>
  <c r="F78" i="249"/>
  <c r="O78" i="249"/>
  <c r="F12" i="249"/>
  <c r="O12" i="249"/>
  <c r="F51" i="249"/>
  <c r="O51" i="249"/>
  <c r="F80" i="249"/>
  <c r="O80" i="249"/>
  <c r="M117" i="249"/>
  <c r="S121" i="249"/>
  <c r="S122" i="249" s="1"/>
  <c r="M13" i="249"/>
  <c r="X8" i="12"/>
  <c r="O119" i="249"/>
  <c r="H8" i="12"/>
  <c r="G8" i="12"/>
  <c r="P8" i="12"/>
  <c r="A60" i="249"/>
  <c r="A61" i="249" s="1"/>
  <c r="A62" i="249" s="1"/>
  <c r="A63" i="249" s="1"/>
  <c r="A64" i="249" s="1"/>
  <c r="A65" i="249" s="1"/>
  <c r="A66" i="249" s="1"/>
  <c r="A67" i="249" s="1"/>
  <c r="A68" i="249" s="1"/>
  <c r="A69" i="249" s="1"/>
  <c r="A70" i="249" s="1"/>
  <c r="A71" i="249" s="1"/>
  <c r="A72" i="249" s="1"/>
  <c r="A73" i="249" s="1"/>
  <c r="A74" i="249" s="1"/>
  <c r="A75" i="249" s="1"/>
  <c r="A76" i="249" s="1"/>
  <c r="A77" i="249" s="1"/>
  <c r="A78" i="249" s="1"/>
  <c r="A79" i="249" s="1"/>
  <c r="A80" i="249" s="1"/>
  <c r="A81" i="249" s="1"/>
  <c r="A82" i="249" s="1"/>
  <c r="A83" i="249" s="1"/>
  <c r="A84" i="249" s="1"/>
  <c r="A85" i="249" s="1"/>
  <c r="A86" i="249" s="1"/>
  <c r="A87" i="249" s="1"/>
  <c r="A88" i="249" s="1"/>
  <c r="A89" i="249" s="1"/>
  <c r="A90" i="249" s="1"/>
  <c r="A91" i="249" s="1"/>
  <c r="A92" i="249" s="1"/>
  <c r="A93" i="249" s="1"/>
  <c r="C8" i="12"/>
  <c r="O8" i="12"/>
  <c r="M36" i="249"/>
  <c r="M9" i="249"/>
  <c r="M35" i="249"/>
  <c r="O116" i="249"/>
  <c r="U8" i="12"/>
  <c r="O112" i="249"/>
  <c r="V8" i="12"/>
  <c r="O60" i="257" l="1"/>
  <c r="O61" i="257" s="1"/>
  <c r="M9" i="97" s="1"/>
  <c r="O80" i="256"/>
  <c r="O7" i="257"/>
  <c r="O28" i="256"/>
  <c r="O46" i="257"/>
  <c r="O79" i="256"/>
  <c r="U23" i="256"/>
  <c r="U23" i="257"/>
  <c r="O89" i="249"/>
  <c r="M78" i="257"/>
  <c r="M89" i="256"/>
  <c r="L104" i="249"/>
  <c r="L122" i="249" s="1"/>
  <c r="L12" i="257"/>
  <c r="L57" i="257" s="1"/>
  <c r="L5" i="256"/>
  <c r="L104" i="256" s="1"/>
  <c r="L122" i="256" s="1"/>
  <c r="T114" i="249"/>
  <c r="M92" i="257"/>
  <c r="M114" i="256"/>
  <c r="T120" i="249"/>
  <c r="M96" i="257"/>
  <c r="M120" i="256"/>
  <c r="F60" i="257"/>
  <c r="F61" i="257" s="1"/>
  <c r="D9" i="97" s="1"/>
  <c r="F80" i="256"/>
  <c r="O48" i="257"/>
  <c r="O86" i="256"/>
  <c r="O116" i="257"/>
  <c r="O118" i="257" s="1"/>
  <c r="M13" i="97" s="1"/>
  <c r="O68" i="256"/>
  <c r="P105" i="257"/>
  <c r="P114" i="257" s="1"/>
  <c r="N12" i="97" s="1"/>
  <c r="P16" i="256"/>
  <c r="O50" i="257"/>
  <c r="O116" i="256"/>
  <c r="U7" i="257"/>
  <c r="U28" i="256"/>
  <c r="O37" i="257"/>
  <c r="O51" i="256"/>
  <c r="O64" i="257"/>
  <c r="O65" i="257" s="1"/>
  <c r="M10" i="97" s="1"/>
  <c r="O7" i="256"/>
  <c r="F48" i="257"/>
  <c r="F86" i="256"/>
  <c r="T9" i="249"/>
  <c r="M9" i="256"/>
  <c r="M14" i="257"/>
  <c r="F37" i="257"/>
  <c r="F51" i="256"/>
  <c r="F116" i="257"/>
  <c r="F118" i="257" s="1"/>
  <c r="D13" i="97" s="1"/>
  <c r="F68" i="256"/>
  <c r="F64" i="257"/>
  <c r="F65" i="257" s="1"/>
  <c r="D10" i="97" s="1"/>
  <c r="F7" i="256"/>
  <c r="F104" i="256" s="1"/>
  <c r="P55" i="257"/>
  <c r="P109" i="256"/>
  <c r="P121" i="256" s="1"/>
  <c r="F26" i="256"/>
  <c r="F6" i="257"/>
  <c r="F11" i="257" s="1"/>
  <c r="D7" i="97" s="1"/>
  <c r="O82" i="249"/>
  <c r="M75" i="257"/>
  <c r="M82" i="256"/>
  <c r="S128" i="257"/>
  <c r="O90" i="257"/>
  <c r="O112" i="256"/>
  <c r="M107" i="257"/>
  <c r="M35" i="256"/>
  <c r="O95" i="257"/>
  <c r="O119" i="256"/>
  <c r="T36" i="249"/>
  <c r="M29" i="257"/>
  <c r="M36" i="256"/>
  <c r="O17" i="257"/>
  <c r="O12" i="256"/>
  <c r="F121" i="249"/>
  <c r="F96" i="257"/>
  <c r="F120" i="256"/>
  <c r="F121" i="256" s="1"/>
  <c r="F79" i="257"/>
  <c r="F90" i="256"/>
  <c r="O6" i="257"/>
  <c r="O26" i="256"/>
  <c r="F46" i="257"/>
  <c r="F57" i="257" s="1"/>
  <c r="D8" i="97" s="1"/>
  <c r="F79" i="256"/>
  <c r="M13" i="256"/>
  <c r="M126" i="257"/>
  <c r="M127" i="257" s="1"/>
  <c r="F17" i="257"/>
  <c r="F12" i="256"/>
  <c r="O120" i="257"/>
  <c r="O123" i="257" s="1"/>
  <c r="O62" i="256"/>
  <c r="O109" i="257"/>
  <c r="O54" i="256"/>
  <c r="O19" i="249"/>
  <c r="M19" i="256"/>
  <c r="M62" i="257"/>
  <c r="M63" i="257" s="1"/>
  <c r="L105" i="256"/>
  <c r="P105" i="256" s="1"/>
  <c r="K122" i="256"/>
  <c r="L123" i="256" s="1"/>
  <c r="P123" i="256" s="1"/>
  <c r="D18" i="97"/>
  <c r="T116" i="249"/>
  <c r="M50" i="257"/>
  <c r="M116" i="256"/>
  <c r="O45" i="257"/>
  <c r="O78" i="256"/>
  <c r="O80" i="257"/>
  <c r="O92" i="256"/>
  <c r="F120" i="257"/>
  <c r="F123" i="257" s="1"/>
  <c r="D14" i="97" s="1"/>
  <c r="F62" i="256"/>
  <c r="F109" i="257"/>
  <c r="F114" i="257" s="1"/>
  <c r="D12" i="97" s="1"/>
  <c r="F54" i="256"/>
  <c r="O70" i="257"/>
  <c r="O56" i="256"/>
  <c r="K128" i="257"/>
  <c r="I8" i="97"/>
  <c r="P97" i="257"/>
  <c r="S122" i="256"/>
  <c r="T117" i="249"/>
  <c r="M94" i="257"/>
  <c r="M117" i="256"/>
  <c r="F45" i="257"/>
  <c r="F78" i="256"/>
  <c r="F80" i="257"/>
  <c r="F92" i="256"/>
  <c r="O23" i="257"/>
  <c r="O23" i="256"/>
  <c r="T90" i="249"/>
  <c r="M79" i="257"/>
  <c r="M90" i="256"/>
  <c r="F70" i="257"/>
  <c r="F56" i="256"/>
  <c r="T56" i="249"/>
  <c r="M70" i="257"/>
  <c r="M97" i="257" s="1"/>
  <c r="M56" i="256"/>
  <c r="V95" i="257"/>
  <c r="V119" i="256"/>
  <c r="AA122" i="249"/>
  <c r="F104" i="249"/>
  <c r="A94" i="249"/>
  <c r="A95" i="249" s="1"/>
  <c r="A96" i="249" s="1"/>
  <c r="A97" i="249" s="1"/>
  <c r="A98" i="249" s="1"/>
  <c r="A99" i="249" s="1"/>
  <c r="A100" i="249" s="1"/>
  <c r="A101" i="249" s="1"/>
  <c r="A102" i="249" s="1"/>
  <c r="A103" i="249" s="1"/>
  <c r="A108" i="249" s="1"/>
  <c r="A109" i="249" s="1"/>
  <c r="A110" i="249" s="1"/>
  <c r="A111" i="249" s="1"/>
  <c r="A112" i="249" s="1"/>
  <c r="A113" i="249" s="1"/>
  <c r="A114" i="249" s="1"/>
  <c r="A115" i="249" s="1"/>
  <c r="A116" i="249" s="1"/>
  <c r="A117" i="249" s="1"/>
  <c r="A118" i="249" s="1"/>
  <c r="A119" i="249" s="1"/>
  <c r="A120" i="249" s="1"/>
  <c r="A122" i="249" s="1"/>
  <c r="T19" i="249"/>
  <c r="V28" i="249"/>
  <c r="V23" i="249"/>
  <c r="T89" i="249"/>
  <c r="B8" i="12"/>
  <c r="L8" i="12"/>
  <c r="L105" i="249"/>
  <c r="P105" i="249" s="1"/>
  <c r="O90" i="249"/>
  <c r="M109" i="249"/>
  <c r="P121" i="249"/>
  <c r="L123" i="249"/>
  <c r="P123" i="249" s="1"/>
  <c r="M16" i="249"/>
  <c r="P5" i="249"/>
  <c r="T82" i="249"/>
  <c r="O35" i="249"/>
  <c r="T35" i="249"/>
  <c r="O13" i="249"/>
  <c r="T13" i="249"/>
  <c r="O36" i="249"/>
  <c r="O9" i="249"/>
  <c r="O117" i="249"/>
  <c r="O120" i="249"/>
  <c r="E8" i="12"/>
  <c r="Q8" i="12"/>
  <c r="M14" i="249"/>
  <c r="O118" i="249"/>
  <c r="F8" i="12"/>
  <c r="M8" i="249"/>
  <c r="O113" i="249"/>
  <c r="O114" i="249"/>
  <c r="O115" i="249"/>
  <c r="O111" i="249"/>
  <c r="O110" i="249"/>
  <c r="O56" i="257" l="1"/>
  <c r="O110" i="256"/>
  <c r="V7" i="257"/>
  <c r="V28" i="256"/>
  <c r="U90" i="249"/>
  <c r="T79" i="257"/>
  <c r="T90" i="256"/>
  <c r="K18" i="97"/>
  <c r="F122" i="256"/>
  <c r="M14" i="256"/>
  <c r="M18" i="257"/>
  <c r="M55" i="257"/>
  <c r="M109" i="256"/>
  <c r="M121" i="256" s="1"/>
  <c r="O89" i="257"/>
  <c r="O111" i="256"/>
  <c r="U35" i="249"/>
  <c r="T107" i="257"/>
  <c r="T35" i="256"/>
  <c r="O79" i="257"/>
  <c r="O90" i="256"/>
  <c r="U117" i="249"/>
  <c r="T94" i="257"/>
  <c r="T117" i="256"/>
  <c r="O62" i="257"/>
  <c r="O63" i="257" s="1"/>
  <c r="O19" i="256"/>
  <c r="U114" i="249"/>
  <c r="T92" i="257"/>
  <c r="T114" i="256"/>
  <c r="O107" i="257"/>
  <c r="O35" i="256"/>
  <c r="U116" i="249"/>
  <c r="T50" i="257"/>
  <c r="T116" i="256"/>
  <c r="O75" i="257"/>
  <c r="O82" i="256"/>
  <c r="O93" i="257"/>
  <c r="O115" i="256"/>
  <c r="O92" i="257"/>
  <c r="O114" i="256"/>
  <c r="U56" i="249"/>
  <c r="T70" i="257"/>
  <c r="T56" i="256"/>
  <c r="F128" i="257"/>
  <c r="L128" i="257"/>
  <c r="J8" i="97"/>
  <c r="Z8" i="12"/>
  <c r="F7" i="68"/>
  <c r="O126" i="257"/>
  <c r="O127" i="257" s="1"/>
  <c r="M18" i="97" s="1"/>
  <c r="O13" i="256"/>
  <c r="U82" i="249"/>
  <c r="T75" i="257"/>
  <c r="T82" i="256"/>
  <c r="O94" i="257"/>
  <c r="O117" i="256"/>
  <c r="O14" i="257"/>
  <c r="O9" i="256"/>
  <c r="F97" i="257"/>
  <c r="M14" i="97"/>
  <c r="U120" i="249"/>
  <c r="T96" i="257"/>
  <c r="T120" i="256"/>
  <c r="O96" i="257"/>
  <c r="O120" i="256"/>
  <c r="O91" i="257"/>
  <c r="O113" i="256"/>
  <c r="P104" i="249"/>
  <c r="P122" i="249" s="1"/>
  <c r="P12" i="257"/>
  <c r="P57" i="257" s="1"/>
  <c r="N8" i="97" s="1"/>
  <c r="P5" i="256"/>
  <c r="P104" i="256" s="1"/>
  <c r="P122" i="256" s="1"/>
  <c r="M8" i="256"/>
  <c r="M5" i="257"/>
  <c r="M11" i="257" s="1"/>
  <c r="K7" i="97" s="1"/>
  <c r="O16" i="249"/>
  <c r="M16" i="256"/>
  <c r="M105" i="257"/>
  <c r="M114" i="257" s="1"/>
  <c r="K12" i="97" s="1"/>
  <c r="U89" i="249"/>
  <c r="V89" i="249" s="1"/>
  <c r="T78" i="257"/>
  <c r="T89" i="256"/>
  <c r="O29" i="257"/>
  <c r="O36" i="256"/>
  <c r="V23" i="257"/>
  <c r="V23" i="256"/>
  <c r="Y8" i="12"/>
  <c r="E16" i="68"/>
  <c r="U19" i="249"/>
  <c r="T62" i="257"/>
  <c r="T63" i="257" s="1"/>
  <c r="T19" i="256"/>
  <c r="F122" i="249"/>
  <c r="D8" i="12" s="1"/>
  <c r="O51" i="257"/>
  <c r="O118" i="256"/>
  <c r="T126" i="257"/>
  <c r="T127" i="257" s="1"/>
  <c r="R18" i="97" s="1"/>
  <c r="T13" i="256"/>
  <c r="U36" i="249"/>
  <c r="T29" i="257"/>
  <c r="T36" i="256"/>
  <c r="U9" i="249"/>
  <c r="T14" i="257"/>
  <c r="T9" i="256"/>
  <c r="O78" i="257"/>
  <c r="O97" i="257" s="1"/>
  <c r="O89" i="256"/>
  <c r="T16" i="249"/>
  <c r="V82" i="249"/>
  <c r="V35" i="249"/>
  <c r="I8" i="12"/>
  <c r="M5" i="249"/>
  <c r="T109" i="249"/>
  <c r="M121" i="249"/>
  <c r="O109" i="249"/>
  <c r="U13" i="249"/>
  <c r="O14" i="249"/>
  <c r="T14" i="249"/>
  <c r="O8" i="249"/>
  <c r="T8" i="249"/>
  <c r="J8" i="12"/>
  <c r="O108" i="249"/>
  <c r="V78" i="257" l="1"/>
  <c r="V89" i="256"/>
  <c r="V120" i="249"/>
  <c r="U96" i="257"/>
  <c r="U120" i="256"/>
  <c r="V116" i="249"/>
  <c r="U50" i="257"/>
  <c r="U116" i="256"/>
  <c r="O5" i="257"/>
  <c r="O11" i="257" s="1"/>
  <c r="M7" i="97" s="1"/>
  <c r="O8" i="256"/>
  <c r="V117" i="249"/>
  <c r="U94" i="257"/>
  <c r="U117" i="256"/>
  <c r="U75" i="257"/>
  <c r="U82" i="256"/>
  <c r="U79" i="257"/>
  <c r="E14" i="99"/>
  <c r="U90" i="256"/>
  <c r="V90" i="249"/>
  <c r="U14" i="249"/>
  <c r="T18" i="257"/>
  <c r="T14" i="256"/>
  <c r="O18" i="257"/>
  <c r="O14" i="256"/>
  <c r="O105" i="257"/>
  <c r="O114" i="257" s="1"/>
  <c r="O16" i="256"/>
  <c r="P128" i="257"/>
  <c r="U9" i="256"/>
  <c r="U14" i="257"/>
  <c r="V9" i="249"/>
  <c r="O49" i="257"/>
  <c r="O108" i="256"/>
  <c r="V114" i="249"/>
  <c r="U92" i="257"/>
  <c r="U114" i="256"/>
  <c r="V107" i="257"/>
  <c r="V35" i="256"/>
  <c r="U78" i="257"/>
  <c r="U89" i="256"/>
  <c r="E20" i="99"/>
  <c r="V75" i="257"/>
  <c r="V82" i="256"/>
  <c r="O55" i="257"/>
  <c r="O109" i="256"/>
  <c r="U16" i="249"/>
  <c r="T105" i="257"/>
  <c r="T114" i="257" s="1"/>
  <c r="R12" i="97" s="1"/>
  <c r="T16" i="256"/>
  <c r="T55" i="257"/>
  <c r="T109" i="256"/>
  <c r="T121" i="256" s="1"/>
  <c r="U29" i="257"/>
  <c r="U36" i="256"/>
  <c r="V36" i="249"/>
  <c r="T97" i="257"/>
  <c r="U13" i="256"/>
  <c r="U126" i="257"/>
  <c r="U127" i="257" s="1"/>
  <c r="U8" i="249"/>
  <c r="T5" i="257"/>
  <c r="T11" i="257" s="1"/>
  <c r="T8" i="256"/>
  <c r="M12" i="257"/>
  <c r="M57" i="257" s="1"/>
  <c r="K8" i="97" s="1"/>
  <c r="M5" i="256"/>
  <c r="M104" i="256" s="1"/>
  <c r="T105" i="256" s="1"/>
  <c r="V19" i="249"/>
  <c r="U19" i="256"/>
  <c r="U62" i="257"/>
  <c r="U63" i="257" s="1"/>
  <c r="U70" i="257"/>
  <c r="U56" i="256"/>
  <c r="E21" i="99"/>
  <c r="V56" i="249"/>
  <c r="U107" i="257"/>
  <c r="U35" i="256"/>
  <c r="M128" i="257"/>
  <c r="O5" i="249"/>
  <c r="M104" i="249"/>
  <c r="T105" i="249" s="1"/>
  <c r="T5" i="249"/>
  <c r="O121" i="249"/>
  <c r="V8" i="249"/>
  <c r="V14" i="249"/>
  <c r="N8" i="12"/>
  <c r="V13" i="249"/>
  <c r="T121" i="249"/>
  <c r="U109" i="249"/>
  <c r="O104" i="249" l="1"/>
  <c r="O12" i="257"/>
  <c r="O57" i="257" s="1"/>
  <c r="M8" i="97" s="1"/>
  <c r="O5" i="256"/>
  <c r="O104" i="256" s="1"/>
  <c r="S18" i="97"/>
  <c r="V14" i="257"/>
  <c r="V9" i="256"/>
  <c r="V62" i="257"/>
  <c r="V63" i="257" s="1"/>
  <c r="V19" i="256"/>
  <c r="U16" i="256"/>
  <c r="U105" i="257"/>
  <c r="U114" i="257" s="1"/>
  <c r="S12" i="97" s="1"/>
  <c r="V16" i="249"/>
  <c r="M122" i="256"/>
  <c r="T123" i="256" s="1"/>
  <c r="V50" i="257"/>
  <c r="V116" i="256"/>
  <c r="V18" i="257"/>
  <c r="V14" i="256"/>
  <c r="V29" i="257"/>
  <c r="V36" i="256"/>
  <c r="U14" i="256"/>
  <c r="U18" i="257"/>
  <c r="V126" i="257"/>
  <c r="V127" i="257" s="1"/>
  <c r="T18" i="97" s="1"/>
  <c r="V13" i="256"/>
  <c r="V5" i="257"/>
  <c r="V11" i="257" s="1"/>
  <c r="V8" i="256"/>
  <c r="V70" i="257"/>
  <c r="V56" i="256"/>
  <c r="V79" i="257"/>
  <c r="V90" i="256"/>
  <c r="T128" i="257"/>
  <c r="R7" i="97"/>
  <c r="V94" i="257"/>
  <c r="V117" i="256"/>
  <c r="V96" i="257"/>
  <c r="V120" i="256"/>
  <c r="T12" i="257"/>
  <c r="T57" i="257" s="1"/>
  <c r="R8" i="97" s="1"/>
  <c r="T5" i="256"/>
  <c r="T104" i="256" s="1"/>
  <c r="T122" i="256" s="1"/>
  <c r="M123" i="256" s="1"/>
  <c r="V92" i="257"/>
  <c r="V114" i="256"/>
  <c r="M12" i="97"/>
  <c r="O128" i="257"/>
  <c r="V109" i="249"/>
  <c r="U55" i="257"/>
  <c r="U109" i="256"/>
  <c r="U121" i="256" s="1"/>
  <c r="U97" i="257"/>
  <c r="U8" i="256"/>
  <c r="U5" i="257"/>
  <c r="U11" i="257" s="1"/>
  <c r="S7" i="97" s="1"/>
  <c r="O121" i="256"/>
  <c r="M122" i="249"/>
  <c r="T123" i="249" s="1"/>
  <c r="O122" i="249"/>
  <c r="M8" i="12" s="1"/>
  <c r="U5" i="249"/>
  <c r="T104" i="249"/>
  <c r="T122" i="249" s="1"/>
  <c r="M123" i="249" s="1"/>
  <c r="V121" i="249"/>
  <c r="U121" i="249"/>
  <c r="E8" i="99" s="1"/>
  <c r="V105" i="257" l="1"/>
  <c r="V114" i="257" s="1"/>
  <c r="V16" i="256"/>
  <c r="U12" i="257"/>
  <c r="U57" i="257" s="1"/>
  <c r="S8" i="97" s="1"/>
  <c r="U5" i="256"/>
  <c r="U104" i="256" s="1"/>
  <c r="E17" i="99"/>
  <c r="V97" i="257"/>
  <c r="T11" i="97" s="1"/>
  <c r="U122" i="256"/>
  <c r="V55" i="257"/>
  <c r="V109" i="256"/>
  <c r="V121" i="256" s="1"/>
  <c r="O122" i="256"/>
  <c r="K8" i="12"/>
  <c r="U104" i="249"/>
  <c r="V5" i="249"/>
  <c r="R8" i="12"/>
  <c r="V104" i="249" l="1"/>
  <c r="V122" i="249" s="1"/>
  <c r="V12" i="257"/>
  <c r="V57" i="257" s="1"/>
  <c r="T8" i="97" s="1"/>
  <c r="V5" i="256"/>
  <c r="V104" i="256" s="1"/>
  <c r="V122" i="256" s="1"/>
  <c r="U122" i="249"/>
  <c r="F5" i="68" s="1"/>
  <c r="E9" i="99"/>
  <c r="U128" i="257"/>
  <c r="V128" i="257"/>
  <c r="T12" i="97"/>
  <c r="S8" i="12" l="1"/>
  <c r="T8" i="12"/>
  <c r="E12" i="68"/>
  <c r="L11" i="12"/>
  <c r="B11" i="12"/>
  <c r="AA23" i="248"/>
  <c r="X11" i="12"/>
  <c r="V11" i="12"/>
  <c r="O11" i="12"/>
  <c r="G11" i="12"/>
  <c r="F11" i="12"/>
  <c r="E13" i="248"/>
  <c r="E13" i="261" s="1"/>
  <c r="E26" i="261" s="1"/>
  <c r="C11" i="97" s="1"/>
  <c r="AA7" i="248"/>
  <c r="AA7" i="261" s="1"/>
  <c r="A6" i="248"/>
  <c r="A7" i="248" s="1"/>
  <c r="A8" i="248" s="1"/>
  <c r="A9" i="248" s="1"/>
  <c r="A10" i="248" s="1"/>
  <c r="A11" i="248" s="1"/>
  <c r="A12" i="248" s="1"/>
  <c r="A13" i="248" s="1"/>
  <c r="A14" i="248" s="1"/>
  <c r="A15" i="248" s="1"/>
  <c r="A16" i="248" s="1"/>
  <c r="A17" i="248" s="1"/>
  <c r="A18" i="248" s="1"/>
  <c r="S5" i="248"/>
  <c r="K5" i="248"/>
  <c r="K5" i="261" s="1"/>
  <c r="K26" i="261" s="1"/>
  <c r="F5" i="248"/>
  <c r="F5" i="261" s="1"/>
  <c r="W23" i="248" l="1"/>
  <c r="W23" i="261" s="1"/>
  <c r="AA23" i="261"/>
  <c r="AA26" i="261" s="1"/>
  <c r="Y11" i="97" s="1"/>
  <c r="S26" i="248"/>
  <c r="S5" i="261"/>
  <c r="S26" i="261" s="1"/>
  <c r="Q11" i="97" s="1"/>
  <c r="L27" i="261"/>
  <c r="P27" i="261" s="1"/>
  <c r="I11" i="97"/>
  <c r="A19" i="248"/>
  <c r="A20" i="248" s="1"/>
  <c r="A21" i="248" s="1"/>
  <c r="A22" i="248" s="1"/>
  <c r="A23" i="248" s="1"/>
  <c r="A24" i="248" s="1"/>
  <c r="A25" i="248" s="1"/>
  <c r="A26" i="248" s="1"/>
  <c r="AA26" i="248"/>
  <c r="W7" i="248"/>
  <c r="W7" i="261" s="1"/>
  <c r="L5" i="248"/>
  <c r="K26" i="248"/>
  <c r="F13" i="248"/>
  <c r="E26" i="248"/>
  <c r="C11" i="12" s="1"/>
  <c r="D8" i="44"/>
  <c r="Q11" i="12"/>
  <c r="H11" i="12"/>
  <c r="P11" i="12"/>
  <c r="E11" i="12"/>
  <c r="P5" i="248"/>
  <c r="P26" i="248" l="1"/>
  <c r="P5" i="261"/>
  <c r="P26" i="261" s="1"/>
  <c r="N11" i="97" s="1"/>
  <c r="F26" i="248"/>
  <c r="D11" i="12" s="1"/>
  <c r="F13" i="261"/>
  <c r="F26" i="261" s="1"/>
  <c r="D11" i="97" s="1"/>
  <c r="Y11" i="12"/>
  <c r="E13" i="72"/>
  <c r="L26" i="248"/>
  <c r="J11" i="12" s="1"/>
  <c r="L5" i="261"/>
  <c r="L26" i="261" s="1"/>
  <c r="J11" i="97" s="1"/>
  <c r="Z11" i="12"/>
  <c r="F7" i="72"/>
  <c r="L27" i="248"/>
  <c r="P27" i="248" s="1"/>
  <c r="I11" i="12"/>
  <c r="M5" i="248"/>
  <c r="M26" i="248" l="1"/>
  <c r="K11" i="12" s="1"/>
  <c r="M5" i="261"/>
  <c r="M26" i="261" s="1"/>
  <c r="K11" i="97" s="1"/>
  <c r="N11" i="12"/>
  <c r="O5" i="248"/>
  <c r="T5" i="248"/>
  <c r="T26" i="248" l="1"/>
  <c r="T5" i="261"/>
  <c r="T26" i="261" s="1"/>
  <c r="R11" i="97" s="1"/>
  <c r="O26" i="248"/>
  <c r="O5" i="261"/>
  <c r="O26" i="261" s="1"/>
  <c r="M11" i="97" s="1"/>
  <c r="M11" i="12"/>
  <c r="U5" i="248"/>
  <c r="U5" i="261" s="1"/>
  <c r="U26" i="261" s="1"/>
  <c r="S11" i="97" s="1"/>
  <c r="U26" i="248" l="1"/>
  <c r="F5" i="72" s="1"/>
  <c r="W5" i="248"/>
  <c r="R11" i="12"/>
  <c r="W26" i="248" l="1"/>
  <c r="E12" i="72" s="1"/>
  <c r="W5" i="261"/>
  <c r="W26" i="261" s="1"/>
  <c r="S11" i="12"/>
  <c r="S18" i="247"/>
  <c r="K18" i="247"/>
  <c r="F18" i="247"/>
  <c r="S17" i="247"/>
  <c r="K17" i="247"/>
  <c r="L17" i="247" s="1"/>
  <c r="P17" i="247" s="1"/>
  <c r="F17" i="247"/>
  <c r="S16" i="247"/>
  <c r="K16" i="247"/>
  <c r="L16" i="247" s="1"/>
  <c r="F16" i="247"/>
  <c r="S15" i="247"/>
  <c r="K15" i="247"/>
  <c r="L15" i="247" s="1"/>
  <c r="F15" i="247"/>
  <c r="S14" i="247"/>
  <c r="K14" i="247"/>
  <c r="L14" i="247" s="1"/>
  <c r="F14" i="247"/>
  <c r="S13" i="247"/>
  <c r="K13" i="247"/>
  <c r="L13" i="247" s="1"/>
  <c r="F13" i="247"/>
  <c r="S12" i="247"/>
  <c r="K12" i="247"/>
  <c r="L12" i="247" s="1"/>
  <c r="F12" i="247"/>
  <c r="S11" i="247"/>
  <c r="K11" i="247"/>
  <c r="L11" i="247" s="1"/>
  <c r="P11" i="247" s="1"/>
  <c r="F11" i="247"/>
  <c r="S10" i="247"/>
  <c r="K10" i="247"/>
  <c r="L10" i="247" s="1"/>
  <c r="F10" i="247"/>
  <c r="S9" i="247"/>
  <c r="K9" i="247"/>
  <c r="L9" i="247" s="1"/>
  <c r="F9" i="247"/>
  <c r="S8" i="247"/>
  <c r="K8" i="247"/>
  <c r="L8" i="247" s="1"/>
  <c r="F8" i="247"/>
  <c r="S7" i="247"/>
  <c r="K7" i="247"/>
  <c r="L7" i="247" s="1"/>
  <c r="P7" i="247" s="1"/>
  <c r="D7" i="247"/>
  <c r="F7" i="247" s="1"/>
  <c r="S6" i="247"/>
  <c r="K6" i="247"/>
  <c r="L6" i="247" s="1"/>
  <c r="P6" i="247" s="1"/>
  <c r="F6" i="247"/>
  <c r="S5" i="247"/>
  <c r="K5" i="247"/>
  <c r="L5" i="247" s="1"/>
  <c r="F5" i="247"/>
  <c r="A6" i="247"/>
  <c r="A7" i="247" s="1"/>
  <c r="A8" i="247" s="1"/>
  <c r="A9" i="247" s="1"/>
  <c r="A10" i="247" s="1"/>
  <c r="A11" i="247" s="1"/>
  <c r="A12" i="247" s="1"/>
  <c r="A13" i="247" s="1"/>
  <c r="A14" i="247" s="1"/>
  <c r="A15" i="247" s="1"/>
  <c r="A16" i="247" s="1"/>
  <c r="A17" i="247" s="1"/>
  <c r="A18" i="247" s="1"/>
  <c r="M6" i="247" l="1"/>
  <c r="O6" i="247" s="1"/>
  <c r="O14" i="12"/>
  <c r="M11" i="247"/>
  <c r="O11" i="247" s="1"/>
  <c r="H14" i="12"/>
  <c r="L14" i="12"/>
  <c r="X14" i="12"/>
  <c r="Y14" i="12"/>
  <c r="P8" i="247"/>
  <c r="M8" i="247" s="1"/>
  <c r="O8" i="247" s="1"/>
  <c r="P16" i="247"/>
  <c r="M16" i="247" s="1"/>
  <c r="O16" i="247" s="1"/>
  <c r="P14" i="12"/>
  <c r="B14" i="12"/>
  <c r="D14" i="12"/>
  <c r="E14" i="12"/>
  <c r="C14" i="12"/>
  <c r="F14" i="12"/>
  <c r="V14" i="12"/>
  <c r="G14" i="12"/>
  <c r="P10" i="247"/>
  <c r="P12" i="247"/>
  <c r="P15" i="247"/>
  <c r="P5" i="247"/>
  <c r="P13" i="247"/>
  <c r="M7" i="247"/>
  <c r="T7" i="247" s="1"/>
  <c r="U7" i="247" s="1"/>
  <c r="M17" i="247"/>
  <c r="T17" i="247" s="1"/>
  <c r="U17" i="247" s="1"/>
  <c r="P14" i="247"/>
  <c r="L18" i="247"/>
  <c r="P9" i="247"/>
  <c r="T11" i="247"/>
  <c r="U11" i="247" s="1"/>
  <c r="O17" i="247" l="1"/>
  <c r="T6" i="247"/>
  <c r="U6" i="247" s="1"/>
  <c r="W6" i="247" s="1"/>
  <c r="T16" i="247"/>
  <c r="U16" i="247" s="1"/>
  <c r="W16" i="247" s="1"/>
  <c r="Q14" i="12"/>
  <c r="T8" i="247"/>
  <c r="U8" i="247" s="1"/>
  <c r="W8" i="247" s="1"/>
  <c r="W11" i="247"/>
  <c r="O7" i="247"/>
  <c r="W17" i="247"/>
  <c r="W7" i="247"/>
  <c r="M9" i="247"/>
  <c r="O9" i="247" s="1"/>
  <c r="M15" i="247"/>
  <c r="O15" i="247" s="1"/>
  <c r="M14" i="247"/>
  <c r="O14" i="247" s="1"/>
  <c r="M13" i="247"/>
  <c r="O13" i="247" s="1"/>
  <c r="P18" i="247"/>
  <c r="M12" i="247"/>
  <c r="O12" i="247" s="1"/>
  <c r="J14" i="12"/>
  <c r="M5" i="247"/>
  <c r="M10" i="247"/>
  <c r="O10" i="247" s="1"/>
  <c r="T13" i="247" l="1"/>
  <c r="U13" i="247" s="1"/>
  <c r="N14" i="12"/>
  <c r="L20" i="247"/>
  <c r="I14" i="12"/>
  <c r="T14" i="247"/>
  <c r="U14" i="247" s="1"/>
  <c r="T10" i="247"/>
  <c r="U10" i="247" s="1"/>
  <c r="O5" i="247"/>
  <c r="T12" i="247"/>
  <c r="U12" i="247" s="1"/>
  <c r="T15" i="247"/>
  <c r="U15" i="247" s="1"/>
  <c r="T9" i="247"/>
  <c r="U9" i="247" s="1"/>
  <c r="T5" i="247"/>
  <c r="M18" i="247"/>
  <c r="O18" i="247" s="1"/>
  <c r="W15" i="247" l="1"/>
  <c r="W14" i="247"/>
  <c r="W12" i="247"/>
  <c r="W13" i="247"/>
  <c r="W9" i="247"/>
  <c r="W10" i="247"/>
  <c r="K14" i="12"/>
  <c r="M14" i="12"/>
  <c r="T18" i="247"/>
  <c r="U5" i="247"/>
  <c r="U18" i="247" l="1"/>
  <c r="R14" i="12"/>
  <c r="W5" i="247"/>
  <c r="U14" i="12" s="1"/>
  <c r="V18" i="247" l="1"/>
  <c r="T14" i="12" s="1"/>
  <c r="S14" i="12" l="1"/>
  <c r="S41" i="246"/>
  <c r="K41" i="246"/>
  <c r="L41" i="246" s="1"/>
  <c r="F41" i="246"/>
  <c r="H13" i="12"/>
  <c r="S40" i="246"/>
  <c r="K40" i="246"/>
  <c r="L40" i="246" s="1"/>
  <c r="P40" i="246" s="1"/>
  <c r="F40" i="246"/>
  <c r="S39" i="246"/>
  <c r="K39" i="246"/>
  <c r="L39" i="246" s="1"/>
  <c r="F39" i="246"/>
  <c r="S38" i="246"/>
  <c r="K38" i="246"/>
  <c r="L38" i="246" s="1"/>
  <c r="P38" i="246" s="1"/>
  <c r="F38" i="246"/>
  <c r="S37" i="246"/>
  <c r="K37" i="246"/>
  <c r="L37" i="246" s="1"/>
  <c r="F37" i="246"/>
  <c r="S36" i="246"/>
  <c r="K36" i="246"/>
  <c r="L36" i="246" s="1"/>
  <c r="P36" i="246" s="1"/>
  <c r="F36" i="246"/>
  <c r="S35" i="246"/>
  <c r="K35" i="246"/>
  <c r="L35" i="246" s="1"/>
  <c r="F35" i="246"/>
  <c r="S34" i="246"/>
  <c r="K34" i="246"/>
  <c r="L34" i="246" s="1"/>
  <c r="P34" i="246" s="1"/>
  <c r="F34" i="246"/>
  <c r="S33" i="246"/>
  <c r="K33" i="246"/>
  <c r="L33" i="246" s="1"/>
  <c r="F33" i="246"/>
  <c r="S32" i="246"/>
  <c r="K32" i="246"/>
  <c r="L32" i="246" s="1"/>
  <c r="P32" i="246" s="1"/>
  <c r="F32" i="246"/>
  <c r="S31" i="246"/>
  <c r="K31" i="246"/>
  <c r="L31" i="246" s="1"/>
  <c r="P31" i="246" s="1"/>
  <c r="F31" i="246"/>
  <c r="S30" i="246"/>
  <c r="K30" i="246"/>
  <c r="L30" i="246" s="1"/>
  <c r="F30" i="246"/>
  <c r="S29" i="246"/>
  <c r="K29" i="246"/>
  <c r="L29" i="246" s="1"/>
  <c r="F29" i="246"/>
  <c r="S28" i="246"/>
  <c r="K28" i="246"/>
  <c r="L28" i="246" s="1"/>
  <c r="P28" i="246" s="1"/>
  <c r="F28" i="246"/>
  <c r="S27" i="246"/>
  <c r="K27" i="246"/>
  <c r="L27" i="246" s="1"/>
  <c r="F27" i="246"/>
  <c r="S26" i="246"/>
  <c r="K26" i="246"/>
  <c r="L26" i="246" s="1"/>
  <c r="P26" i="246" s="1"/>
  <c r="F26" i="246"/>
  <c r="S25" i="246"/>
  <c r="K25" i="246"/>
  <c r="L25" i="246" s="1"/>
  <c r="D25" i="246"/>
  <c r="F25" i="246" s="1"/>
  <c r="S24" i="246"/>
  <c r="K24" i="246"/>
  <c r="L24" i="246" s="1"/>
  <c r="F24" i="246"/>
  <c r="S23" i="246"/>
  <c r="K23" i="246"/>
  <c r="L23" i="246" s="1"/>
  <c r="P23" i="246" s="1"/>
  <c r="F23" i="246"/>
  <c r="S22" i="246"/>
  <c r="K22" i="246"/>
  <c r="L22" i="246" s="1"/>
  <c r="F22" i="246"/>
  <c r="S21" i="246"/>
  <c r="K21" i="246"/>
  <c r="L21" i="246" s="1"/>
  <c r="P21" i="246" s="1"/>
  <c r="F21" i="246"/>
  <c r="S20" i="246"/>
  <c r="K20" i="246"/>
  <c r="L20" i="246" s="1"/>
  <c r="F20" i="246"/>
  <c r="S19" i="246"/>
  <c r="K19" i="246"/>
  <c r="L19" i="246" s="1"/>
  <c r="P19" i="246" s="1"/>
  <c r="F19" i="246"/>
  <c r="S18" i="246"/>
  <c r="K18" i="246"/>
  <c r="L18" i="246" s="1"/>
  <c r="P18" i="246" s="1"/>
  <c r="F18" i="246"/>
  <c r="S17" i="246"/>
  <c r="K17" i="246"/>
  <c r="L17" i="246" s="1"/>
  <c r="P17" i="246" s="1"/>
  <c r="F17" i="246"/>
  <c r="S16" i="246"/>
  <c r="K16" i="246"/>
  <c r="L16" i="246" s="1"/>
  <c r="P16" i="246" s="1"/>
  <c r="D16" i="246"/>
  <c r="F16" i="246" s="1"/>
  <c r="S15" i="246"/>
  <c r="K15" i="246"/>
  <c r="L15" i="246" s="1"/>
  <c r="F15" i="246"/>
  <c r="S14" i="246"/>
  <c r="K14" i="246"/>
  <c r="L14" i="246" s="1"/>
  <c r="P14" i="246" s="1"/>
  <c r="F14" i="246"/>
  <c r="S13" i="246"/>
  <c r="K13" i="246"/>
  <c r="L13" i="246" s="1"/>
  <c r="P13" i="246" s="1"/>
  <c r="F13" i="246"/>
  <c r="S12" i="246"/>
  <c r="K12" i="246"/>
  <c r="L12" i="246" s="1"/>
  <c r="P12" i="246" s="1"/>
  <c r="D12" i="246"/>
  <c r="F12" i="246" s="1"/>
  <c r="S11" i="246"/>
  <c r="K11" i="246"/>
  <c r="L11" i="246" s="1"/>
  <c r="P11" i="246" s="1"/>
  <c r="D11" i="246"/>
  <c r="F11" i="246" s="1"/>
  <c r="S10" i="246"/>
  <c r="K10" i="246"/>
  <c r="L10" i="246" s="1"/>
  <c r="D10" i="246"/>
  <c r="F10" i="246" s="1"/>
  <c r="S9" i="246"/>
  <c r="K9" i="246"/>
  <c r="L9" i="246" s="1"/>
  <c r="G9" i="246"/>
  <c r="F9" i="246"/>
  <c r="S8" i="246"/>
  <c r="K8" i="246"/>
  <c r="L8" i="246" s="1"/>
  <c r="P8" i="246" s="1"/>
  <c r="F8" i="246"/>
  <c r="S7" i="246"/>
  <c r="K7" i="246"/>
  <c r="L7" i="246" s="1"/>
  <c r="F7" i="246"/>
  <c r="S6" i="246"/>
  <c r="K6" i="246"/>
  <c r="L6" i="246" s="1"/>
  <c r="P6" i="246" s="1"/>
  <c r="F6" i="246"/>
  <c r="S5" i="246"/>
  <c r="K5" i="246"/>
  <c r="L5" i="246" s="1"/>
  <c r="F5" i="246"/>
  <c r="F13" i="12" l="1"/>
  <c r="M8" i="246"/>
  <c r="T8" i="246" s="1"/>
  <c r="U8" i="246" s="1"/>
  <c r="B13" i="12"/>
  <c r="V13" i="12"/>
  <c r="P13" i="12"/>
  <c r="M12" i="246"/>
  <c r="O12" i="246" s="1"/>
  <c r="C13" i="12"/>
  <c r="M17" i="246"/>
  <c r="O17" i="246" s="1"/>
  <c r="P39" i="246"/>
  <c r="P10" i="246"/>
  <c r="M10" i="246" s="1"/>
  <c r="O10" i="246" s="1"/>
  <c r="P30" i="246"/>
  <c r="M30" i="246" s="1"/>
  <c r="O30" i="246" s="1"/>
  <c r="U13" i="12"/>
  <c r="G13" i="12"/>
  <c r="X13" i="12"/>
  <c r="P9" i="246"/>
  <c r="M9" i="246" s="1"/>
  <c r="T9" i="246" s="1"/>
  <c r="U9" i="246" s="1"/>
  <c r="L13" i="12"/>
  <c r="Q13" i="12"/>
  <c r="O13" i="12"/>
  <c r="M36" i="246"/>
  <c r="O36" i="246" s="1"/>
  <c r="P25" i="246"/>
  <c r="M34" i="246"/>
  <c r="T34" i="246" s="1"/>
  <c r="U34" i="246" s="1"/>
  <c r="M40" i="246"/>
  <c r="O40" i="246" s="1"/>
  <c r="P41" i="246"/>
  <c r="P15" i="246"/>
  <c r="M21" i="246"/>
  <c r="T21" i="246" s="1"/>
  <c r="U21" i="246" s="1"/>
  <c r="M28" i="246"/>
  <c r="O28" i="246" s="1"/>
  <c r="M32" i="246"/>
  <c r="O32" i="246" s="1"/>
  <c r="M6" i="246"/>
  <c r="O6" i="246" s="1"/>
  <c r="M13" i="246"/>
  <c r="O13" i="246" s="1"/>
  <c r="M19" i="246"/>
  <c r="T19" i="246" s="1"/>
  <c r="U19" i="246" s="1"/>
  <c r="M26" i="246"/>
  <c r="T26" i="246" s="1"/>
  <c r="U26" i="246" s="1"/>
  <c r="P37" i="246"/>
  <c r="M38" i="246"/>
  <c r="O38" i="246" s="1"/>
  <c r="M23" i="246"/>
  <c r="O23" i="246" s="1"/>
  <c r="P24" i="246"/>
  <c r="P35" i="246"/>
  <c r="M14" i="246"/>
  <c r="T14" i="246" s="1"/>
  <c r="U14" i="246" s="1"/>
  <c r="P7" i="246"/>
  <c r="P29" i="246"/>
  <c r="P33" i="246"/>
  <c r="M18" i="246"/>
  <c r="O18" i="246" s="1"/>
  <c r="O8" i="246"/>
  <c r="M11" i="246"/>
  <c r="T11" i="246" s="1"/>
  <c r="U11" i="246" s="1"/>
  <c r="P5" i="246"/>
  <c r="P22" i="246"/>
  <c r="M16" i="246"/>
  <c r="T16" i="246" s="1"/>
  <c r="U16" i="246" s="1"/>
  <c r="P20" i="246"/>
  <c r="P27" i="246"/>
  <c r="M31" i="246"/>
  <c r="O31" i="246" s="1"/>
  <c r="T10" i="246"/>
  <c r="U10" i="246" s="1"/>
  <c r="T30" i="246" l="1"/>
  <c r="U30" i="246" s="1"/>
  <c r="V30" i="246" s="1"/>
  <c r="D13" i="12"/>
  <c r="T36" i="246"/>
  <c r="U36" i="246" s="1"/>
  <c r="O34" i="246"/>
  <c r="T32" i="246"/>
  <c r="U32" i="246" s="1"/>
  <c r="V34" i="246"/>
  <c r="T17" i="246"/>
  <c r="U17" i="246" s="1"/>
  <c r="V16" i="246"/>
  <c r="V10" i="246"/>
  <c r="V26" i="246"/>
  <c r="T12" i="246"/>
  <c r="U12" i="246" s="1"/>
  <c r="V12" i="246" s="1"/>
  <c r="V19" i="246"/>
  <c r="V11" i="246"/>
  <c r="O21" i="246"/>
  <c r="V21" i="246"/>
  <c r="V36" i="246"/>
  <c r="V9" i="246"/>
  <c r="V14" i="246"/>
  <c r="V8" i="246"/>
  <c r="V42" i="246" s="1"/>
  <c r="T18" i="246"/>
  <c r="U18" i="246" s="1"/>
  <c r="T40" i="246"/>
  <c r="U40" i="246" s="1"/>
  <c r="T23" i="246"/>
  <c r="U23" i="246" s="1"/>
  <c r="T38" i="246"/>
  <c r="U38" i="246" s="1"/>
  <c r="T28" i="246"/>
  <c r="U28" i="246" s="1"/>
  <c r="M39" i="246"/>
  <c r="O39" i="246" s="1"/>
  <c r="M35" i="246"/>
  <c r="O35" i="246" s="1"/>
  <c r="O11" i="246"/>
  <c r="T31" i="246"/>
  <c r="U31" i="246" s="1"/>
  <c r="O9" i="246"/>
  <c r="T13" i="246"/>
  <c r="U13" i="246" s="1"/>
  <c r="M27" i="246"/>
  <c r="O27" i="246" s="1"/>
  <c r="M22" i="246"/>
  <c r="O22" i="246" s="1"/>
  <c r="M7" i="246"/>
  <c r="O7" i="246" s="1"/>
  <c r="M24" i="246"/>
  <c r="O24" i="246" s="1"/>
  <c r="T6" i="246"/>
  <c r="U6" i="246" s="1"/>
  <c r="O14" i="246"/>
  <c r="O26" i="246"/>
  <c r="O16" i="246"/>
  <c r="M37" i="246"/>
  <c r="O37" i="246" s="1"/>
  <c r="M15" i="246"/>
  <c r="O15" i="246" s="1"/>
  <c r="M20" i="246"/>
  <c r="O20" i="246" s="1"/>
  <c r="M41" i="246"/>
  <c r="O41" i="246" s="1"/>
  <c r="M29" i="246"/>
  <c r="O29" i="246" s="1"/>
  <c r="J13" i="12"/>
  <c r="M5" i="246"/>
  <c r="M25" i="246"/>
  <c r="O25" i="246" s="1"/>
  <c r="O19" i="246"/>
  <c r="M33" i="246"/>
  <c r="O33" i="246" s="1"/>
  <c r="T27" i="246" l="1"/>
  <c r="U27" i="246" s="1"/>
  <c r="T24" i="246"/>
  <c r="U24" i="246" s="1"/>
  <c r="T29" i="246"/>
  <c r="U29" i="246" s="1"/>
  <c r="V29" i="246" s="1"/>
  <c r="V17" i="246"/>
  <c r="V18" i="246"/>
  <c r="V31" i="246"/>
  <c r="V27" i="246"/>
  <c r="V13" i="246"/>
  <c r="V40" i="246"/>
  <c r="V6" i="246"/>
  <c r="V32" i="246"/>
  <c r="V23" i="246"/>
  <c r="V38" i="246"/>
  <c r="V24" i="246"/>
  <c r="V28" i="246"/>
  <c r="T22" i="246"/>
  <c r="U22" i="246" s="1"/>
  <c r="T35" i="246"/>
  <c r="U35" i="246" s="1"/>
  <c r="E13" i="12"/>
  <c r="T39" i="246"/>
  <c r="U39" i="246" s="1"/>
  <c r="T37" i="246"/>
  <c r="U37" i="246" s="1"/>
  <c r="T7" i="246"/>
  <c r="U7" i="246" s="1"/>
  <c r="L43" i="246"/>
  <c r="P43" i="246" s="1"/>
  <c r="I13" i="12"/>
  <c r="T33" i="246"/>
  <c r="U33" i="246" s="1"/>
  <c r="N13" i="12"/>
  <c r="T20" i="246"/>
  <c r="U20" i="246" s="1"/>
  <c r="T25" i="246"/>
  <c r="U25" i="246" s="1"/>
  <c r="T15" i="246"/>
  <c r="U15" i="246" s="1"/>
  <c r="O5" i="246"/>
  <c r="T5" i="246"/>
  <c r="T41" i="246"/>
  <c r="U41" i="246" s="1"/>
  <c r="V41" i="246" s="1"/>
  <c r="V22" i="246" l="1"/>
  <c r="V15" i="246"/>
  <c r="AA7" i="246"/>
  <c r="V25" i="246"/>
  <c r="V20" i="246"/>
  <c r="V39" i="246"/>
  <c r="V35" i="246"/>
  <c r="V33" i="246"/>
  <c r="V37" i="246"/>
  <c r="U5" i="246"/>
  <c r="K13" i="12"/>
  <c r="M13" i="12"/>
  <c r="Y13" i="12" l="1"/>
  <c r="V5" i="246"/>
  <c r="S13" i="12" l="1"/>
  <c r="M43" i="246"/>
  <c r="R13" i="12"/>
  <c r="T13" i="12"/>
  <c r="X18" i="12"/>
  <c r="V18" i="12"/>
  <c r="O18" i="12"/>
  <c r="L18" i="12"/>
  <c r="G18" i="12"/>
  <c r="F18" i="12"/>
  <c r="S13" i="245"/>
  <c r="K13" i="245"/>
  <c r="F13" i="245"/>
  <c r="C18" i="12"/>
  <c r="S12" i="245"/>
  <c r="K12" i="245"/>
  <c r="L12" i="245" s="1"/>
  <c r="P12" i="245" s="1"/>
  <c r="F12" i="245"/>
  <c r="S11" i="245"/>
  <c r="K11" i="245"/>
  <c r="L11" i="245" s="1"/>
  <c r="F11" i="245"/>
  <c r="S10" i="245"/>
  <c r="K10" i="245"/>
  <c r="L10" i="245" s="1"/>
  <c r="F10" i="245"/>
  <c r="S9" i="245"/>
  <c r="K9" i="245"/>
  <c r="L9" i="245" s="1"/>
  <c r="D9" i="245"/>
  <c r="S8" i="245"/>
  <c r="K8" i="245"/>
  <c r="L8" i="245" s="1"/>
  <c r="F8" i="245"/>
  <c r="S7" i="245"/>
  <c r="K7" i="245"/>
  <c r="L7" i="245" s="1"/>
  <c r="F7" i="245"/>
  <c r="S6" i="245"/>
  <c r="K6" i="245"/>
  <c r="L6" i="245" s="1"/>
  <c r="F6" i="245"/>
  <c r="S5" i="245"/>
  <c r="K5" i="245"/>
  <c r="F5" i="245"/>
  <c r="L5" i="245" l="1"/>
  <c r="K14" i="245"/>
  <c r="S14" i="245"/>
  <c r="F9" i="245"/>
  <c r="F14" i="245" s="1"/>
  <c r="D18" i="12" s="1"/>
  <c r="D14" i="245"/>
  <c r="B18" i="12" s="1"/>
  <c r="P7" i="245"/>
  <c r="M7" i="245" s="1"/>
  <c r="O7" i="245" s="1"/>
  <c r="Q18" i="12"/>
  <c r="M12" i="245"/>
  <c r="T12" i="245" s="1"/>
  <c r="U12" i="245" s="1"/>
  <c r="E18" i="12"/>
  <c r="H18" i="12"/>
  <c r="Y18" i="12"/>
  <c r="P18" i="12"/>
  <c r="U18" i="12"/>
  <c r="P6" i="245"/>
  <c r="P11" i="245"/>
  <c r="P10" i="245"/>
  <c r="P8" i="245"/>
  <c r="P9" i="245"/>
  <c r="P5" i="245"/>
  <c r="L13" i="245"/>
  <c r="O12" i="245" l="1"/>
  <c r="L14" i="245"/>
  <c r="T7" i="245"/>
  <c r="U7" i="245" s="1"/>
  <c r="V7" i="245" s="1"/>
  <c r="L15" i="245"/>
  <c r="P15" i="245" s="1"/>
  <c r="M15" i="245" s="1"/>
  <c r="I18" i="12"/>
  <c r="M5" i="245"/>
  <c r="M9" i="245"/>
  <c r="O9" i="245" s="1"/>
  <c r="P13" i="245"/>
  <c r="P14" i="245" s="1"/>
  <c r="J18" i="12"/>
  <c r="M10" i="245"/>
  <c r="O10" i="245" s="1"/>
  <c r="M8" i="245"/>
  <c r="O8" i="245" s="1"/>
  <c r="M11" i="245"/>
  <c r="O11" i="245" s="1"/>
  <c r="M6" i="245"/>
  <c r="O6" i="245" s="1"/>
  <c r="T6" i="245" l="1"/>
  <c r="U6" i="245" s="1"/>
  <c r="T5" i="245"/>
  <c r="T8" i="245"/>
  <c r="U8" i="245" s="1"/>
  <c r="T10" i="245"/>
  <c r="U10" i="245" s="1"/>
  <c r="T11" i="245"/>
  <c r="U11" i="245" s="1"/>
  <c r="O5" i="245"/>
  <c r="U5" i="245"/>
  <c r="N18" i="12"/>
  <c r="M13" i="245"/>
  <c r="M14" i="245" s="1"/>
  <c r="T9" i="245"/>
  <c r="U9" i="245" s="1"/>
  <c r="V11" i="245" l="1"/>
  <c r="V10" i="245"/>
  <c r="V9" i="245"/>
  <c r="V8" i="245"/>
  <c r="K18" i="12"/>
  <c r="O13" i="245"/>
  <c r="O14" i="245" s="1"/>
  <c r="T13" i="245"/>
  <c r="T14" i="245" s="1"/>
  <c r="V5" i="245"/>
  <c r="M18" i="12" l="1"/>
  <c r="U13" i="245"/>
  <c r="R18" i="12"/>
  <c r="U14" i="245" l="1"/>
  <c r="V14" i="245" l="1"/>
  <c r="S18" i="12"/>
  <c r="H15" i="12"/>
  <c r="F15" i="12"/>
  <c r="E15" i="12"/>
  <c r="AA10" i="244"/>
  <c r="S10" i="244"/>
  <c r="K10" i="244"/>
  <c r="L10" i="244" s="1"/>
  <c r="F10" i="244"/>
  <c r="AA9" i="244"/>
  <c r="S9" i="244"/>
  <c r="K9" i="244"/>
  <c r="L9" i="244" s="1"/>
  <c r="P9" i="244" s="1"/>
  <c r="F9" i="244"/>
  <c r="AA8" i="244"/>
  <c r="S8" i="244"/>
  <c r="K8" i="244"/>
  <c r="L8" i="244" s="1"/>
  <c r="F8" i="244"/>
  <c r="AA7" i="244"/>
  <c r="S7" i="244"/>
  <c r="K7" i="244"/>
  <c r="L7" i="244" s="1"/>
  <c r="P7" i="244" s="1"/>
  <c r="M7" i="244" s="1"/>
  <c r="O7" i="244" s="1"/>
  <c r="F7" i="244"/>
  <c r="AA6" i="244"/>
  <c r="S6" i="244"/>
  <c r="K6" i="244"/>
  <c r="L6" i="244" s="1"/>
  <c r="F6" i="244"/>
  <c r="S5" i="244"/>
  <c r="K5" i="244"/>
  <c r="F5" i="244"/>
  <c r="F11" i="244" s="1"/>
  <c r="A6" i="244"/>
  <c r="A7" i="244" s="1"/>
  <c r="A8" i="244" s="1"/>
  <c r="A9" i="244" s="1"/>
  <c r="A10" i="244" s="1"/>
  <c r="A11" i="244" s="1"/>
  <c r="Z15" i="12" s="1"/>
  <c r="T18" i="12" l="1"/>
  <c r="E10" i="81"/>
  <c r="E13" i="81" s="1"/>
  <c r="L5" i="244"/>
  <c r="K11" i="244"/>
  <c r="I15" i="12" s="1"/>
  <c r="S11" i="244"/>
  <c r="Q15" i="12" s="1"/>
  <c r="AA11" i="244"/>
  <c r="E16" i="77" s="1"/>
  <c r="M9" i="244"/>
  <c r="O9" i="244" s="1"/>
  <c r="G15" i="12"/>
  <c r="B12" i="44"/>
  <c r="D15" i="12"/>
  <c r="T7" i="244"/>
  <c r="U7" i="244" s="1"/>
  <c r="V7" i="244" s="1"/>
  <c r="B15" i="12"/>
  <c r="U15" i="12"/>
  <c r="L15" i="12"/>
  <c r="V15" i="12"/>
  <c r="X15" i="12"/>
  <c r="C15" i="12"/>
  <c r="O15" i="12"/>
  <c r="P15" i="12"/>
  <c r="P6" i="244"/>
  <c r="P8" i="244"/>
  <c r="P10" i="244"/>
  <c r="F11" i="81" l="1"/>
  <c r="F12" i="81"/>
  <c r="Y15" i="12"/>
  <c r="P5" i="244"/>
  <c r="L11" i="244"/>
  <c r="P12" i="244" s="1"/>
  <c r="T9" i="244"/>
  <c r="U9" i="244" s="1"/>
  <c r="V9" i="244" s="1"/>
  <c r="M8" i="244"/>
  <c r="O8" i="244" s="1"/>
  <c r="M6" i="244"/>
  <c r="M10" i="244"/>
  <c r="O10" i="244" s="1"/>
  <c r="J15" i="12" l="1"/>
  <c r="P11" i="244"/>
  <c r="N15" i="12" s="1"/>
  <c r="M5" i="244"/>
  <c r="T8" i="244"/>
  <c r="U8" i="244" s="1"/>
  <c r="O6" i="244"/>
  <c r="T6" i="244"/>
  <c r="T10" i="244"/>
  <c r="U10" i="244" s="1"/>
  <c r="O5" i="244" l="1"/>
  <c r="O11" i="244" s="1"/>
  <c r="M15" i="12" s="1"/>
  <c r="M11" i="244"/>
  <c r="K15" i="12" s="1"/>
  <c r="T5" i="244"/>
  <c r="V8" i="244"/>
  <c r="V10" i="244"/>
  <c r="U6" i="244"/>
  <c r="U5" i="244" l="1"/>
  <c r="T11" i="244"/>
  <c r="V6" i="244"/>
  <c r="U11" i="244" l="1"/>
  <c r="V5" i="244"/>
  <c r="M12" i="244"/>
  <c r="R15" i="12"/>
  <c r="S15" i="12"/>
  <c r="V11" i="244" l="1"/>
  <c r="V5" i="266"/>
  <c r="V10" i="266" s="1"/>
  <c r="O16" i="12"/>
  <c r="Y16" i="12"/>
  <c r="X16" i="12"/>
  <c r="V16" i="12"/>
  <c r="H16" i="12"/>
  <c r="G16" i="12"/>
  <c r="F16" i="12"/>
  <c r="C16" i="12"/>
  <c r="S8" i="243"/>
  <c r="K8" i="243"/>
  <c r="F8" i="243"/>
  <c r="F15" i="243" s="1"/>
  <c r="T7" i="97" l="1"/>
  <c r="V13" i="266"/>
  <c r="E15" i="77"/>
  <c r="T15" i="12"/>
  <c r="L8" i="243"/>
  <c r="L15" i="243" s="1"/>
  <c r="K15" i="243"/>
  <c r="S15" i="243"/>
  <c r="Q16" i="12" s="1"/>
  <c r="M14" i="243"/>
  <c r="O14" i="243" s="1"/>
  <c r="T14" i="243"/>
  <c r="U14" i="243" s="1"/>
  <c r="M5" i="243"/>
  <c r="M12" i="243"/>
  <c r="O12" i="243" s="1"/>
  <c r="M13" i="243"/>
  <c r="O13" i="243" s="1"/>
  <c r="M7" i="243"/>
  <c r="O7" i="243" s="1"/>
  <c r="D16" i="12"/>
  <c r="L16" i="12"/>
  <c r="T16" i="12"/>
  <c r="B16" i="12"/>
  <c r="E16" i="12"/>
  <c r="P16" i="12"/>
  <c r="M62" i="242"/>
  <c r="M61" i="242"/>
  <c r="G38" i="242"/>
  <c r="G65" i="242" s="1"/>
  <c r="D34" i="242"/>
  <c r="D32" i="242"/>
  <c r="D27" i="242"/>
  <c r="F27" i="242" s="1"/>
  <c r="D25" i="242"/>
  <c r="F25" i="242" s="1"/>
  <c r="H16" i="242"/>
  <c r="H65" i="242" s="1"/>
  <c r="N21" i="242"/>
  <c r="N14" i="242"/>
  <c r="D31" i="242"/>
  <c r="N22" i="242"/>
  <c r="U13" i="242"/>
  <c r="D13" i="242"/>
  <c r="N9" i="242"/>
  <c r="U9" i="242" s="1"/>
  <c r="D9" i="242"/>
  <c r="N7" i="242"/>
  <c r="U7" i="242" s="1"/>
  <c r="D7" i="242"/>
  <c r="S5" i="242"/>
  <c r="S65" i="242" s="1"/>
  <c r="N5" i="242"/>
  <c r="N65" i="242" s="1"/>
  <c r="K5" i="242"/>
  <c r="F5" i="242"/>
  <c r="P8" i="243" l="1"/>
  <c r="P15" i="243" s="1"/>
  <c r="N16" i="12" s="1"/>
  <c r="O5" i="243"/>
  <c r="M8" i="243"/>
  <c r="T13" i="243"/>
  <c r="U13" i="243" s="1"/>
  <c r="W13" i="243" s="1"/>
  <c r="T12" i="243"/>
  <c r="U12" i="243" s="1"/>
  <c r="K65" i="242"/>
  <c r="L66" i="242" s="1"/>
  <c r="D65" i="242"/>
  <c r="E9" i="12"/>
  <c r="P38" i="242"/>
  <c r="U21" i="242"/>
  <c r="O21" i="242"/>
  <c r="F9" i="242"/>
  <c r="O9" i="242"/>
  <c r="F9" i="12"/>
  <c r="L16" i="242"/>
  <c r="P16" i="242" s="1"/>
  <c r="F7" i="242"/>
  <c r="O7" i="242"/>
  <c r="L5" i="242"/>
  <c r="L65" i="242" s="1"/>
  <c r="F13" i="242"/>
  <c r="O13" i="242"/>
  <c r="F31" i="242"/>
  <c r="O31" i="242"/>
  <c r="U14" i="242"/>
  <c r="O14" i="242"/>
  <c r="L9" i="12"/>
  <c r="F32" i="242"/>
  <c r="O32" i="242"/>
  <c r="U22" i="242"/>
  <c r="O22" i="242"/>
  <c r="F34" i="242"/>
  <c r="O34" i="242"/>
  <c r="T7" i="243"/>
  <c r="U7" i="243" s="1"/>
  <c r="W7" i="243" s="1"/>
  <c r="T5" i="243"/>
  <c r="M11" i="243"/>
  <c r="O11" i="243" s="1"/>
  <c r="M6" i="243"/>
  <c r="O6" i="243" s="1"/>
  <c r="M9" i="243"/>
  <c r="O9" i="243" s="1"/>
  <c r="W14" i="243"/>
  <c r="M10" i="243"/>
  <c r="O10" i="243" s="1"/>
  <c r="O62" i="242"/>
  <c r="T62" i="242"/>
  <c r="U62" i="242" s="1"/>
  <c r="O61" i="242"/>
  <c r="T61" i="242"/>
  <c r="U61" i="242" s="1"/>
  <c r="W61" i="242" s="1"/>
  <c r="W58" i="242"/>
  <c r="P17" i="243"/>
  <c r="J16" i="12"/>
  <c r="L17" i="243"/>
  <c r="I16" i="12"/>
  <c r="M63" i="242"/>
  <c r="M59" i="242"/>
  <c r="M60" i="242"/>
  <c r="T60" i="242" s="1"/>
  <c r="U60" i="242" s="1"/>
  <c r="G9" i="12"/>
  <c r="O9" i="12"/>
  <c r="O8" i="243"/>
  <c r="M25" i="242"/>
  <c r="M56" i="242"/>
  <c r="T56" i="242" s="1"/>
  <c r="U56" i="242" s="1"/>
  <c r="Y9" i="12"/>
  <c r="V9" i="12"/>
  <c r="P9" i="12"/>
  <c r="X9" i="12"/>
  <c r="H9" i="12"/>
  <c r="C9" i="12"/>
  <c r="T8" i="243" l="1"/>
  <c r="M15" i="243"/>
  <c r="K16" i="12" s="1"/>
  <c r="U5" i="243"/>
  <c r="O15" i="243"/>
  <c r="M16" i="12" s="1"/>
  <c r="T6" i="243"/>
  <c r="U6" i="243" s="1"/>
  <c r="W6" i="243" s="1"/>
  <c r="T11" i="243"/>
  <c r="U11" i="243" s="1"/>
  <c r="W11" i="243" s="1"/>
  <c r="F65" i="242"/>
  <c r="M16" i="242"/>
  <c r="O16" i="242" s="1"/>
  <c r="T16" i="242"/>
  <c r="U16" i="242" s="1"/>
  <c r="W16" i="242" s="1"/>
  <c r="T59" i="242"/>
  <c r="P5" i="242"/>
  <c r="P65" i="242" s="1"/>
  <c r="M38" i="242"/>
  <c r="O38" i="242" s="1"/>
  <c r="W62" i="242"/>
  <c r="T10" i="243"/>
  <c r="U10" i="243" s="1"/>
  <c r="W10" i="243" s="1"/>
  <c r="T9" i="243"/>
  <c r="W12" i="243"/>
  <c r="O63" i="242"/>
  <c r="T63" i="242"/>
  <c r="O25" i="242"/>
  <c r="T25" i="242"/>
  <c r="U25" i="242" s="1"/>
  <c r="W60" i="242"/>
  <c r="O60" i="242"/>
  <c r="O59" i="242"/>
  <c r="O56" i="242"/>
  <c r="W51" i="242"/>
  <c r="W10" i="242"/>
  <c r="V33" i="242"/>
  <c r="V65" i="242" s="1"/>
  <c r="E12" i="69" s="1"/>
  <c r="W46" i="242"/>
  <c r="W50" i="242"/>
  <c r="W21" i="242"/>
  <c r="W13" i="242"/>
  <c r="W20" i="242"/>
  <c r="W52" i="242"/>
  <c r="W54" i="242"/>
  <c r="W19" i="242"/>
  <c r="W57" i="242"/>
  <c r="W34" i="242"/>
  <c r="W31" i="242"/>
  <c r="W48" i="242"/>
  <c r="D9" i="12"/>
  <c r="U8" i="243"/>
  <c r="M27" i="242"/>
  <c r="Q9" i="12"/>
  <c r="B9" i="12"/>
  <c r="W44" i="259" l="1"/>
  <c r="W48" i="259" s="1"/>
  <c r="W60" i="258"/>
  <c r="W65" i="258" s="1"/>
  <c r="W5" i="243"/>
  <c r="T15" i="243"/>
  <c r="U9" i="243"/>
  <c r="W9" i="243" s="1"/>
  <c r="M5" i="242"/>
  <c r="M65" i="242" s="1"/>
  <c r="T9" i="12"/>
  <c r="U59" i="242"/>
  <c r="W59" i="242" s="1"/>
  <c r="U63" i="242"/>
  <c r="T38" i="242"/>
  <c r="U38" i="242" s="1"/>
  <c r="W56" i="242"/>
  <c r="O27" i="242"/>
  <c r="T27" i="242"/>
  <c r="U27" i="242" s="1"/>
  <c r="W35" i="242"/>
  <c r="W47" i="242"/>
  <c r="W25" i="242"/>
  <c r="W9" i="242"/>
  <c r="W22" i="242"/>
  <c r="W44" i="242"/>
  <c r="W24" i="242"/>
  <c r="W36" i="242"/>
  <c r="W32" i="242"/>
  <c r="W42" i="242"/>
  <c r="W28" i="242"/>
  <c r="W43" i="242"/>
  <c r="W18" i="242"/>
  <c r="I9" i="12"/>
  <c r="J9" i="12"/>
  <c r="W8" i="243"/>
  <c r="W76" i="259" l="1"/>
  <c r="U11" i="97"/>
  <c r="U15" i="243"/>
  <c r="S16" i="12" s="1"/>
  <c r="W15" i="243"/>
  <c r="T5" i="242"/>
  <c r="U16" i="12"/>
  <c r="W63" i="242"/>
  <c r="W38" i="242"/>
  <c r="U5" i="242"/>
  <c r="U65" i="242" s="1"/>
  <c r="O5" i="242"/>
  <c r="O65" i="242" s="1"/>
  <c r="W15" i="242"/>
  <c r="W14" i="242"/>
  <c r="W27" i="242"/>
  <c r="W30" i="242"/>
  <c r="W49" i="242"/>
  <c r="W23" i="242"/>
  <c r="W12" i="242"/>
  <c r="W37" i="242"/>
  <c r="W29" i="242"/>
  <c r="W53" i="242"/>
  <c r="W55" i="242"/>
  <c r="W41" i="242"/>
  <c r="W8" i="242"/>
  <c r="W40" i="242"/>
  <c r="W26" i="242"/>
  <c r="W39" i="242"/>
  <c r="W17" i="242"/>
  <c r="W45" i="242"/>
  <c r="M17" i="243"/>
  <c r="R16" i="12"/>
  <c r="N9" i="12"/>
  <c r="W11" i="242"/>
  <c r="W7" i="242"/>
  <c r="T65" i="242" l="1"/>
  <c r="R9" i="12" s="1"/>
  <c r="K9" i="12"/>
  <c r="W5" i="242"/>
  <c r="M9" i="12"/>
  <c r="W6" i="242"/>
  <c r="W65" i="242" l="1"/>
  <c r="M66" i="242"/>
  <c r="S9" i="12"/>
  <c r="U17" i="12"/>
  <c r="P17" i="12"/>
  <c r="O17" i="12"/>
  <c r="L17" i="12"/>
  <c r="H17" i="12"/>
  <c r="G17" i="12"/>
  <c r="F17" i="12"/>
  <c r="E17" i="12"/>
  <c r="C17" i="12"/>
  <c r="D20" i="241"/>
  <c r="B17" i="12" s="1"/>
  <c r="S19" i="241"/>
  <c r="K19" i="241"/>
  <c r="L19" i="241" s="1"/>
  <c r="F19" i="241"/>
  <c r="S18" i="241"/>
  <c r="K18" i="241"/>
  <c r="L18" i="241" s="1"/>
  <c r="P18" i="241" s="1"/>
  <c r="F18" i="241"/>
  <c r="S17" i="241"/>
  <c r="K17" i="241"/>
  <c r="L17" i="241" s="1"/>
  <c r="F17" i="241"/>
  <c r="S16" i="241"/>
  <c r="K16" i="241"/>
  <c r="L16" i="241" s="1"/>
  <c r="P16" i="241" s="1"/>
  <c r="F16" i="241"/>
  <c r="S15" i="241"/>
  <c r="K15" i="241"/>
  <c r="L15" i="241" s="1"/>
  <c r="F15" i="241"/>
  <c r="S14" i="241"/>
  <c r="K14" i="241"/>
  <c r="L14" i="241" s="1"/>
  <c r="P14" i="241" s="1"/>
  <c r="F14" i="241"/>
  <c r="S13" i="241"/>
  <c r="K13" i="241"/>
  <c r="L13" i="241" s="1"/>
  <c r="F13" i="241"/>
  <c r="S12" i="241"/>
  <c r="K12" i="241"/>
  <c r="L12" i="241" s="1"/>
  <c r="F12" i="241"/>
  <c r="S11" i="241"/>
  <c r="K11" i="241"/>
  <c r="L11" i="241" s="1"/>
  <c r="P11" i="241" s="1"/>
  <c r="F11" i="241"/>
  <c r="S10" i="241"/>
  <c r="K10" i="241"/>
  <c r="L10" i="241" s="1"/>
  <c r="F10" i="241"/>
  <c r="S9" i="241"/>
  <c r="K9" i="241"/>
  <c r="L9" i="241" s="1"/>
  <c r="P9" i="241" s="1"/>
  <c r="M9" i="241" s="1"/>
  <c r="O9" i="241" s="1"/>
  <c r="F9" i="241"/>
  <c r="S8" i="241"/>
  <c r="K8" i="241"/>
  <c r="L8" i="241" s="1"/>
  <c r="F8" i="241"/>
  <c r="S7" i="241"/>
  <c r="K7" i="241"/>
  <c r="L7" i="241" s="1"/>
  <c r="P7" i="241" s="1"/>
  <c r="F7" i="241"/>
  <c r="S6" i="241"/>
  <c r="K6" i="241"/>
  <c r="L6" i="241" s="1"/>
  <c r="F6" i="241"/>
  <c r="S5" i="241"/>
  <c r="K5" i="241"/>
  <c r="F5" i="241"/>
  <c r="A6" i="241"/>
  <c r="A7" i="241" s="1"/>
  <c r="A8" i="241" s="1"/>
  <c r="A9" i="241" s="1"/>
  <c r="A10" i="241" s="1"/>
  <c r="A11" i="241" s="1"/>
  <c r="A12" i="241" s="1"/>
  <c r="A13" i="241" s="1"/>
  <c r="U9" i="12" l="1"/>
  <c r="E13" i="69"/>
  <c r="F20" i="241"/>
  <c r="D17" i="12" s="1"/>
  <c r="K20" i="241"/>
  <c r="S20" i="241"/>
  <c r="M16" i="241"/>
  <c r="O16" i="241" s="1"/>
  <c r="A14" i="241"/>
  <c r="A15" i="241" s="1"/>
  <c r="A16" i="241" s="1"/>
  <c r="A17" i="241" s="1"/>
  <c r="A18" i="241" s="1"/>
  <c r="A19" i="241" s="1"/>
  <c r="A20" i="241" s="1"/>
  <c r="Z17" i="12" s="1"/>
  <c r="Q17" i="12"/>
  <c r="P10" i="241"/>
  <c r="P6" i="241"/>
  <c r="M14" i="241"/>
  <c r="T14" i="241" s="1"/>
  <c r="U14" i="241" s="1"/>
  <c r="V14" i="241" s="1"/>
  <c r="P19" i="241"/>
  <c r="P8" i="241"/>
  <c r="M18" i="241"/>
  <c r="O18" i="241" s="1"/>
  <c r="P15" i="241"/>
  <c r="M7" i="241"/>
  <c r="T7" i="241" s="1"/>
  <c r="U7" i="241" s="1"/>
  <c r="V7" i="241" s="1"/>
  <c r="P13" i="241"/>
  <c r="M11" i="241"/>
  <c r="O11" i="241" s="1"/>
  <c r="P17" i="241"/>
  <c r="P12" i="241"/>
  <c r="L5" i="241"/>
  <c r="L20" i="241" s="1"/>
  <c r="T9" i="241"/>
  <c r="U9" i="241" s="1"/>
  <c r="V9" i="241" s="1"/>
  <c r="T16" i="241"/>
  <c r="U16" i="241" s="1"/>
  <c r="V16" i="241" s="1"/>
  <c r="T11" i="241" l="1"/>
  <c r="U11" i="241" s="1"/>
  <c r="V11" i="241" s="1"/>
  <c r="O14" i="241"/>
  <c r="T18" i="241"/>
  <c r="U18" i="241" s="1"/>
  <c r="V18" i="241" s="1"/>
  <c r="L21" i="241"/>
  <c r="P21" i="241" s="1"/>
  <c r="I17" i="12"/>
  <c r="M12" i="241"/>
  <c r="O12" i="241" s="1"/>
  <c r="M15" i="241"/>
  <c r="O15" i="241" s="1"/>
  <c r="M10" i="241"/>
  <c r="O10" i="241" s="1"/>
  <c r="M17" i="241"/>
  <c r="O17" i="241" s="1"/>
  <c r="O7" i="241"/>
  <c r="M13" i="241"/>
  <c r="O13" i="241" s="1"/>
  <c r="T13" i="241"/>
  <c r="U13" i="241" s="1"/>
  <c r="V13" i="241" s="1"/>
  <c r="P5" i="241"/>
  <c r="P20" i="241" s="1"/>
  <c r="J17" i="12"/>
  <c r="M6" i="241"/>
  <c r="O6" i="241" s="1"/>
  <c r="T6" i="241"/>
  <c r="U6" i="241" s="1"/>
  <c r="V6" i="241" s="1"/>
  <c r="M19" i="241"/>
  <c r="O19" i="241" s="1"/>
  <c r="M8" i="241"/>
  <c r="O8" i="241" s="1"/>
  <c r="T8" i="241"/>
  <c r="U8" i="241" s="1"/>
  <c r="V8" i="241" s="1"/>
  <c r="T15" i="241" l="1"/>
  <c r="U15" i="241" s="1"/>
  <c r="V15" i="241" s="1"/>
  <c r="T17" i="241"/>
  <c r="U17" i="241" s="1"/>
  <c r="V17" i="241" s="1"/>
  <c r="T12" i="241"/>
  <c r="U12" i="241" s="1"/>
  <c r="V12" i="241" s="1"/>
  <c r="T10" i="241"/>
  <c r="U10" i="241" s="1"/>
  <c r="V10" i="241" s="1"/>
  <c r="N17" i="12"/>
  <c r="M5" i="241"/>
  <c r="M20" i="241" s="1"/>
  <c r="T19" i="241"/>
  <c r="U19" i="241" s="1"/>
  <c r="V19" i="241" s="1"/>
  <c r="K17" i="12" l="1"/>
  <c r="O5" i="241"/>
  <c r="T5" i="241"/>
  <c r="T20" i="241" s="1"/>
  <c r="O20" i="241" l="1"/>
  <c r="M17" i="12" s="1"/>
  <c r="U5" i="241"/>
  <c r="U20" i="241" s="1"/>
  <c r="M21" i="241" l="1"/>
  <c r="R17" i="12"/>
  <c r="S17" i="12"/>
  <c r="V5" i="241"/>
  <c r="V20" i="241" l="1"/>
  <c r="T17" i="12" s="1"/>
  <c r="AA14" i="240"/>
  <c r="Y12" i="12" s="1"/>
  <c r="Z14" i="240"/>
  <c r="X12" i="12" s="1"/>
  <c r="X14" i="240"/>
  <c r="V12" i="12" s="1"/>
  <c r="V14" i="240"/>
  <c r="T12" i="12" s="1"/>
  <c r="R14" i="240"/>
  <c r="P12" i="12" s="1"/>
  <c r="Q14" i="240"/>
  <c r="O12" i="12" s="1"/>
  <c r="J14" i="240"/>
  <c r="H12" i="12" s="1"/>
  <c r="I14" i="240"/>
  <c r="G12" i="12" s="1"/>
  <c r="H14" i="240"/>
  <c r="F12" i="12" s="1"/>
  <c r="G14" i="240"/>
  <c r="E12" i="12" s="1"/>
  <c r="E14" i="240"/>
  <c r="C12" i="12" s="1"/>
  <c r="D6" i="240"/>
  <c r="N14" i="240"/>
  <c r="L12" i="12" s="1"/>
  <c r="D9" i="240"/>
  <c r="D7" i="240"/>
  <c r="S5" i="240"/>
  <c r="S14" i="240" s="1"/>
  <c r="Q12" i="12" s="1"/>
  <c r="K5" i="240"/>
  <c r="L5" i="240" s="1"/>
  <c r="F5" i="240"/>
  <c r="F9" i="240" l="1"/>
  <c r="O9" i="240"/>
  <c r="F6" i="240"/>
  <c r="O6" i="240"/>
  <c r="D14" i="240"/>
  <c r="B12" i="12" s="1"/>
  <c r="F7" i="240"/>
  <c r="F14" i="240" s="1"/>
  <c r="D12" i="12" s="1"/>
  <c r="O7" i="240"/>
  <c r="L14" i="240"/>
  <c r="J12" i="12" s="1"/>
  <c r="P5" i="240"/>
  <c r="K14" i="240"/>
  <c r="L15" i="240" l="1"/>
  <c r="P15" i="240" s="1"/>
  <c r="I12" i="12"/>
  <c r="P14" i="240"/>
  <c r="N12" i="12" s="1"/>
  <c r="M5" i="240"/>
  <c r="T5" i="240" s="1"/>
  <c r="U5" i="240" l="1"/>
  <c r="M14" i="240"/>
  <c r="O5" i="240"/>
  <c r="O14" i="240" s="1"/>
  <c r="M12" i="12" s="1"/>
  <c r="T15" i="240" l="1"/>
  <c r="K12" i="12"/>
  <c r="T14" i="240"/>
  <c r="R12" i="12" s="1"/>
  <c r="W5" i="240"/>
  <c r="U14" i="240"/>
  <c r="W14" i="240" l="1"/>
  <c r="U12" i="12" s="1"/>
  <c r="S12" i="12"/>
  <c r="U15" i="240"/>
  <c r="M15" i="240"/>
  <c r="E10" i="12" l="1"/>
  <c r="E19" i="12" s="1"/>
  <c r="S5" i="239"/>
  <c r="S7" i="239" s="1"/>
  <c r="K5" i="239"/>
  <c r="K7" i="239" s="1"/>
  <c r="F5" i="239"/>
  <c r="F7" i="239" s="1"/>
  <c r="O10" i="12" l="1"/>
  <c r="O19" i="12" s="1"/>
  <c r="P10" i="12"/>
  <c r="P19" i="12" s="1"/>
  <c r="C10" i="12"/>
  <c r="C19" i="12" s="1"/>
  <c r="V10" i="12"/>
  <c r="V19" i="12" s="1"/>
  <c r="Y10" i="12"/>
  <c r="Y19" i="12" s="1"/>
  <c r="G10" i="12"/>
  <c r="G19" i="12" s="1"/>
  <c r="H10" i="12"/>
  <c r="H19" i="12" s="1"/>
  <c r="I10" i="12"/>
  <c r="I19" i="12" s="1"/>
  <c r="T10" i="12"/>
  <c r="Q10" i="12"/>
  <c r="Q19" i="12" s="1"/>
  <c r="X10" i="12"/>
  <c r="X19" i="12" s="1"/>
  <c r="L10" i="12"/>
  <c r="D10" i="12"/>
  <c r="D19" i="12" s="1"/>
  <c r="B20" i="12" s="1"/>
  <c r="F10" i="12"/>
  <c r="F19" i="12" s="1"/>
  <c r="B10" i="12"/>
  <c r="L5" i="239"/>
  <c r="L7" i="239" s="1"/>
  <c r="Q20" i="12" l="1"/>
  <c r="Q21" i="12" s="1"/>
  <c r="I20" i="12"/>
  <c r="I21" i="12" s="1"/>
  <c r="L19" i="12"/>
  <c r="P5" i="239"/>
  <c r="P7" i="239" s="1"/>
  <c r="M6" i="239"/>
  <c r="L8" i="239"/>
  <c r="P8" i="239" s="1"/>
  <c r="J10" i="12" l="1"/>
  <c r="J19" i="12" s="1"/>
  <c r="O6" i="239"/>
  <c r="T6" i="239"/>
  <c r="U6" i="239" s="1"/>
  <c r="M5" i="239"/>
  <c r="M7" i="239" s="1"/>
  <c r="N10" i="12" l="1"/>
  <c r="N19" i="12" s="1"/>
  <c r="W6" i="239"/>
  <c r="O5" i="239"/>
  <c r="O7" i="239" s="1"/>
  <c r="T5" i="239"/>
  <c r="T7" i="239" s="1"/>
  <c r="U5" i="239" l="1"/>
  <c r="M10" i="12"/>
  <c r="M19" i="12" s="1"/>
  <c r="K10" i="12"/>
  <c r="K19" i="12" s="1"/>
  <c r="U7" i="239" l="1"/>
  <c r="M8" i="239"/>
  <c r="R10" i="12"/>
  <c r="W5" i="239"/>
  <c r="W7" i="239" l="1"/>
  <c r="U10" i="12" s="1"/>
  <c r="R19" i="12"/>
  <c r="S10" i="12"/>
  <c r="S19" i="12" l="1"/>
  <c r="BM10" i="230"/>
  <c r="BP10" i="230"/>
  <c r="BH11" i="230"/>
  <c r="BH12" i="230"/>
  <c r="BH13" i="230"/>
  <c r="BH14" i="230"/>
  <c r="BH15" i="230"/>
  <c r="BH16" i="230"/>
  <c r="BH17" i="230"/>
  <c r="BH18" i="230"/>
  <c r="BH19" i="230"/>
  <c r="BH20" i="230"/>
  <c r="BH21" i="230"/>
  <c r="BH22" i="230"/>
  <c r="BH23" i="230"/>
  <c r="BH24" i="230"/>
  <c r="BH25" i="230"/>
  <c r="BH26" i="230"/>
  <c r="BH27" i="230"/>
  <c r="BH28" i="230"/>
  <c r="BH29" i="230"/>
  <c r="BH30" i="230"/>
  <c r="BH31" i="230"/>
  <c r="BH32" i="230"/>
  <c r="BH33" i="230"/>
  <c r="BH34" i="230"/>
  <c r="BH35" i="230"/>
  <c r="BH36" i="230"/>
  <c r="BH37" i="230"/>
  <c r="BH38" i="230"/>
  <c r="BH39" i="230"/>
  <c r="BH40" i="230"/>
  <c r="BH41" i="230"/>
  <c r="BH42" i="230"/>
  <c r="BH43" i="230"/>
  <c r="BH44" i="230"/>
  <c r="BH45" i="230"/>
  <c r="BH7" i="230"/>
  <c r="BH8" i="230"/>
  <c r="BH9" i="230"/>
  <c r="BH10" i="230"/>
  <c r="BH6" i="230"/>
  <c r="G28" i="238" l="1"/>
  <c r="Q28" i="238"/>
  <c r="R28" i="238"/>
  <c r="S28" i="238"/>
  <c r="T28" i="238"/>
  <c r="U28" i="238"/>
  <c r="V28" i="238"/>
  <c r="Z28" i="238"/>
  <c r="AD28" i="238"/>
  <c r="AE28" i="238"/>
  <c r="F28" i="238"/>
  <c r="Z43" i="238"/>
  <c r="Z79" i="238"/>
  <c r="Z74" i="238"/>
  <c r="Z65" i="238"/>
  <c r="Z56" i="238"/>
  <c r="Z10" i="238"/>
  <c r="C86" i="238"/>
  <c r="O13" i="238"/>
  <c r="P13" i="238" s="1"/>
  <c r="W14" i="238"/>
  <c r="L14" i="238"/>
  <c r="N14" i="238" s="1"/>
  <c r="O14" i="238" s="1"/>
  <c r="P14" i="238" s="1"/>
  <c r="I14" i="238"/>
  <c r="K14" i="238" s="1"/>
  <c r="H14" i="238"/>
  <c r="W13" i="238"/>
  <c r="Y13" i="238" s="1"/>
  <c r="L13" i="238"/>
  <c r="I13" i="238"/>
  <c r="H13" i="238"/>
  <c r="K13" i="238" l="1"/>
  <c r="N28" i="238"/>
  <c r="AA13" i="238"/>
  <c r="W28" i="238"/>
  <c r="Z86" i="238"/>
  <c r="AB13" i="238"/>
  <c r="X14" i="238"/>
  <c r="X28" i="238" s="1"/>
  <c r="Y14" i="238" l="1"/>
  <c r="AC13" i="238"/>
  <c r="AE84" i="238"/>
  <c r="AD84" i="238"/>
  <c r="X84" i="238"/>
  <c r="W84" i="238"/>
  <c r="V84" i="238"/>
  <c r="U84" i="238"/>
  <c r="T84" i="238"/>
  <c r="S84" i="238"/>
  <c r="R84" i="238"/>
  <c r="Q84" i="238"/>
  <c r="N84" i="238"/>
  <c r="J84" i="238"/>
  <c r="I84" i="238"/>
  <c r="G84" i="238"/>
  <c r="F84" i="238"/>
  <c r="C84" i="238"/>
  <c r="AC83" i="238"/>
  <c r="Y83" i="238"/>
  <c r="M83" i="238"/>
  <c r="O83" i="238" s="1"/>
  <c r="AB83" i="238" s="1"/>
  <c r="L83" i="238"/>
  <c r="K83" i="238"/>
  <c r="H83" i="238"/>
  <c r="AC82" i="238"/>
  <c r="Y82" i="238"/>
  <c r="M82" i="238"/>
  <c r="O82" i="238" s="1"/>
  <c r="L82" i="238"/>
  <c r="K82" i="238"/>
  <c r="H82" i="238"/>
  <c r="AE79" i="238"/>
  <c r="AD79" i="238"/>
  <c r="W79" i="238"/>
  <c r="V79" i="238"/>
  <c r="U79" i="238"/>
  <c r="T79" i="238"/>
  <c r="R79" i="238"/>
  <c r="Q79" i="238"/>
  <c r="N79" i="238"/>
  <c r="L79" i="238"/>
  <c r="J79" i="238"/>
  <c r="I79" i="238"/>
  <c r="G79" i="238"/>
  <c r="F79" i="238"/>
  <c r="X78" i="238"/>
  <c r="X79" i="238" s="1"/>
  <c r="M78" i="238"/>
  <c r="O78" i="238" s="1"/>
  <c r="P78" i="238" s="1"/>
  <c r="K78" i="238"/>
  <c r="H78" i="238"/>
  <c r="Y77" i="238"/>
  <c r="M77" i="238"/>
  <c r="K77" i="238"/>
  <c r="H77" i="238"/>
  <c r="AE74" i="238"/>
  <c r="AD74" i="238"/>
  <c r="X74" i="238"/>
  <c r="W74" i="238"/>
  <c r="V74" i="238"/>
  <c r="U74" i="238"/>
  <c r="T74" i="238"/>
  <c r="R74" i="238"/>
  <c r="Q74" i="238"/>
  <c r="N74" i="238"/>
  <c r="L74" i="238"/>
  <c r="I74" i="238"/>
  <c r="G74" i="238"/>
  <c r="F74" i="238"/>
  <c r="Y73" i="238"/>
  <c r="J73" i="238"/>
  <c r="J74" i="238" s="1"/>
  <c r="H73" i="238"/>
  <c r="H74" i="238" s="1"/>
  <c r="AE70" i="238"/>
  <c r="AD70" i="238"/>
  <c r="X70" i="238"/>
  <c r="W70" i="238"/>
  <c r="V70" i="238"/>
  <c r="U70" i="238"/>
  <c r="T70" i="238"/>
  <c r="R70" i="238"/>
  <c r="Q70" i="238"/>
  <c r="N70" i="238"/>
  <c r="J70" i="238"/>
  <c r="I70" i="238"/>
  <c r="G70" i="238"/>
  <c r="F70" i="238"/>
  <c r="C70" i="238"/>
  <c r="AC69" i="238"/>
  <c r="Y69" i="238"/>
  <c r="M69" i="238"/>
  <c r="O69" i="238" s="1"/>
  <c r="L69" i="238"/>
  <c r="K69" i="238"/>
  <c r="H69" i="238"/>
  <c r="AC68" i="238"/>
  <c r="Y68" i="238"/>
  <c r="M68" i="238"/>
  <c r="O68" i="238" s="1"/>
  <c r="L68" i="238"/>
  <c r="K68" i="238"/>
  <c r="H68" i="238"/>
  <c r="AE65" i="238"/>
  <c r="AD65" i="238"/>
  <c r="X65" i="238"/>
  <c r="W65" i="238"/>
  <c r="V65" i="238"/>
  <c r="U65" i="238"/>
  <c r="T65" i="238"/>
  <c r="R65" i="238"/>
  <c r="Q65" i="238"/>
  <c r="N65" i="238"/>
  <c r="L65" i="238"/>
  <c r="J65" i="238"/>
  <c r="I65" i="238"/>
  <c r="G65" i="238"/>
  <c r="F65" i="238"/>
  <c r="Y64" i="238"/>
  <c r="J64" i="238"/>
  <c r="M64" i="238" s="1"/>
  <c r="O64" i="238" s="1"/>
  <c r="H64" i="238"/>
  <c r="H65" i="238" s="1"/>
  <c r="AE61" i="238"/>
  <c r="AD61" i="238"/>
  <c r="X61" i="238"/>
  <c r="W61" i="238"/>
  <c r="V61" i="238"/>
  <c r="U61" i="238"/>
  <c r="T61" i="238"/>
  <c r="R61" i="238"/>
  <c r="Q61" i="238"/>
  <c r="N61" i="238"/>
  <c r="J61" i="238"/>
  <c r="I61" i="238"/>
  <c r="G61" i="238"/>
  <c r="F61" i="238"/>
  <c r="C61" i="238"/>
  <c r="AC60" i="238"/>
  <c r="Y60" i="238"/>
  <c r="M60" i="238"/>
  <c r="L60" i="238"/>
  <c r="K60" i="238"/>
  <c r="H60" i="238"/>
  <c r="AC59" i="238"/>
  <c r="Y59" i="238"/>
  <c r="M59" i="238"/>
  <c r="O59" i="238" s="1"/>
  <c r="P59" i="238" s="1"/>
  <c r="L59" i="238"/>
  <c r="K59" i="238"/>
  <c r="H59" i="238"/>
  <c r="AE56" i="238"/>
  <c r="AD56" i="238"/>
  <c r="X56" i="238"/>
  <c r="W56" i="238"/>
  <c r="V56" i="238"/>
  <c r="U56" i="238"/>
  <c r="T56" i="238"/>
  <c r="R56" i="238"/>
  <c r="Q56" i="238"/>
  <c r="N56" i="238"/>
  <c r="L56" i="238"/>
  <c r="I56" i="238"/>
  <c r="G56" i="238"/>
  <c r="Y55" i="238"/>
  <c r="AA55" i="238" s="1"/>
  <c r="J55" i="238"/>
  <c r="K55" i="238" s="1"/>
  <c r="H55" i="238"/>
  <c r="Y54" i="238"/>
  <c r="AA54" i="238" s="1"/>
  <c r="AC54" i="238" s="1"/>
  <c r="J54" i="238"/>
  <c r="M54" i="238" s="1"/>
  <c r="O54" i="238" s="1"/>
  <c r="H54" i="238"/>
  <c r="Y53" i="238"/>
  <c r="AA53" i="238" s="1"/>
  <c r="AC53" i="238" s="1"/>
  <c r="J53" i="238"/>
  <c r="M53" i="238" s="1"/>
  <c r="O53" i="238" s="1"/>
  <c r="H53" i="238"/>
  <c r="Y52" i="238"/>
  <c r="AA52" i="238" s="1"/>
  <c r="J52" i="238"/>
  <c r="M52" i="238" s="1"/>
  <c r="F52" i="238"/>
  <c r="H52" i="238" s="1"/>
  <c r="Y51" i="238"/>
  <c r="J51" i="238"/>
  <c r="M51" i="238" s="1"/>
  <c r="O51" i="238" s="1"/>
  <c r="F51" i="238"/>
  <c r="AE48" i="238"/>
  <c r="AD48" i="238"/>
  <c r="X48" i="238"/>
  <c r="W48" i="238"/>
  <c r="V48" i="238"/>
  <c r="U48" i="238"/>
  <c r="T48" i="238"/>
  <c r="R48" i="238"/>
  <c r="Q48" i="238"/>
  <c r="N48" i="238"/>
  <c r="J48" i="238"/>
  <c r="I48" i="238"/>
  <c r="G48" i="238"/>
  <c r="F48" i="238"/>
  <c r="C48" i="238"/>
  <c r="AC47" i="238"/>
  <c r="Y47" i="238"/>
  <c r="M47" i="238"/>
  <c r="O47" i="238" s="1"/>
  <c r="L47" i="238"/>
  <c r="K47" i="238"/>
  <c r="H47" i="238"/>
  <c r="AC46" i="238"/>
  <c r="Y46" i="238"/>
  <c r="M46" i="238"/>
  <c r="L46" i="238"/>
  <c r="K46" i="238"/>
  <c r="H46" i="238"/>
  <c r="AE43" i="238"/>
  <c r="AD43" i="238"/>
  <c r="X43" i="238"/>
  <c r="W43" i="238"/>
  <c r="V43" i="238"/>
  <c r="U43" i="238"/>
  <c r="T43" i="238"/>
  <c r="R43" i="238"/>
  <c r="N43" i="238"/>
  <c r="L43" i="238"/>
  <c r="G43" i="238"/>
  <c r="Y42" i="238"/>
  <c r="AA42" i="238" s="1"/>
  <c r="M42" i="238"/>
  <c r="O42" i="238" s="1"/>
  <c r="K42" i="238"/>
  <c r="H42" i="238"/>
  <c r="Y41" i="238"/>
  <c r="AA41" i="238" s="1"/>
  <c r="AC41" i="238" s="1"/>
  <c r="J41" i="238"/>
  <c r="K41" i="238" s="1"/>
  <c r="H41" i="238"/>
  <c r="Y40" i="238"/>
  <c r="AA40" i="238" s="1"/>
  <c r="AC40" i="238" s="1"/>
  <c r="K40" i="238"/>
  <c r="J40" i="238"/>
  <c r="M40" i="238" s="1"/>
  <c r="O40" i="238" s="1"/>
  <c r="H40" i="238"/>
  <c r="Y39" i="238"/>
  <c r="AA39" i="238" s="1"/>
  <c r="AC39" i="238" s="1"/>
  <c r="J39" i="238"/>
  <c r="M39" i="238" s="1"/>
  <c r="O39" i="238" s="1"/>
  <c r="F39" i="238"/>
  <c r="F43" i="238" s="1"/>
  <c r="Y38" i="238"/>
  <c r="AA38" i="238" s="1"/>
  <c r="AC38" i="238" s="1"/>
  <c r="J38" i="238"/>
  <c r="M38" i="238" s="1"/>
  <c r="O38" i="238" s="1"/>
  <c r="H38" i="238"/>
  <c r="Y37" i="238"/>
  <c r="AA37" i="238" s="1"/>
  <c r="M37" i="238"/>
  <c r="O37" i="238" s="1"/>
  <c r="K37" i="238"/>
  <c r="H37" i="238"/>
  <c r="Y36" i="238"/>
  <c r="AA36" i="238" s="1"/>
  <c r="M36" i="238"/>
  <c r="O36" i="238" s="1"/>
  <c r="K36" i="238"/>
  <c r="H36" i="238"/>
  <c r="Y35" i="238"/>
  <c r="AA35" i="238" s="1"/>
  <c r="K35" i="238"/>
  <c r="J35" i="238"/>
  <c r="M35" i="238" s="1"/>
  <c r="O35" i="238" s="1"/>
  <c r="H35" i="238"/>
  <c r="Y34" i="238"/>
  <c r="AA34" i="238" s="1"/>
  <c r="AC34" i="238" s="1"/>
  <c r="M34" i="238"/>
  <c r="O34" i="238" s="1"/>
  <c r="K34" i="238"/>
  <c r="H34" i="238"/>
  <c r="Y33" i="238"/>
  <c r="AA33" i="238" s="1"/>
  <c r="AC33" i="238" s="1"/>
  <c r="J33" i="238"/>
  <c r="M33" i="238" s="1"/>
  <c r="O33" i="238" s="1"/>
  <c r="H33" i="238"/>
  <c r="Y32" i="238"/>
  <c r="AA32" i="238" s="1"/>
  <c r="AC32" i="238" s="1"/>
  <c r="J32" i="238"/>
  <c r="M32" i="238" s="1"/>
  <c r="O32" i="238" s="1"/>
  <c r="I32" i="238"/>
  <c r="H32" i="238"/>
  <c r="Y31" i="238"/>
  <c r="AA31" i="238" s="1"/>
  <c r="Q31" i="238"/>
  <c r="Q43" i="238" s="1"/>
  <c r="J31" i="238"/>
  <c r="H31" i="238"/>
  <c r="Y27" i="238"/>
  <c r="AA27" i="238" s="1"/>
  <c r="L27" i="238"/>
  <c r="J27" i="238"/>
  <c r="K27" i="238" s="1"/>
  <c r="I27" i="238"/>
  <c r="H27" i="238"/>
  <c r="Y26" i="238"/>
  <c r="AA26" i="238" s="1"/>
  <c r="AC26" i="238" s="1"/>
  <c r="J26" i="238"/>
  <c r="K26" i="238" s="1"/>
  <c r="H26" i="238"/>
  <c r="Y25" i="238"/>
  <c r="AA25" i="238" s="1"/>
  <c r="AC25" i="238" s="1"/>
  <c r="M25" i="238"/>
  <c r="O25" i="238" s="1"/>
  <c r="J25" i="238"/>
  <c r="K25" i="238" s="1"/>
  <c r="I25" i="238"/>
  <c r="H25" i="238"/>
  <c r="Y24" i="238"/>
  <c r="AA24" i="238" s="1"/>
  <c r="M24" i="238"/>
  <c r="O24" i="238" s="1"/>
  <c r="K24" i="238"/>
  <c r="H24" i="238"/>
  <c r="Y23" i="238"/>
  <c r="AA23" i="238" s="1"/>
  <c r="AC23" i="238" s="1"/>
  <c r="J23" i="238"/>
  <c r="M23" i="238" s="1"/>
  <c r="O23" i="238" s="1"/>
  <c r="H23" i="238"/>
  <c r="Y22" i="238"/>
  <c r="AA22" i="238" s="1"/>
  <c r="AC22" i="238" s="1"/>
  <c r="M22" i="238"/>
  <c r="O22" i="238" s="1"/>
  <c r="K22" i="238"/>
  <c r="H22" i="238"/>
  <c r="Y21" i="238"/>
  <c r="AA21" i="238" s="1"/>
  <c r="AC21" i="238" s="1"/>
  <c r="M21" i="238"/>
  <c r="O21" i="238" s="1"/>
  <c r="K21" i="238"/>
  <c r="H21" i="238"/>
  <c r="Y20" i="238"/>
  <c r="AA20" i="238" s="1"/>
  <c r="M20" i="238"/>
  <c r="O20" i="238" s="1"/>
  <c r="P20" i="238" s="1"/>
  <c r="K20" i="238"/>
  <c r="H20" i="238"/>
  <c r="Y19" i="238"/>
  <c r="AA19" i="238" s="1"/>
  <c r="L19" i="238"/>
  <c r="L28" i="238" s="1"/>
  <c r="J19" i="238"/>
  <c r="K19" i="238" s="1"/>
  <c r="H19" i="238"/>
  <c r="Y18" i="238"/>
  <c r="AA18" i="238" s="1"/>
  <c r="M18" i="238"/>
  <c r="O18" i="238" s="1"/>
  <c r="K18" i="238"/>
  <c r="H18" i="238"/>
  <c r="Y17" i="238"/>
  <c r="AA17" i="238" s="1"/>
  <c r="M17" i="238"/>
  <c r="O17" i="238" s="1"/>
  <c r="K17" i="238"/>
  <c r="H17" i="238"/>
  <c r="Y16" i="238"/>
  <c r="AA16" i="238" s="1"/>
  <c r="M16" i="238"/>
  <c r="O16" i="238" s="1"/>
  <c r="I16" i="238"/>
  <c r="I28" i="238" s="1"/>
  <c r="H16" i="238"/>
  <c r="Y15" i="238"/>
  <c r="AA15" i="238" s="1"/>
  <c r="M15" i="238"/>
  <c r="O15" i="238" s="1"/>
  <c r="K15" i="238"/>
  <c r="H15" i="238"/>
  <c r="AE10" i="238"/>
  <c r="AD10" i="238"/>
  <c r="X10" i="238"/>
  <c r="W10" i="238"/>
  <c r="V10" i="238"/>
  <c r="U10" i="238"/>
  <c r="T10" i="238"/>
  <c r="R10" i="238"/>
  <c r="Q10" i="238"/>
  <c r="N10" i="238"/>
  <c r="L10" i="238"/>
  <c r="J10" i="238"/>
  <c r="I10" i="238"/>
  <c r="G10" i="238"/>
  <c r="F10" i="238"/>
  <c r="Y9" i="238"/>
  <c r="AA9" i="238" s="1"/>
  <c r="M9" i="238"/>
  <c r="O9" i="238" s="1"/>
  <c r="K9" i="238"/>
  <c r="H9" i="238"/>
  <c r="Y8" i="238"/>
  <c r="AA8" i="238" s="1"/>
  <c r="AC8" i="238" s="1"/>
  <c r="M8" i="238"/>
  <c r="K8" i="238"/>
  <c r="H8" i="238"/>
  <c r="Y7" i="238"/>
  <c r="O7" i="238"/>
  <c r="P7" i="238" s="1"/>
  <c r="K7" i="238"/>
  <c r="H7" i="238"/>
  <c r="AB39" i="238" l="1"/>
  <c r="AB40" i="238"/>
  <c r="AB23" i="238"/>
  <c r="K32" i="238"/>
  <c r="H84" i="238"/>
  <c r="K53" i="238"/>
  <c r="L61" i="238"/>
  <c r="AC70" i="238"/>
  <c r="K79" i="238"/>
  <c r="M27" i="238"/>
  <c r="O27" i="238" s="1"/>
  <c r="P27" i="238" s="1"/>
  <c r="K39" i="238"/>
  <c r="Y70" i="238"/>
  <c r="H79" i="238"/>
  <c r="M26" i="238"/>
  <c r="O26" i="238" s="1"/>
  <c r="AB26" i="238" s="1"/>
  <c r="K38" i="238"/>
  <c r="J43" i="238"/>
  <c r="K64" i="238"/>
  <c r="K65" i="238" s="1"/>
  <c r="M79" i="238"/>
  <c r="K23" i="238"/>
  <c r="K31" i="238"/>
  <c r="K54" i="238"/>
  <c r="O77" i="238"/>
  <c r="P77" i="238" s="1"/>
  <c r="P79" i="238" s="1"/>
  <c r="M19" i="238"/>
  <c r="O19" i="238" s="1"/>
  <c r="P19" i="238" s="1"/>
  <c r="J28" i="238"/>
  <c r="N86" i="238"/>
  <c r="AD86" i="238"/>
  <c r="M31" i="238"/>
  <c r="O31" i="238" s="1"/>
  <c r="F56" i="238"/>
  <c r="H39" i="238"/>
  <c r="H51" i="238"/>
  <c r="H56" i="238" s="1"/>
  <c r="Y84" i="238"/>
  <c r="AC84" i="238"/>
  <c r="K70" i="238"/>
  <c r="K61" i="238"/>
  <c r="AC61" i="238"/>
  <c r="L48" i="238"/>
  <c r="P69" i="238"/>
  <c r="AB69" i="238"/>
  <c r="L84" i="238"/>
  <c r="H43" i="238"/>
  <c r="AC48" i="238"/>
  <c r="AB53" i="238"/>
  <c r="H70" i="238"/>
  <c r="M61" i="238"/>
  <c r="M10" i="238"/>
  <c r="O60" i="238"/>
  <c r="P60" i="238" s="1"/>
  <c r="P61" i="238" s="1"/>
  <c r="L70" i="238"/>
  <c r="K48" i="238"/>
  <c r="AB54" i="238"/>
  <c r="Y78" i="238"/>
  <c r="AA78" i="238" s="1"/>
  <c r="AB78" i="238" s="1"/>
  <c r="K84" i="238"/>
  <c r="AB38" i="238"/>
  <c r="P38" i="238"/>
  <c r="P25" i="238"/>
  <c r="AB25" i="238"/>
  <c r="P34" i="238"/>
  <c r="AB34" i="238"/>
  <c r="AB17" i="238"/>
  <c r="AC17" i="238"/>
  <c r="E26" i="40"/>
  <c r="AC27" i="238"/>
  <c r="H28" i="238"/>
  <c r="AB18" i="238"/>
  <c r="AC18" i="238"/>
  <c r="AB20" i="238"/>
  <c r="AC20" i="238"/>
  <c r="AB31" i="238"/>
  <c r="AB33" i="238"/>
  <c r="H48" i="238"/>
  <c r="Y56" i="238"/>
  <c r="AA51" i="238"/>
  <c r="AB51" i="238" s="1"/>
  <c r="P22" i="238"/>
  <c r="AB22" i="238"/>
  <c r="AB15" i="238"/>
  <c r="AC15" i="238"/>
  <c r="AC31" i="238"/>
  <c r="AA43" i="238"/>
  <c r="M65" i="238"/>
  <c r="K10" i="238"/>
  <c r="L86" i="238"/>
  <c r="X86" i="238"/>
  <c r="AC19" i="238"/>
  <c r="AB24" i="238"/>
  <c r="AC24" i="238"/>
  <c r="AB35" i="238"/>
  <c r="AC35" i="238"/>
  <c r="AB37" i="238"/>
  <c r="AC37" i="238"/>
  <c r="AB42" i="238"/>
  <c r="AC42" i="238"/>
  <c r="M48" i="238"/>
  <c r="AC52" i="238"/>
  <c r="Y61" i="238"/>
  <c r="Y65" i="238"/>
  <c r="AA64" i="238"/>
  <c r="AA77" i="238"/>
  <c r="AB59" i="238"/>
  <c r="AA7" i="238"/>
  <c r="AC7" i="238" s="1"/>
  <c r="Y10" i="238"/>
  <c r="Q86" i="238"/>
  <c r="AE86" i="238"/>
  <c r="AB32" i="238"/>
  <c r="H61" i="238"/>
  <c r="Y74" i="238"/>
  <c r="AA73" i="238"/>
  <c r="AA14" i="238"/>
  <c r="Y28" i="238"/>
  <c r="P21" i="238"/>
  <c r="AB21" i="238"/>
  <c r="Y48" i="238"/>
  <c r="AB9" i="238"/>
  <c r="AC9" i="238"/>
  <c r="AB16" i="238"/>
  <c r="AC16" i="238"/>
  <c r="H10" i="238"/>
  <c r="AB36" i="238"/>
  <c r="AC36" i="238"/>
  <c r="AC55" i="238"/>
  <c r="G86" i="238"/>
  <c r="R86" i="238"/>
  <c r="T86" i="238"/>
  <c r="U86" i="238"/>
  <c r="V86" i="238"/>
  <c r="F86" i="238"/>
  <c r="W86" i="238"/>
  <c r="P37" i="238"/>
  <c r="P51" i="238"/>
  <c r="P32" i="238"/>
  <c r="P9" i="238"/>
  <c r="P17" i="238"/>
  <c r="P40" i="238"/>
  <c r="AB47" i="238"/>
  <c r="P47" i="238"/>
  <c r="P24" i="238"/>
  <c r="P35" i="238"/>
  <c r="O52" i="238"/>
  <c r="AB68" i="238"/>
  <c r="P68" i="238"/>
  <c r="O70" i="238"/>
  <c r="P36" i="238"/>
  <c r="P54" i="238"/>
  <c r="P16" i="238"/>
  <c r="P33" i="238"/>
  <c r="P64" i="238"/>
  <c r="P65" i="238" s="1"/>
  <c r="O65" i="238"/>
  <c r="O84" i="238"/>
  <c r="AB82" i="238"/>
  <c r="AB84" i="238" s="1"/>
  <c r="P82" i="238"/>
  <c r="P31" i="238"/>
  <c r="P42" i="238"/>
  <c r="P23" i="238"/>
  <c r="P39" i="238"/>
  <c r="P18" i="238"/>
  <c r="P53" i="238"/>
  <c r="Y43" i="238"/>
  <c r="O8" i="238"/>
  <c r="AB8" i="238" s="1"/>
  <c r="P15" i="238"/>
  <c r="K33" i="238"/>
  <c r="I43" i="238"/>
  <c r="I86" i="238" s="1"/>
  <c r="O46" i="238"/>
  <c r="P83" i="238"/>
  <c r="M55" i="238"/>
  <c r="O55" i="238" s="1"/>
  <c r="AB55" i="238" s="1"/>
  <c r="K51" i="238"/>
  <c r="M70" i="238"/>
  <c r="J56" i="238"/>
  <c r="M41" i="238"/>
  <c r="O41" i="238" s="1"/>
  <c r="AB41" i="238" s="1"/>
  <c r="K52" i="238"/>
  <c r="K73" i="238"/>
  <c r="K74" i="238" s="1"/>
  <c r="M43" i="238"/>
  <c r="M73" i="238"/>
  <c r="M84" i="238"/>
  <c r="K16" i="238"/>
  <c r="K28" i="238" s="1"/>
  <c r="P26" i="238" l="1"/>
  <c r="AB19" i="238"/>
  <c r="K43" i="238"/>
  <c r="AB77" i="238"/>
  <c r="O79" i="238"/>
  <c r="AB27" i="238"/>
  <c r="O28" i="238"/>
  <c r="AC78" i="238"/>
  <c r="O61" i="238"/>
  <c r="AB60" i="238"/>
  <c r="AB61" i="238" s="1"/>
  <c r="J86" i="238"/>
  <c r="M28" i="238"/>
  <c r="K56" i="238"/>
  <c r="K86" i="238" s="1"/>
  <c r="AB79" i="238"/>
  <c r="P70" i="238"/>
  <c r="AB70" i="238"/>
  <c r="Y79" i="238"/>
  <c r="Y86" i="238" s="1"/>
  <c r="AC43" i="238"/>
  <c r="H86" i="238"/>
  <c r="O56" i="238"/>
  <c r="O43" i="238"/>
  <c r="M56" i="238"/>
  <c r="H26" i="40"/>
  <c r="AC64" i="238"/>
  <c r="AC65" i="238" s="1"/>
  <c r="AA65" i="238"/>
  <c r="AB64" i="238"/>
  <c r="AB65" i="238" s="1"/>
  <c r="AB14" i="238"/>
  <c r="AC14" i="238"/>
  <c r="AC28" i="238" s="1"/>
  <c r="AA28" i="238"/>
  <c r="AC73" i="238"/>
  <c r="AC74" i="238" s="1"/>
  <c r="AA74" i="238"/>
  <c r="AB7" i="238"/>
  <c r="AB10" i="238" s="1"/>
  <c r="AA10" i="238"/>
  <c r="AC10" i="238"/>
  <c r="AC51" i="238"/>
  <c r="AC56" i="238" s="1"/>
  <c r="AA56" i="238"/>
  <c r="P28" i="238"/>
  <c r="AB52" i="238"/>
  <c r="AB56" i="238" s="1"/>
  <c r="AC77" i="238"/>
  <c r="AA79" i="238"/>
  <c r="P55" i="238"/>
  <c r="O10" i="238"/>
  <c r="P8" i="238"/>
  <c r="P10" i="238" s="1"/>
  <c r="O73" i="238"/>
  <c r="AB73" i="238" s="1"/>
  <c r="AB74" i="238" s="1"/>
  <c r="M74" i="238"/>
  <c r="P52" i="238"/>
  <c r="AB43" i="238"/>
  <c r="P41" i="238"/>
  <c r="P43" i="238" s="1"/>
  <c r="AB46" i="238"/>
  <c r="AB48" i="238" s="1"/>
  <c r="P46" i="238"/>
  <c r="P48" i="238" s="1"/>
  <c r="O48" i="238"/>
  <c r="P84" i="238"/>
  <c r="AC79" i="238" l="1"/>
  <c r="AB28" i="238"/>
  <c r="AC86" i="238"/>
  <c r="D26" i="40" s="1"/>
  <c r="AA86" i="238"/>
  <c r="P56" i="238"/>
  <c r="M86" i="238"/>
  <c r="AB86" i="238"/>
  <c r="P73" i="238"/>
  <c r="P74" i="238" s="1"/>
  <c r="P86" i="238" s="1"/>
  <c r="O74" i="238"/>
  <c r="O86" i="238" s="1"/>
  <c r="BB17" i="237" l="1"/>
  <c r="BC17" i="237"/>
  <c r="BD17" i="237"/>
  <c r="BE17" i="237"/>
  <c r="BF17" i="237"/>
  <c r="BG17" i="237"/>
  <c r="BH17" i="237"/>
  <c r="BI17" i="237"/>
  <c r="BJ17" i="237"/>
  <c r="BK17" i="237"/>
  <c r="BL17" i="237"/>
  <c r="BM17" i="237"/>
  <c r="BA17" i="237"/>
  <c r="BF15" i="237"/>
  <c r="BG15" i="237"/>
  <c r="BH15" i="237"/>
  <c r="BI15" i="237"/>
  <c r="BJ15" i="237"/>
  <c r="BK15" i="237"/>
  <c r="BL15" i="237"/>
  <c r="BM15" i="237"/>
  <c r="BF16" i="237"/>
  <c r="BG16" i="237"/>
  <c r="BH16" i="237"/>
  <c r="BI16" i="237"/>
  <c r="BJ16" i="237"/>
  <c r="BK16" i="237"/>
  <c r="BL16" i="237"/>
  <c r="BM16" i="237"/>
  <c r="BB15" i="237"/>
  <c r="BC15" i="237"/>
  <c r="BD15" i="237"/>
  <c r="BE15" i="237"/>
  <c r="BB16" i="237"/>
  <c r="BC16" i="237"/>
  <c r="BD16" i="237"/>
  <c r="BE16" i="237"/>
  <c r="BA15" i="237"/>
  <c r="BA16" i="237"/>
  <c r="BB13" i="237"/>
  <c r="BC13" i="237"/>
  <c r="BF13" i="237"/>
  <c r="BK13" i="237"/>
  <c r="BL13" i="237"/>
  <c r="BA13" i="237"/>
  <c r="BF7" i="237"/>
  <c r="BG7" i="237"/>
  <c r="BH7" i="237"/>
  <c r="BI7" i="237"/>
  <c r="BJ7" i="237"/>
  <c r="BK7" i="237"/>
  <c r="BL7" i="237"/>
  <c r="BM7" i="237"/>
  <c r="BA7" i="237"/>
  <c r="BB7" i="237"/>
  <c r="BC7" i="237"/>
  <c r="BD7" i="237"/>
  <c r="BE7" i="237"/>
  <c r="AZ7" i="237"/>
  <c r="AZ18" i="237" l="1"/>
  <c r="AY18" i="237"/>
  <c r="AX18" i="237"/>
  <c r="AW18" i="237"/>
  <c r="AV18" i="237"/>
  <c r="AU18" i="237"/>
  <c r="AT18" i="237"/>
  <c r="AS18" i="237"/>
  <c r="AR18" i="237"/>
  <c r="AQ18" i="237"/>
  <c r="AP18" i="237"/>
  <c r="AO18" i="237"/>
  <c r="AN18" i="237"/>
  <c r="AM18" i="237"/>
  <c r="AL18" i="237"/>
  <c r="AK18" i="237"/>
  <c r="AJ18" i="237"/>
  <c r="AI18" i="237"/>
  <c r="AH18" i="237"/>
  <c r="AG18" i="237"/>
  <c r="AF18" i="237"/>
  <c r="AE18" i="237"/>
  <c r="AD18" i="237"/>
  <c r="AC18" i="237"/>
  <c r="AB18" i="237"/>
  <c r="AA18" i="237"/>
  <c r="Z18" i="237"/>
  <c r="Y18" i="237"/>
  <c r="X18" i="237"/>
  <c r="W18" i="237"/>
  <c r="V18" i="237"/>
  <c r="U18" i="237"/>
  <c r="T18" i="237"/>
  <c r="S18" i="237"/>
  <c r="R18" i="237"/>
  <c r="Q18" i="237"/>
  <c r="P18" i="237"/>
  <c r="O18" i="237"/>
  <c r="N18" i="237"/>
  <c r="M18" i="237"/>
  <c r="L18" i="237"/>
  <c r="K18" i="237"/>
  <c r="J18" i="237"/>
  <c r="I18" i="237"/>
  <c r="H18" i="237"/>
  <c r="G18" i="237"/>
  <c r="F18" i="237"/>
  <c r="E18" i="237"/>
  <c r="D18" i="237"/>
  <c r="C18" i="237"/>
  <c r="B18" i="237"/>
  <c r="AZ17" i="237"/>
  <c r="AY17" i="237"/>
  <c r="AX17" i="237"/>
  <c r="AW17" i="237"/>
  <c r="AV17" i="237"/>
  <c r="AU17" i="237"/>
  <c r="AT17" i="237"/>
  <c r="AS17" i="237"/>
  <c r="AR17" i="237"/>
  <c r="AQ17" i="237"/>
  <c r="AP17" i="237"/>
  <c r="AO17" i="237"/>
  <c r="AN17" i="237"/>
  <c r="AM17" i="237"/>
  <c r="AL17" i="237"/>
  <c r="AK17" i="237"/>
  <c r="AJ17" i="237"/>
  <c r="AI17" i="237"/>
  <c r="AH17" i="237"/>
  <c r="AG17" i="237"/>
  <c r="AF17" i="237"/>
  <c r="AE17" i="237"/>
  <c r="AD17" i="237"/>
  <c r="AC17" i="237"/>
  <c r="AB17" i="237"/>
  <c r="AA17" i="237"/>
  <c r="Z17" i="237"/>
  <c r="Y17" i="237"/>
  <c r="X17" i="237"/>
  <c r="W17" i="237"/>
  <c r="V17" i="237"/>
  <c r="U17" i="237"/>
  <c r="T17" i="237"/>
  <c r="S17" i="237"/>
  <c r="R17" i="237"/>
  <c r="Q17" i="237"/>
  <c r="P17" i="237"/>
  <c r="O17" i="237"/>
  <c r="N17" i="237"/>
  <c r="M17" i="237"/>
  <c r="L17" i="237"/>
  <c r="K17" i="237"/>
  <c r="J17" i="237"/>
  <c r="I17" i="237"/>
  <c r="H17" i="237"/>
  <c r="G17" i="237"/>
  <c r="F17" i="237"/>
  <c r="E17" i="237"/>
  <c r="D17" i="237"/>
  <c r="C17" i="237"/>
  <c r="B17" i="237"/>
  <c r="AZ16" i="237"/>
  <c r="AY16" i="237"/>
  <c r="AX16" i="237"/>
  <c r="AW16" i="237"/>
  <c r="AV16" i="237"/>
  <c r="AU16" i="237"/>
  <c r="AT16" i="237"/>
  <c r="AS16" i="237"/>
  <c r="AR16" i="237"/>
  <c r="AQ16" i="237"/>
  <c r="AP16" i="237"/>
  <c r="AO16" i="237"/>
  <c r="AN16" i="237"/>
  <c r="AM16" i="237"/>
  <c r="AL16" i="237"/>
  <c r="AK16" i="237"/>
  <c r="AJ16" i="237"/>
  <c r="AI16" i="237"/>
  <c r="AH16" i="237"/>
  <c r="AG16" i="237"/>
  <c r="AF16" i="237"/>
  <c r="AE16" i="237"/>
  <c r="AD16" i="237"/>
  <c r="AC16" i="237"/>
  <c r="AB16" i="237"/>
  <c r="AA16" i="237"/>
  <c r="Z16" i="237"/>
  <c r="Y16" i="237"/>
  <c r="X16" i="237"/>
  <c r="W16" i="237"/>
  <c r="V16" i="237"/>
  <c r="U16" i="237"/>
  <c r="T16" i="237"/>
  <c r="S16" i="237"/>
  <c r="R16" i="237"/>
  <c r="Q16" i="237"/>
  <c r="P16" i="237"/>
  <c r="O16" i="237"/>
  <c r="N16" i="237"/>
  <c r="M16" i="237"/>
  <c r="L16" i="237"/>
  <c r="K16" i="237"/>
  <c r="J16" i="237"/>
  <c r="I16" i="237"/>
  <c r="H16" i="237"/>
  <c r="G16" i="237"/>
  <c r="F16" i="237"/>
  <c r="E16" i="237"/>
  <c r="D16" i="237"/>
  <c r="C16" i="237"/>
  <c r="B16" i="237"/>
  <c r="AZ15" i="237"/>
  <c r="AY15" i="237"/>
  <c r="AX15" i="237"/>
  <c r="AW15" i="237"/>
  <c r="AV15" i="237"/>
  <c r="AU15" i="237"/>
  <c r="AT15" i="237"/>
  <c r="AS15" i="237"/>
  <c r="AR15" i="237"/>
  <c r="AQ15" i="237"/>
  <c r="AP15" i="237"/>
  <c r="AO15" i="237"/>
  <c r="AN15" i="237"/>
  <c r="AM15" i="237"/>
  <c r="AL15" i="237"/>
  <c r="AK15" i="237"/>
  <c r="AJ15" i="237"/>
  <c r="AI15" i="237"/>
  <c r="AH15" i="237"/>
  <c r="AG15" i="237"/>
  <c r="AF15" i="237"/>
  <c r="AE15" i="237"/>
  <c r="AD15" i="237"/>
  <c r="AC15" i="237"/>
  <c r="AB15" i="237"/>
  <c r="AA15" i="237"/>
  <c r="Z15" i="237"/>
  <c r="Y15" i="237"/>
  <c r="X15" i="237"/>
  <c r="W15" i="237"/>
  <c r="V15" i="237"/>
  <c r="U15" i="237"/>
  <c r="T15" i="237"/>
  <c r="S15" i="237"/>
  <c r="R15" i="237"/>
  <c r="Q15" i="237"/>
  <c r="P15" i="237"/>
  <c r="O15" i="237"/>
  <c r="N15" i="237"/>
  <c r="M15" i="237"/>
  <c r="L15" i="237"/>
  <c r="K15" i="237"/>
  <c r="J15" i="237"/>
  <c r="I15" i="237"/>
  <c r="H15" i="237"/>
  <c r="G15" i="237"/>
  <c r="F15" i="237"/>
  <c r="E15" i="237"/>
  <c r="D15" i="237"/>
  <c r="C15" i="237"/>
  <c r="B15" i="237"/>
  <c r="AZ14" i="237"/>
  <c r="AY14" i="237"/>
  <c r="AX14" i="237"/>
  <c r="AW14" i="237"/>
  <c r="AV14" i="237"/>
  <c r="AU14" i="237"/>
  <c r="AT14" i="237"/>
  <c r="AS14" i="237"/>
  <c r="AR14" i="237"/>
  <c r="AQ14" i="237"/>
  <c r="AP14" i="237"/>
  <c r="AO14" i="237"/>
  <c r="AN14" i="237"/>
  <c r="AM14" i="237"/>
  <c r="AL14" i="237"/>
  <c r="AK14" i="237"/>
  <c r="AJ14" i="237"/>
  <c r="AI14" i="237"/>
  <c r="AH14" i="237"/>
  <c r="AG14" i="237"/>
  <c r="AF14" i="237"/>
  <c r="AE14" i="237"/>
  <c r="AD14" i="237"/>
  <c r="AC14" i="237"/>
  <c r="AB14" i="237"/>
  <c r="AA14" i="237"/>
  <c r="Z14" i="237"/>
  <c r="Y14" i="237"/>
  <c r="X14" i="237"/>
  <c r="W14" i="237"/>
  <c r="V14" i="237"/>
  <c r="U14" i="237"/>
  <c r="T14" i="237"/>
  <c r="S14" i="237"/>
  <c r="R14" i="237"/>
  <c r="Q14" i="237"/>
  <c r="P14" i="237"/>
  <c r="O14" i="237"/>
  <c r="N14" i="237"/>
  <c r="M14" i="237"/>
  <c r="L14" i="237"/>
  <c r="K14" i="237"/>
  <c r="J14" i="237"/>
  <c r="I14" i="237"/>
  <c r="H14" i="237"/>
  <c r="G14" i="237"/>
  <c r="F14" i="237"/>
  <c r="E14" i="237"/>
  <c r="D14" i="237"/>
  <c r="C14" i="237"/>
  <c r="B14" i="237"/>
  <c r="AZ13" i="237"/>
  <c r="AY13" i="237"/>
  <c r="AX13" i="237"/>
  <c r="AW13" i="237"/>
  <c r="AV13" i="237"/>
  <c r="AU13" i="237"/>
  <c r="AT13" i="237"/>
  <c r="AS13" i="237"/>
  <c r="AR13" i="237"/>
  <c r="AQ13" i="237"/>
  <c r="AP13" i="237"/>
  <c r="AO13" i="237"/>
  <c r="AN13" i="237"/>
  <c r="AM13" i="237"/>
  <c r="AL13" i="237"/>
  <c r="AK13" i="237"/>
  <c r="AJ13" i="237"/>
  <c r="AI13" i="237"/>
  <c r="AH13" i="237"/>
  <c r="AG13" i="237"/>
  <c r="AF13" i="237"/>
  <c r="AE13" i="237"/>
  <c r="AD13" i="237"/>
  <c r="AC13" i="237"/>
  <c r="AB13" i="237"/>
  <c r="AA13" i="237"/>
  <c r="Z13" i="237"/>
  <c r="Y13" i="237"/>
  <c r="X13" i="237"/>
  <c r="W13" i="237"/>
  <c r="V13" i="237"/>
  <c r="U13" i="237"/>
  <c r="T13" i="237"/>
  <c r="S13" i="237"/>
  <c r="R13" i="237"/>
  <c r="Q13" i="237"/>
  <c r="P13" i="237"/>
  <c r="O13" i="237"/>
  <c r="N13" i="237"/>
  <c r="M13" i="237"/>
  <c r="L13" i="237"/>
  <c r="K13" i="237"/>
  <c r="J13" i="237"/>
  <c r="I13" i="237"/>
  <c r="H13" i="237"/>
  <c r="G13" i="237"/>
  <c r="F13" i="237"/>
  <c r="E13" i="237"/>
  <c r="D13" i="237"/>
  <c r="C13" i="237"/>
  <c r="B13" i="237"/>
  <c r="AZ12" i="237"/>
  <c r="AY12" i="237"/>
  <c r="AX12" i="237"/>
  <c r="AW12" i="237"/>
  <c r="AV12" i="237"/>
  <c r="AU12" i="237"/>
  <c r="AT12" i="237"/>
  <c r="AS12" i="237"/>
  <c r="AR12" i="237"/>
  <c r="AQ12" i="237"/>
  <c r="AP12" i="237"/>
  <c r="AO12" i="237"/>
  <c r="AN12" i="237"/>
  <c r="AM12" i="237"/>
  <c r="AL12" i="237"/>
  <c r="AK12" i="237"/>
  <c r="AJ12" i="237"/>
  <c r="AI12" i="237"/>
  <c r="AH12" i="237"/>
  <c r="AG12" i="237"/>
  <c r="AF12" i="237"/>
  <c r="AE12" i="237"/>
  <c r="AD12" i="237"/>
  <c r="AC12" i="237"/>
  <c r="AB12" i="237"/>
  <c r="AA12" i="237"/>
  <c r="Z12" i="237"/>
  <c r="Y12" i="237"/>
  <c r="X12" i="237"/>
  <c r="W12" i="237"/>
  <c r="V12" i="237"/>
  <c r="U12" i="237"/>
  <c r="T12" i="237"/>
  <c r="S12" i="237"/>
  <c r="R12" i="237"/>
  <c r="Q12" i="237"/>
  <c r="P12" i="237"/>
  <c r="O12" i="237"/>
  <c r="N12" i="237"/>
  <c r="M12" i="237"/>
  <c r="L12" i="237"/>
  <c r="K12" i="237"/>
  <c r="J12" i="237"/>
  <c r="I12" i="237"/>
  <c r="H12" i="237"/>
  <c r="G12" i="237"/>
  <c r="F12" i="237"/>
  <c r="E12" i="237"/>
  <c r="D12" i="237"/>
  <c r="C12" i="237"/>
  <c r="B12" i="237"/>
  <c r="AZ11" i="237"/>
  <c r="AY11" i="237"/>
  <c r="AX11" i="237"/>
  <c r="AW11" i="237"/>
  <c r="AV11" i="237"/>
  <c r="AU11" i="237"/>
  <c r="AT11" i="237"/>
  <c r="AS11" i="237"/>
  <c r="AR11" i="237"/>
  <c r="AQ11" i="237"/>
  <c r="AP11" i="237"/>
  <c r="AO11" i="237"/>
  <c r="AN11" i="237"/>
  <c r="AM11" i="237"/>
  <c r="AL11" i="237"/>
  <c r="AK11" i="237"/>
  <c r="AJ11" i="237"/>
  <c r="AI11" i="237"/>
  <c r="AH11" i="237"/>
  <c r="AG11" i="237"/>
  <c r="AF11" i="237"/>
  <c r="AE11" i="237"/>
  <c r="AD11" i="237"/>
  <c r="AC11" i="237"/>
  <c r="AB11" i="237"/>
  <c r="AA11" i="237"/>
  <c r="Z11" i="237"/>
  <c r="Y11" i="237"/>
  <c r="X11" i="237"/>
  <c r="W11" i="237"/>
  <c r="V11" i="237"/>
  <c r="U11" i="237"/>
  <c r="T11" i="237"/>
  <c r="S11" i="237"/>
  <c r="R11" i="237"/>
  <c r="Q11" i="237"/>
  <c r="P11" i="237"/>
  <c r="O11" i="237"/>
  <c r="N11" i="237"/>
  <c r="M11" i="237"/>
  <c r="L11" i="237"/>
  <c r="K11" i="237"/>
  <c r="J11" i="237"/>
  <c r="I11" i="237"/>
  <c r="H11" i="237"/>
  <c r="G11" i="237"/>
  <c r="F11" i="237"/>
  <c r="E11" i="237"/>
  <c r="D11" i="237"/>
  <c r="C11" i="237"/>
  <c r="B11" i="237"/>
  <c r="AZ10" i="237"/>
  <c r="AY10" i="237"/>
  <c r="AX10" i="237"/>
  <c r="AW10" i="237"/>
  <c r="AV10" i="237"/>
  <c r="AU10" i="237"/>
  <c r="AT10" i="237"/>
  <c r="AS10" i="237"/>
  <c r="AR10" i="237"/>
  <c r="AQ10" i="237"/>
  <c r="AP10" i="237"/>
  <c r="AO10" i="237"/>
  <c r="AN10" i="237"/>
  <c r="AM10" i="237"/>
  <c r="AL10" i="237"/>
  <c r="AK10" i="237"/>
  <c r="AJ10" i="237"/>
  <c r="AI10" i="237"/>
  <c r="AH10" i="237"/>
  <c r="AG10" i="237"/>
  <c r="AF10" i="237"/>
  <c r="AE10" i="237"/>
  <c r="AD10" i="237"/>
  <c r="AC10" i="237"/>
  <c r="AB10" i="237"/>
  <c r="AA10" i="237"/>
  <c r="Z10" i="237"/>
  <c r="Y10" i="237"/>
  <c r="X10" i="237"/>
  <c r="W10" i="237"/>
  <c r="V10" i="237"/>
  <c r="U10" i="237"/>
  <c r="T10" i="237"/>
  <c r="S10" i="237"/>
  <c r="R10" i="237"/>
  <c r="Q10" i="237"/>
  <c r="P10" i="237"/>
  <c r="O10" i="237"/>
  <c r="N10" i="237"/>
  <c r="M10" i="237"/>
  <c r="L10" i="237"/>
  <c r="K10" i="237"/>
  <c r="J10" i="237"/>
  <c r="I10" i="237"/>
  <c r="H10" i="237"/>
  <c r="G10" i="237"/>
  <c r="F10" i="237"/>
  <c r="E10" i="237"/>
  <c r="D10" i="237"/>
  <c r="C10" i="237"/>
  <c r="B10" i="237"/>
  <c r="AZ9" i="237"/>
  <c r="AY9" i="237"/>
  <c r="AX9" i="237"/>
  <c r="AW9" i="237"/>
  <c r="AV9" i="237"/>
  <c r="AU9" i="237"/>
  <c r="AT9" i="237"/>
  <c r="AS9" i="237"/>
  <c r="AR9" i="237"/>
  <c r="AQ9" i="237"/>
  <c r="AP9" i="237"/>
  <c r="AO9" i="237"/>
  <c r="AN9" i="237"/>
  <c r="AM9" i="237"/>
  <c r="AL9" i="237"/>
  <c r="AK9" i="237"/>
  <c r="AJ9" i="237"/>
  <c r="AI9" i="237"/>
  <c r="AH9" i="237"/>
  <c r="AG9" i="237"/>
  <c r="AF9" i="237"/>
  <c r="AE9" i="237"/>
  <c r="AD9" i="237"/>
  <c r="AC9" i="237"/>
  <c r="AB9" i="237"/>
  <c r="AA9" i="237"/>
  <c r="Z9" i="237"/>
  <c r="Y9" i="237"/>
  <c r="X9" i="237"/>
  <c r="W9" i="237"/>
  <c r="V9" i="237"/>
  <c r="U9" i="237"/>
  <c r="T9" i="237"/>
  <c r="S9" i="237"/>
  <c r="R9" i="237"/>
  <c r="Q9" i="237"/>
  <c r="P9" i="237"/>
  <c r="O9" i="237"/>
  <c r="N9" i="237"/>
  <c r="M9" i="237"/>
  <c r="L9" i="237"/>
  <c r="K9" i="237"/>
  <c r="J9" i="237"/>
  <c r="I9" i="237"/>
  <c r="H9" i="237"/>
  <c r="G9" i="237"/>
  <c r="F9" i="237"/>
  <c r="E9" i="237"/>
  <c r="D9" i="237"/>
  <c r="C9" i="237"/>
  <c r="B9" i="237"/>
  <c r="AZ8" i="237"/>
  <c r="AY8" i="237"/>
  <c r="AX8" i="237"/>
  <c r="AW8" i="237"/>
  <c r="AV8" i="237"/>
  <c r="AU8" i="237"/>
  <c r="AT8" i="237"/>
  <c r="AS8" i="237"/>
  <c r="AR8" i="237"/>
  <c r="AQ8" i="237"/>
  <c r="AP8" i="237"/>
  <c r="AO8" i="237"/>
  <c r="AN8" i="237"/>
  <c r="AM8" i="237"/>
  <c r="AL8" i="237"/>
  <c r="AK8" i="237"/>
  <c r="AJ8" i="237"/>
  <c r="AI8" i="237"/>
  <c r="AH8" i="237"/>
  <c r="AG8" i="237"/>
  <c r="AF8" i="237"/>
  <c r="AE8" i="237"/>
  <c r="AD8" i="237"/>
  <c r="AC8" i="237"/>
  <c r="AB8" i="237"/>
  <c r="AA8" i="237"/>
  <c r="Z8" i="237"/>
  <c r="Y8" i="237"/>
  <c r="X8" i="237"/>
  <c r="W8" i="237"/>
  <c r="V8" i="237"/>
  <c r="U8" i="237"/>
  <c r="T8" i="237"/>
  <c r="S8" i="237"/>
  <c r="R8" i="237"/>
  <c r="Q8" i="237"/>
  <c r="P8" i="237"/>
  <c r="O8" i="237"/>
  <c r="N8" i="237"/>
  <c r="M8" i="237"/>
  <c r="L8" i="237"/>
  <c r="K8" i="237"/>
  <c r="J8" i="237"/>
  <c r="I8" i="237"/>
  <c r="H8" i="237"/>
  <c r="G8" i="237"/>
  <c r="F8" i="237"/>
  <c r="E8" i="237"/>
  <c r="D8" i="237"/>
  <c r="C8" i="237"/>
  <c r="B8" i="237"/>
  <c r="AY7" i="237"/>
  <c r="AX7" i="237"/>
  <c r="AW7" i="237"/>
  <c r="AV7" i="237"/>
  <c r="AU7" i="237"/>
  <c r="AT7" i="237"/>
  <c r="AS7" i="237"/>
  <c r="AR7" i="237"/>
  <c r="AQ7" i="237"/>
  <c r="AP7" i="237"/>
  <c r="AO7" i="237"/>
  <c r="AN7" i="237"/>
  <c r="AM7" i="237"/>
  <c r="AL7" i="237"/>
  <c r="AK7" i="237"/>
  <c r="AJ7" i="237"/>
  <c r="AI7" i="237"/>
  <c r="AH7" i="237"/>
  <c r="AG7" i="237"/>
  <c r="AF7" i="237"/>
  <c r="AE7" i="237"/>
  <c r="AD7" i="237"/>
  <c r="AC7" i="237"/>
  <c r="AB7" i="237"/>
  <c r="AA7" i="237"/>
  <c r="Z7" i="237"/>
  <c r="Y7" i="237"/>
  <c r="X7" i="237"/>
  <c r="W7" i="237"/>
  <c r="V7" i="237"/>
  <c r="U7" i="237"/>
  <c r="T7" i="237"/>
  <c r="S7" i="237"/>
  <c r="R7" i="237"/>
  <c r="Q7" i="237"/>
  <c r="P7" i="237"/>
  <c r="O7" i="237"/>
  <c r="N7" i="237"/>
  <c r="M7" i="237"/>
  <c r="L7" i="237"/>
  <c r="K7" i="237"/>
  <c r="J7" i="237"/>
  <c r="I7" i="237"/>
  <c r="H7" i="237"/>
  <c r="G7" i="237"/>
  <c r="F7" i="237"/>
  <c r="E7" i="237"/>
  <c r="D7" i="237"/>
  <c r="C7" i="237"/>
  <c r="B7" i="237"/>
  <c r="P93" i="236"/>
  <c r="N92" i="236"/>
  <c r="BP87" i="236"/>
  <c r="BO87" i="236"/>
  <c r="BN87" i="236"/>
  <c r="BM87" i="236"/>
  <c r="BI87" i="236"/>
  <c r="BG87" i="236"/>
  <c r="BF87" i="236"/>
  <c r="BE87" i="236"/>
  <c r="BD87" i="236"/>
  <c r="AX87" i="236"/>
  <c r="AQ87" i="236"/>
  <c r="AN87" i="236"/>
  <c r="AM87" i="236"/>
  <c r="AL87" i="236"/>
  <c r="AK87" i="236"/>
  <c r="AG87" i="236"/>
  <c r="AF87" i="236"/>
  <c r="AE87" i="236"/>
  <c r="AD87" i="236"/>
  <c r="AC87" i="236"/>
  <c r="AB87" i="236"/>
  <c r="AA87" i="236"/>
  <c r="Z87" i="236"/>
  <c r="Y87" i="236"/>
  <c r="X87" i="236"/>
  <c r="S87" i="236"/>
  <c r="J87" i="236"/>
  <c r="I87" i="236"/>
  <c r="H87" i="236"/>
  <c r="G87" i="236"/>
  <c r="E87" i="236"/>
  <c r="D87" i="236"/>
  <c r="BH86" i="236"/>
  <c r="BJ86" i="236" s="1"/>
  <c r="BL86" i="236" s="1"/>
  <c r="BD86" i="236"/>
  <c r="BC86" i="236"/>
  <c r="AS86" i="236"/>
  <c r="AH86" i="236"/>
  <c r="O86" i="236" s="1"/>
  <c r="T86" i="236"/>
  <c r="M86" i="236"/>
  <c r="K86" i="236"/>
  <c r="L86" i="236" s="1"/>
  <c r="F86" i="236"/>
  <c r="BL85" i="236"/>
  <c r="BJ85" i="236"/>
  <c r="BH85" i="236"/>
  <c r="BC85" i="236"/>
  <c r="AH85" i="236"/>
  <c r="O85" i="236" s="1"/>
  <c r="T85" i="236"/>
  <c r="M85" i="236"/>
  <c r="K85" i="236"/>
  <c r="L85" i="236" s="1"/>
  <c r="Q85" i="236" s="1"/>
  <c r="F85" i="236"/>
  <c r="BJ84" i="236"/>
  <c r="BL84" i="236" s="1"/>
  <c r="BH84" i="236"/>
  <c r="BC84" i="236"/>
  <c r="AH84" i="236"/>
  <c r="O84" i="236" s="1"/>
  <c r="T84" i="236"/>
  <c r="K84" i="236"/>
  <c r="L84" i="236" s="1"/>
  <c r="F84" i="236"/>
  <c r="BL83" i="236"/>
  <c r="BJ83" i="236"/>
  <c r="BH83" i="236"/>
  <c r="BC83" i="236"/>
  <c r="AH83" i="236"/>
  <c r="T83" i="236"/>
  <c r="N83" i="236"/>
  <c r="K83" i="236"/>
  <c r="L83" i="236" s="1"/>
  <c r="F83" i="236"/>
  <c r="BH82" i="236"/>
  <c r="BJ82" i="236" s="1"/>
  <c r="BL82" i="236" s="1"/>
  <c r="BC82" i="236"/>
  <c r="AW82" i="236"/>
  <c r="AT82" i="236"/>
  <c r="AH82" i="236"/>
  <c r="T82" i="236"/>
  <c r="Q82" i="236"/>
  <c r="O82" i="236"/>
  <c r="M82" i="236"/>
  <c r="AS82" i="236" s="1"/>
  <c r="BB82" i="236" s="1"/>
  <c r="L82" i="236"/>
  <c r="K82" i="236"/>
  <c r="F82" i="236"/>
  <c r="BH81" i="236"/>
  <c r="BJ81" i="236" s="1"/>
  <c r="BL81" i="236" s="1"/>
  <c r="BC81" i="236"/>
  <c r="AH81" i="236"/>
  <c r="T81" i="236"/>
  <c r="O81" i="236"/>
  <c r="L81" i="236"/>
  <c r="K81" i="236"/>
  <c r="F81" i="236"/>
  <c r="BJ80" i="236"/>
  <c r="BL80" i="236" s="1"/>
  <c r="BH80" i="236"/>
  <c r="BC80" i="236"/>
  <c r="AH80" i="236"/>
  <c r="T80" i="236"/>
  <c r="O80" i="236"/>
  <c r="L80" i="236"/>
  <c r="K80" i="236"/>
  <c r="F80" i="236"/>
  <c r="BH79" i="236"/>
  <c r="BJ79" i="236" s="1"/>
  <c r="BL79" i="236" s="1"/>
  <c r="AR79" i="236"/>
  <c r="AH79" i="236"/>
  <c r="T79" i="236"/>
  <c r="O79" i="236"/>
  <c r="K79" i="236"/>
  <c r="L79" i="236" s="1"/>
  <c r="F79" i="236"/>
  <c r="BH78" i="236"/>
  <c r="BJ78" i="236" s="1"/>
  <c r="BL78" i="236" s="1"/>
  <c r="BC78" i="236"/>
  <c r="AH78" i="236"/>
  <c r="O78" i="236" s="1"/>
  <c r="T78" i="236"/>
  <c r="L78" i="236"/>
  <c r="K78" i="236"/>
  <c r="F78" i="236"/>
  <c r="BH77" i="236"/>
  <c r="BJ77" i="236" s="1"/>
  <c r="BL77" i="236" s="1"/>
  <c r="BC77" i="236"/>
  <c r="AH77" i="236"/>
  <c r="T77" i="236"/>
  <c r="Q77" i="236"/>
  <c r="O77" i="236"/>
  <c r="L77" i="236"/>
  <c r="K77" i="236"/>
  <c r="F77" i="236"/>
  <c r="BH76" i="236"/>
  <c r="BJ76" i="236" s="1"/>
  <c r="BL76" i="236" s="1"/>
  <c r="BC76" i="236"/>
  <c r="AH76" i="236"/>
  <c r="T76" i="236"/>
  <c r="Q76" i="236"/>
  <c r="N76" i="236"/>
  <c r="L76" i="236"/>
  <c r="K76" i="236"/>
  <c r="F76" i="236"/>
  <c r="BL75" i="236"/>
  <c r="BH75" i="236"/>
  <c r="BJ75" i="236" s="1"/>
  <c r="BC75" i="236"/>
  <c r="AH75" i="236"/>
  <c r="O75" i="236" s="1"/>
  <c r="T75" i="236"/>
  <c r="K75" i="236"/>
  <c r="L75" i="236" s="1"/>
  <c r="Q75" i="236" s="1"/>
  <c r="F75" i="236"/>
  <c r="BJ74" i="236"/>
  <c r="BL74" i="236" s="1"/>
  <c r="BH74" i="236"/>
  <c r="BC74" i="236"/>
  <c r="AH74" i="236"/>
  <c r="T74" i="236"/>
  <c r="N74" i="236"/>
  <c r="M74" i="236"/>
  <c r="AP74" i="236" s="1"/>
  <c r="L74" i="236"/>
  <c r="Q74" i="236" s="1"/>
  <c r="K74" i="236"/>
  <c r="F74" i="236"/>
  <c r="BH73" i="236"/>
  <c r="BJ73" i="236" s="1"/>
  <c r="BL73" i="236" s="1"/>
  <c r="BC73" i="236"/>
  <c r="AH73" i="236"/>
  <c r="T73" i="236"/>
  <c r="O73" i="236"/>
  <c r="K73" i="236"/>
  <c r="L73" i="236" s="1"/>
  <c r="F73" i="236"/>
  <c r="BH72" i="236"/>
  <c r="BJ72" i="236" s="1"/>
  <c r="BL72" i="236" s="1"/>
  <c r="BC72" i="236"/>
  <c r="AW72" i="236"/>
  <c r="AS72" i="236"/>
  <c r="AH72" i="236"/>
  <c r="O72" i="236" s="1"/>
  <c r="T72" i="236"/>
  <c r="Q72" i="236"/>
  <c r="M72" i="236"/>
  <c r="K72" i="236"/>
  <c r="L72" i="236" s="1"/>
  <c r="F72" i="236"/>
  <c r="BJ71" i="236"/>
  <c r="BL71" i="236" s="1"/>
  <c r="BH71" i="236"/>
  <c r="BC71" i="236"/>
  <c r="AH71" i="236"/>
  <c r="T71" i="236"/>
  <c r="N71" i="236"/>
  <c r="K71" i="236"/>
  <c r="L71" i="236" s="1"/>
  <c r="F71" i="236"/>
  <c r="BH70" i="236"/>
  <c r="BJ70" i="236" s="1"/>
  <c r="BL70" i="236" s="1"/>
  <c r="BC70" i="236"/>
  <c r="AH70" i="236"/>
  <c r="O70" i="236" s="1"/>
  <c r="T70" i="236"/>
  <c r="L70" i="236"/>
  <c r="K70" i="236"/>
  <c r="F70" i="236"/>
  <c r="BH69" i="236"/>
  <c r="BJ69" i="236" s="1"/>
  <c r="BL69" i="236" s="1"/>
  <c r="BB69" i="236"/>
  <c r="AV69" i="236"/>
  <c r="BK69" i="236" s="1"/>
  <c r="AT69" i="236"/>
  <c r="AR69" i="236"/>
  <c r="AW69" i="236" s="1"/>
  <c r="AH69" i="236"/>
  <c r="T69" i="236"/>
  <c r="Q69" i="236"/>
  <c r="U69" i="236" s="1"/>
  <c r="O69" i="236"/>
  <c r="P69" i="236" s="1"/>
  <c r="N69" i="236"/>
  <c r="M69" i="236"/>
  <c r="AS69" i="236" s="1"/>
  <c r="K69" i="236"/>
  <c r="L69" i="236" s="1"/>
  <c r="F69" i="236"/>
  <c r="BJ68" i="236"/>
  <c r="BL68" i="236" s="1"/>
  <c r="BH68" i="236"/>
  <c r="BC68" i="236"/>
  <c r="AH68" i="236"/>
  <c r="T68" i="236"/>
  <c r="O68" i="236"/>
  <c r="N68" i="236"/>
  <c r="M68" i="236"/>
  <c r="AS68" i="236" s="1"/>
  <c r="K68" i="236"/>
  <c r="L68" i="236" s="1"/>
  <c r="F68" i="236"/>
  <c r="BL67" i="236"/>
  <c r="BJ67" i="236"/>
  <c r="BH67" i="236"/>
  <c r="BC67" i="236"/>
  <c r="AH67" i="236"/>
  <c r="T67" i="236"/>
  <c r="P67" i="236"/>
  <c r="N67" i="236"/>
  <c r="O67" i="236" s="1"/>
  <c r="M67" i="236"/>
  <c r="L67" i="236"/>
  <c r="Q67" i="236" s="1"/>
  <c r="K67" i="236"/>
  <c r="F67" i="236"/>
  <c r="BH66" i="236"/>
  <c r="BJ66" i="236" s="1"/>
  <c r="BL66" i="236" s="1"/>
  <c r="BC66" i="236"/>
  <c r="AH66" i="236"/>
  <c r="T66" i="236"/>
  <c r="Q66" i="236"/>
  <c r="O66" i="236"/>
  <c r="L66" i="236"/>
  <c r="K66" i="236"/>
  <c r="F66" i="236"/>
  <c r="BJ65" i="236"/>
  <c r="BL65" i="236" s="1"/>
  <c r="BH65" i="236"/>
  <c r="BC65" i="236"/>
  <c r="AS65" i="236"/>
  <c r="AH65" i="236"/>
  <c r="T65" i="236"/>
  <c r="Q65" i="236"/>
  <c r="U65" i="236" s="1"/>
  <c r="O65" i="236"/>
  <c r="N65" i="236"/>
  <c r="M65" i="236"/>
  <c r="AP65" i="236" s="1"/>
  <c r="K65" i="236"/>
  <c r="L65" i="236" s="1"/>
  <c r="F65" i="236"/>
  <c r="BJ64" i="236"/>
  <c r="BL64" i="236" s="1"/>
  <c r="BH64" i="236"/>
  <c r="BC64" i="236"/>
  <c r="AH64" i="236"/>
  <c r="O64" i="236" s="1"/>
  <c r="T64" i="236"/>
  <c r="P64" i="236"/>
  <c r="M64" i="236"/>
  <c r="AP64" i="236" s="1"/>
  <c r="L64" i="236"/>
  <c r="Q64" i="236" s="1"/>
  <c r="K64" i="236"/>
  <c r="F64" i="236"/>
  <c r="BJ63" i="236"/>
  <c r="BL63" i="236" s="1"/>
  <c r="BH63" i="236"/>
  <c r="BC63" i="236"/>
  <c r="AH63" i="236"/>
  <c r="O63" i="236" s="1"/>
  <c r="T63" i="236"/>
  <c r="L63" i="236"/>
  <c r="K63" i="236"/>
  <c r="F63" i="236"/>
  <c r="BH62" i="236"/>
  <c r="BJ62" i="236" s="1"/>
  <c r="BL62" i="236" s="1"/>
  <c r="BC62" i="236"/>
  <c r="AH62" i="236"/>
  <c r="T62" i="236"/>
  <c r="O62" i="236"/>
  <c r="L62" i="236"/>
  <c r="K62" i="236"/>
  <c r="F62" i="236"/>
  <c r="BH61" i="236"/>
  <c r="BJ61" i="236" s="1"/>
  <c r="BL61" i="236" s="1"/>
  <c r="BC61" i="236"/>
  <c r="AH61" i="236"/>
  <c r="T61" i="236"/>
  <c r="Q61" i="236"/>
  <c r="O61" i="236"/>
  <c r="L61" i="236"/>
  <c r="K61" i="236"/>
  <c r="F61" i="236"/>
  <c r="BL60" i="236"/>
  <c r="BH60" i="236"/>
  <c r="BJ60" i="236" s="1"/>
  <c r="BC60" i="236"/>
  <c r="AH60" i="236"/>
  <c r="O60" i="236" s="1"/>
  <c r="T60" i="236"/>
  <c r="K60" i="236"/>
  <c r="L60" i="236" s="1"/>
  <c r="Q60" i="236" s="1"/>
  <c r="F60" i="236"/>
  <c r="BJ59" i="236"/>
  <c r="BL59" i="236" s="1"/>
  <c r="BH59" i="236"/>
  <c r="BC59" i="236"/>
  <c r="AH59" i="236"/>
  <c r="T59" i="236"/>
  <c r="N59" i="236"/>
  <c r="M59" i="236"/>
  <c r="AP59" i="236" s="1"/>
  <c r="L59" i="236"/>
  <c r="Q59" i="236" s="1"/>
  <c r="K59" i="236"/>
  <c r="F59" i="236"/>
  <c r="BH58" i="236"/>
  <c r="BJ58" i="236" s="1"/>
  <c r="BL58" i="236" s="1"/>
  <c r="BC58" i="236"/>
  <c r="BB58" i="236"/>
  <c r="AV58" i="236"/>
  <c r="BK58" i="236" s="1"/>
  <c r="AT58" i="236"/>
  <c r="AP58" i="236"/>
  <c r="AH58" i="236"/>
  <c r="T58" i="236"/>
  <c r="Q58" i="236"/>
  <c r="U58" i="236" s="1"/>
  <c r="V58" i="236" s="1"/>
  <c r="P58" i="236"/>
  <c r="O58" i="236"/>
  <c r="M58" i="236"/>
  <c r="AS58" i="236" s="1"/>
  <c r="AW58" i="236" s="1"/>
  <c r="L58" i="236"/>
  <c r="K58" i="236"/>
  <c r="F58" i="236"/>
  <c r="BH57" i="236"/>
  <c r="BJ57" i="236" s="1"/>
  <c r="BL57" i="236" s="1"/>
  <c r="BC57" i="236"/>
  <c r="AH57" i="236"/>
  <c r="O57" i="236" s="1"/>
  <c r="T57" i="236"/>
  <c r="M57" i="236"/>
  <c r="AS57" i="236" s="1"/>
  <c r="K57" i="236"/>
  <c r="L57" i="236" s="1"/>
  <c r="F57" i="236"/>
  <c r="BH56" i="236"/>
  <c r="BJ56" i="236" s="1"/>
  <c r="BL56" i="236" s="1"/>
  <c r="BC56" i="236"/>
  <c r="AH56" i="236"/>
  <c r="O56" i="236" s="1"/>
  <c r="T56" i="236"/>
  <c r="K56" i="236"/>
  <c r="L56" i="236" s="1"/>
  <c r="F56" i="236"/>
  <c r="BL55" i="236"/>
  <c r="BJ55" i="236"/>
  <c r="BH55" i="236"/>
  <c r="BC55" i="236"/>
  <c r="AH55" i="236"/>
  <c r="O55" i="236" s="1"/>
  <c r="T55" i="236"/>
  <c r="K55" i="236"/>
  <c r="L55" i="236" s="1"/>
  <c r="F55" i="236"/>
  <c r="BH54" i="236"/>
  <c r="BJ54" i="236" s="1"/>
  <c r="BL54" i="236" s="1"/>
  <c r="BC54" i="236"/>
  <c r="AP54" i="236"/>
  <c r="AI54" i="236"/>
  <c r="AH54" i="236"/>
  <c r="T54" i="236"/>
  <c r="Q54" i="236"/>
  <c r="U54" i="236" s="1"/>
  <c r="V54" i="236" s="1"/>
  <c r="W54" i="236" s="1"/>
  <c r="P54" i="236"/>
  <c r="O54" i="236"/>
  <c r="M54" i="236"/>
  <c r="AS54" i="236" s="1"/>
  <c r="L54" i="236"/>
  <c r="K54" i="236"/>
  <c r="F54" i="236"/>
  <c r="BH53" i="236"/>
  <c r="BJ53" i="236" s="1"/>
  <c r="BL53" i="236" s="1"/>
  <c r="BC53" i="236"/>
  <c r="AH53" i="236"/>
  <c r="T53" i="236"/>
  <c r="Q53" i="236"/>
  <c r="O53" i="236"/>
  <c r="K53" i="236"/>
  <c r="L53" i="236" s="1"/>
  <c r="F53" i="236"/>
  <c r="BL52" i="236"/>
  <c r="BJ52" i="236"/>
  <c r="BH52" i="236"/>
  <c r="BC52" i="236"/>
  <c r="AH52" i="236"/>
  <c r="T52" i="236"/>
  <c r="R52" i="236"/>
  <c r="R87" i="236" s="1"/>
  <c r="O52" i="236"/>
  <c r="K52" i="236"/>
  <c r="L52" i="236" s="1"/>
  <c r="F52" i="236"/>
  <c r="BH51" i="236"/>
  <c r="BJ51" i="236" s="1"/>
  <c r="BL51" i="236" s="1"/>
  <c r="BC51" i="236"/>
  <c r="AW51" i="236"/>
  <c r="AJ51" i="236"/>
  <c r="AI51" i="236"/>
  <c r="AH51" i="236"/>
  <c r="O51" i="236" s="1"/>
  <c r="P51" i="236" s="1"/>
  <c r="T51" i="236"/>
  <c r="Q51" i="236"/>
  <c r="U51" i="236" s="1"/>
  <c r="V51" i="236" s="1"/>
  <c r="W51" i="236" s="1"/>
  <c r="M51" i="236"/>
  <c r="AS51" i="236" s="1"/>
  <c r="L51" i="236"/>
  <c r="K51" i="236"/>
  <c r="F51" i="236"/>
  <c r="BJ50" i="236"/>
  <c r="BL50" i="236" s="1"/>
  <c r="BH50" i="236"/>
  <c r="BC50" i="236"/>
  <c r="AH50" i="236"/>
  <c r="T50" i="236"/>
  <c r="Q50" i="236"/>
  <c r="P50" i="236"/>
  <c r="O50" i="236"/>
  <c r="M50" i="236"/>
  <c r="AS50" i="236" s="1"/>
  <c r="L50" i="236"/>
  <c r="K50" i="236"/>
  <c r="F50" i="236"/>
  <c r="BL49" i="236"/>
  <c r="BJ49" i="236"/>
  <c r="BH49" i="236"/>
  <c r="BC49" i="236"/>
  <c r="AP49" i="236"/>
  <c r="AH49" i="236"/>
  <c r="U49" i="236"/>
  <c r="V49" i="236" s="1"/>
  <c r="T49" i="236"/>
  <c r="Q49" i="236"/>
  <c r="O49" i="236"/>
  <c r="K49" i="236"/>
  <c r="L49" i="236" s="1"/>
  <c r="M49" i="236" s="1"/>
  <c r="AS49" i="236" s="1"/>
  <c r="AT49" i="236" s="1"/>
  <c r="AU49" i="236" s="1"/>
  <c r="F49" i="236"/>
  <c r="BJ48" i="236"/>
  <c r="BL48" i="236" s="1"/>
  <c r="BH48" i="236"/>
  <c r="BC48" i="236"/>
  <c r="AH48" i="236"/>
  <c r="O48" i="236" s="1"/>
  <c r="T48" i="236"/>
  <c r="L48" i="236"/>
  <c r="K48" i="236"/>
  <c r="F48" i="236"/>
  <c r="BH47" i="236"/>
  <c r="BJ47" i="236" s="1"/>
  <c r="BL47" i="236" s="1"/>
  <c r="BC47" i="236"/>
  <c r="AH47" i="236"/>
  <c r="T47" i="236"/>
  <c r="O47" i="236"/>
  <c r="K47" i="236"/>
  <c r="L47" i="236" s="1"/>
  <c r="F47" i="236"/>
  <c r="BJ46" i="236"/>
  <c r="BL46" i="236" s="1"/>
  <c r="BH46" i="236"/>
  <c r="BC46" i="236"/>
  <c r="AH46" i="236"/>
  <c r="T46" i="236"/>
  <c r="O46" i="236"/>
  <c r="N46" i="236"/>
  <c r="L46" i="236"/>
  <c r="K46" i="236"/>
  <c r="F46" i="236"/>
  <c r="BJ45" i="236"/>
  <c r="BL45" i="236" s="1"/>
  <c r="BH45" i="236"/>
  <c r="AR45" i="236"/>
  <c r="AP45" i="236"/>
  <c r="AH45" i="236"/>
  <c r="O45" i="236" s="1"/>
  <c r="V45" i="236"/>
  <c r="T45" i="236"/>
  <c r="Q45" i="236"/>
  <c r="U45" i="236" s="1"/>
  <c r="L45" i="236"/>
  <c r="M45" i="236" s="1"/>
  <c r="P45" i="236" s="1"/>
  <c r="K45" i="236"/>
  <c r="F45" i="236"/>
  <c r="BJ44" i="236"/>
  <c r="BL44" i="236" s="1"/>
  <c r="BH44" i="236"/>
  <c r="BC44" i="236"/>
  <c r="AH44" i="236"/>
  <c r="T44" i="236"/>
  <c r="O44" i="236"/>
  <c r="K44" i="236"/>
  <c r="L44" i="236" s="1"/>
  <c r="F44" i="236"/>
  <c r="BH43" i="236"/>
  <c r="BJ43" i="236" s="1"/>
  <c r="BL43" i="236" s="1"/>
  <c r="BC43" i="236"/>
  <c r="AH43" i="236"/>
  <c r="T43" i="236"/>
  <c r="N43" i="236"/>
  <c r="L43" i="236"/>
  <c r="K43" i="236"/>
  <c r="F43" i="236"/>
  <c r="BJ42" i="236"/>
  <c r="BL42" i="236" s="1"/>
  <c r="BH42" i="236"/>
  <c r="BC42" i="236"/>
  <c r="AH42" i="236"/>
  <c r="O42" i="236" s="1"/>
  <c r="T42" i="236"/>
  <c r="K42" i="236"/>
  <c r="L42" i="236" s="1"/>
  <c r="F42" i="236"/>
  <c r="BL41" i="236"/>
  <c r="BJ41" i="236"/>
  <c r="BH41" i="236"/>
  <c r="BC41" i="236"/>
  <c r="AH41" i="236"/>
  <c r="T41" i="236"/>
  <c r="O41" i="236"/>
  <c r="K41" i="236"/>
  <c r="L41" i="236" s="1"/>
  <c r="Q41" i="236" s="1"/>
  <c r="F41" i="236"/>
  <c r="BH40" i="236"/>
  <c r="BJ40" i="236" s="1"/>
  <c r="BL40" i="236" s="1"/>
  <c r="BC40" i="236"/>
  <c r="AH40" i="236"/>
  <c r="O40" i="236" s="1"/>
  <c r="T40" i="236"/>
  <c r="Q40" i="236"/>
  <c r="M40" i="236"/>
  <c r="P40" i="236" s="1"/>
  <c r="K40" i="236"/>
  <c r="L40" i="236" s="1"/>
  <c r="F40" i="236"/>
  <c r="BJ39" i="236"/>
  <c r="BL39" i="236" s="1"/>
  <c r="BH39" i="236"/>
  <c r="BC39" i="236"/>
  <c r="AH39" i="236"/>
  <c r="T39" i="236"/>
  <c r="O39" i="236"/>
  <c r="N39" i="236"/>
  <c r="K39" i="236"/>
  <c r="L39" i="236" s="1"/>
  <c r="F39" i="236"/>
  <c r="BJ38" i="236"/>
  <c r="BL38" i="236" s="1"/>
  <c r="BH38" i="236"/>
  <c r="BC38" i="236"/>
  <c r="AH38" i="236"/>
  <c r="T38" i="236"/>
  <c r="O38" i="236"/>
  <c r="N38" i="236"/>
  <c r="M38" i="236"/>
  <c r="K38" i="236"/>
  <c r="L38" i="236" s="1"/>
  <c r="F38" i="236"/>
  <c r="BL37" i="236"/>
  <c r="BJ37" i="236"/>
  <c r="BH37" i="236"/>
  <c r="BC37" i="236"/>
  <c r="AH37" i="236"/>
  <c r="O37" i="236" s="1"/>
  <c r="T37" i="236"/>
  <c r="K37" i="236"/>
  <c r="L37" i="236" s="1"/>
  <c r="Q37" i="236" s="1"/>
  <c r="F37" i="236"/>
  <c r="BJ36" i="236"/>
  <c r="BL36" i="236" s="1"/>
  <c r="BH36" i="236"/>
  <c r="BC36" i="236"/>
  <c r="AH36" i="236"/>
  <c r="O36" i="236" s="1"/>
  <c r="T36" i="236"/>
  <c r="K36" i="236"/>
  <c r="L36" i="236" s="1"/>
  <c r="F36" i="236"/>
  <c r="BJ35" i="236"/>
  <c r="BL35" i="236" s="1"/>
  <c r="BH35" i="236"/>
  <c r="BC35" i="236"/>
  <c r="AH35" i="236"/>
  <c r="O35" i="236" s="1"/>
  <c r="T35" i="236"/>
  <c r="K35" i="236"/>
  <c r="L35" i="236" s="1"/>
  <c r="Q35" i="236" s="1"/>
  <c r="F35" i="236"/>
  <c r="BL34" i="236"/>
  <c r="BH34" i="236"/>
  <c r="BJ34" i="236" s="1"/>
  <c r="BC34" i="236"/>
  <c r="AH34" i="236"/>
  <c r="O34" i="236" s="1"/>
  <c r="T34" i="236"/>
  <c r="K34" i="236"/>
  <c r="L34" i="236" s="1"/>
  <c r="F34" i="236"/>
  <c r="BL33" i="236"/>
  <c r="BJ33" i="236"/>
  <c r="BH33" i="236"/>
  <c r="BC33" i="236"/>
  <c r="AH33" i="236"/>
  <c r="T33" i="236"/>
  <c r="N33" i="236"/>
  <c r="K33" i="236"/>
  <c r="L33" i="236" s="1"/>
  <c r="F33" i="236"/>
  <c r="BH32" i="236"/>
  <c r="BJ32" i="236" s="1"/>
  <c r="BL32" i="236" s="1"/>
  <c r="BC32" i="236"/>
  <c r="AH32" i="236"/>
  <c r="O32" i="236" s="1"/>
  <c r="T32" i="236"/>
  <c r="K32" i="236"/>
  <c r="L32" i="236" s="1"/>
  <c r="F32" i="236"/>
  <c r="BJ31" i="236"/>
  <c r="BL31" i="236" s="1"/>
  <c r="BH31" i="236"/>
  <c r="BC31" i="236"/>
  <c r="AH31" i="236"/>
  <c r="O31" i="236" s="1"/>
  <c r="T31" i="236"/>
  <c r="Q31" i="236"/>
  <c r="K31" i="236"/>
  <c r="L31" i="236" s="1"/>
  <c r="F31" i="236"/>
  <c r="BL30" i="236"/>
  <c r="BJ30" i="236"/>
  <c r="BH30" i="236"/>
  <c r="BC30" i="236"/>
  <c r="AH30" i="236"/>
  <c r="O30" i="236" s="1"/>
  <c r="T30" i="236"/>
  <c r="M30" i="236"/>
  <c r="AP30" i="236" s="1"/>
  <c r="K30" i="236"/>
  <c r="L30" i="236" s="1"/>
  <c r="F30" i="236"/>
  <c r="BJ29" i="236"/>
  <c r="BL29" i="236" s="1"/>
  <c r="BH29" i="236"/>
  <c r="BC29" i="236"/>
  <c r="AH29" i="236"/>
  <c r="T29" i="236"/>
  <c r="Q29" i="236"/>
  <c r="O29" i="236"/>
  <c r="L29" i="236"/>
  <c r="K29" i="236"/>
  <c r="F29" i="236"/>
  <c r="BH28" i="236"/>
  <c r="BJ28" i="236" s="1"/>
  <c r="BL28" i="236" s="1"/>
  <c r="BC28" i="236"/>
  <c r="AH28" i="236"/>
  <c r="T28" i="236"/>
  <c r="O28" i="236"/>
  <c r="N28" i="236"/>
  <c r="M28" i="236"/>
  <c r="K28" i="236"/>
  <c r="L28" i="236" s="1"/>
  <c r="F28" i="236"/>
  <c r="BL27" i="236"/>
  <c r="BJ27" i="236"/>
  <c r="BH27" i="236"/>
  <c r="BC27" i="236"/>
  <c r="AH27" i="236"/>
  <c r="O27" i="236" s="1"/>
  <c r="T27" i="236"/>
  <c r="M27" i="236"/>
  <c r="K27" i="236"/>
  <c r="L27" i="236" s="1"/>
  <c r="Q27" i="236" s="1"/>
  <c r="F27" i="236"/>
  <c r="BJ26" i="236"/>
  <c r="BL26" i="236" s="1"/>
  <c r="BH26" i="236"/>
  <c r="BC26" i="236"/>
  <c r="AH26" i="236"/>
  <c r="O26" i="236" s="1"/>
  <c r="T26" i="236"/>
  <c r="L26" i="236"/>
  <c r="Q26" i="236" s="1"/>
  <c r="K26" i="236"/>
  <c r="F26" i="236"/>
  <c r="BJ25" i="236"/>
  <c r="BL25" i="236" s="1"/>
  <c r="BH25" i="236"/>
  <c r="BC25" i="236"/>
  <c r="AH25" i="236"/>
  <c r="T25" i="236"/>
  <c r="L25" i="236"/>
  <c r="Q25" i="236" s="1"/>
  <c r="K25" i="236"/>
  <c r="F25" i="236"/>
  <c r="BH24" i="236"/>
  <c r="BJ24" i="236" s="1"/>
  <c r="BL24" i="236" s="1"/>
  <c r="BC24" i="236"/>
  <c r="AH24" i="236"/>
  <c r="O24" i="236" s="1"/>
  <c r="T24" i="236"/>
  <c r="K24" i="236"/>
  <c r="L24" i="236" s="1"/>
  <c r="F24" i="236"/>
  <c r="BL23" i="236"/>
  <c r="BJ23" i="236"/>
  <c r="BH23" i="236"/>
  <c r="BC23" i="236"/>
  <c r="AH23" i="236"/>
  <c r="T23" i="236"/>
  <c r="N23" i="236"/>
  <c r="L23" i="236"/>
  <c r="M23" i="236" s="1"/>
  <c r="K23" i="236"/>
  <c r="F23" i="236"/>
  <c r="BJ22" i="236"/>
  <c r="BL22" i="236" s="1"/>
  <c r="BH22" i="236"/>
  <c r="BC22" i="236"/>
  <c r="AP22" i="236"/>
  <c r="AH22" i="236"/>
  <c r="T22" i="236"/>
  <c r="Q22" i="236"/>
  <c r="U22" i="236" s="1"/>
  <c r="V22" i="236" s="1"/>
  <c r="O22" i="236"/>
  <c r="L22" i="236"/>
  <c r="M22" i="236" s="1"/>
  <c r="P22" i="236" s="1"/>
  <c r="K22" i="236"/>
  <c r="F22" i="236"/>
  <c r="BL21" i="236"/>
  <c r="BH21" i="236"/>
  <c r="BJ21" i="236" s="1"/>
  <c r="BC21" i="236"/>
  <c r="AH21" i="236"/>
  <c r="T21" i="236"/>
  <c r="O21" i="236"/>
  <c r="L21" i="236"/>
  <c r="K21" i="236"/>
  <c r="F21" i="236"/>
  <c r="BH20" i="236"/>
  <c r="BJ20" i="236" s="1"/>
  <c r="BL20" i="236" s="1"/>
  <c r="BC20" i="236"/>
  <c r="AH20" i="236"/>
  <c r="O20" i="236" s="1"/>
  <c r="T20" i="236"/>
  <c r="M20" i="236"/>
  <c r="L20" i="236"/>
  <c r="K20" i="236"/>
  <c r="F20" i="236"/>
  <c r="BH19" i="236"/>
  <c r="BJ19" i="236" s="1"/>
  <c r="BL19" i="236" s="1"/>
  <c r="BC19" i="236"/>
  <c r="AH19" i="236"/>
  <c r="T19" i="236"/>
  <c r="O19" i="236"/>
  <c r="M19" i="236"/>
  <c r="AS19" i="236" s="1"/>
  <c r="K19" i="236"/>
  <c r="L19" i="236" s="1"/>
  <c r="P19" i="236" s="1"/>
  <c r="F19" i="236"/>
  <c r="BJ18" i="236"/>
  <c r="BL18" i="236" s="1"/>
  <c r="BH18" i="236"/>
  <c r="BC18" i="236"/>
  <c r="AH18" i="236"/>
  <c r="O18" i="236" s="1"/>
  <c r="T18" i="236"/>
  <c r="Q18" i="236"/>
  <c r="K18" i="236"/>
  <c r="L18" i="236" s="1"/>
  <c r="F18" i="236"/>
  <c r="BJ17" i="236"/>
  <c r="BL17" i="236" s="1"/>
  <c r="BH17" i="236"/>
  <c r="BC17" i="236"/>
  <c r="AH17" i="236"/>
  <c r="O17" i="236" s="1"/>
  <c r="T17" i="236"/>
  <c r="K17" i="236"/>
  <c r="L17" i="236" s="1"/>
  <c r="F17" i="236"/>
  <c r="BL16" i="236"/>
  <c r="BJ16" i="236"/>
  <c r="BH16" i="236"/>
  <c r="BC16" i="236"/>
  <c r="AH16" i="236"/>
  <c r="O16" i="236" s="1"/>
  <c r="T16" i="236"/>
  <c r="M16" i="236"/>
  <c r="L16" i="236"/>
  <c r="K16" i="236"/>
  <c r="F16" i="236"/>
  <c r="BL15" i="236"/>
  <c r="BJ15" i="236"/>
  <c r="BH15" i="236"/>
  <c r="BC15" i="236"/>
  <c r="AH15" i="236"/>
  <c r="T15" i="236"/>
  <c r="O15" i="236"/>
  <c r="M15" i="236"/>
  <c r="K15" i="236"/>
  <c r="L15" i="236" s="1"/>
  <c r="P15" i="236" s="1"/>
  <c r="F15" i="236"/>
  <c r="BJ14" i="236"/>
  <c r="BL14" i="236" s="1"/>
  <c r="BH14" i="236"/>
  <c r="BC14" i="236"/>
  <c r="AI14" i="236"/>
  <c r="AJ14" i="236" s="1"/>
  <c r="AH14" i="236"/>
  <c r="W14" i="236"/>
  <c r="T14" i="236"/>
  <c r="O14" i="236"/>
  <c r="M14" i="236"/>
  <c r="AS14" i="236" s="1"/>
  <c r="K14" i="236"/>
  <c r="L14" i="236" s="1"/>
  <c r="F14" i="236"/>
  <c r="BJ13" i="236"/>
  <c r="BL13" i="236" s="1"/>
  <c r="BH13" i="236"/>
  <c r="BC13" i="236"/>
  <c r="AH13" i="236"/>
  <c r="T13" i="236"/>
  <c r="Q13" i="236"/>
  <c r="U13" i="236" s="1"/>
  <c r="V13" i="236" s="1"/>
  <c r="W13" i="236" s="1"/>
  <c r="O13" i="236"/>
  <c r="L13" i="236"/>
  <c r="M13" i="236" s="1"/>
  <c r="P13" i="236" s="1"/>
  <c r="K13" i="236"/>
  <c r="F13" i="236"/>
  <c r="BJ12" i="236"/>
  <c r="BL12" i="236" s="1"/>
  <c r="BH12" i="236"/>
  <c r="BC12" i="236"/>
  <c r="AH12" i="236"/>
  <c r="T12" i="236"/>
  <c r="N12" i="236"/>
  <c r="O12" i="236" s="1"/>
  <c r="L12" i="236"/>
  <c r="K12" i="236"/>
  <c r="F12" i="236"/>
  <c r="BH11" i="236"/>
  <c r="BJ11" i="236" s="1"/>
  <c r="BL11" i="236" s="1"/>
  <c r="BC11" i="236"/>
  <c r="AH11" i="236"/>
  <c r="AI11" i="236" s="1"/>
  <c r="V11" i="236"/>
  <c r="W11" i="236" s="1"/>
  <c r="T11" i="236"/>
  <c r="O11" i="236"/>
  <c r="M11" i="236"/>
  <c r="L11" i="236"/>
  <c r="K11" i="236"/>
  <c r="F11" i="236"/>
  <c r="BH10" i="236"/>
  <c r="BJ10" i="236" s="1"/>
  <c r="BL10" i="236" s="1"/>
  <c r="BC10" i="236"/>
  <c r="AH10" i="236"/>
  <c r="O10" i="236" s="1"/>
  <c r="T10" i="236"/>
  <c r="K10" i="236"/>
  <c r="L10" i="236" s="1"/>
  <c r="F10" i="236"/>
  <c r="BL9" i="236"/>
  <c r="BJ9" i="236"/>
  <c r="BH9" i="236"/>
  <c r="BC9" i="236"/>
  <c r="BA9" i="236"/>
  <c r="BA87" i="236" s="1"/>
  <c r="AZ9" i="236"/>
  <c r="AZ87" i="236" s="1"/>
  <c r="AY9" i="236"/>
  <c r="AY87" i="236" s="1"/>
  <c r="AH9" i="236"/>
  <c r="T9" i="236"/>
  <c r="O9" i="236"/>
  <c r="K9" i="236"/>
  <c r="L9" i="236" s="1"/>
  <c r="F9" i="236"/>
  <c r="BH8" i="236"/>
  <c r="BJ8" i="236" s="1"/>
  <c r="BL8" i="236" s="1"/>
  <c r="BC8" i="236"/>
  <c r="AH8" i="236"/>
  <c r="T8" i="236"/>
  <c r="Q8" i="236"/>
  <c r="O8" i="236"/>
  <c r="N8" i="236"/>
  <c r="K8" i="236"/>
  <c r="L8" i="236" s="1"/>
  <c r="F8" i="236"/>
  <c r="BJ7" i="236"/>
  <c r="BL7" i="236" s="1"/>
  <c r="BH7" i="236"/>
  <c r="BC7" i="236"/>
  <c r="AH7" i="236"/>
  <c r="T7" i="236"/>
  <c r="O7" i="236"/>
  <c r="K7" i="236"/>
  <c r="L7" i="236" s="1"/>
  <c r="F7" i="236"/>
  <c r="BH6" i="236"/>
  <c r="BC6" i="236"/>
  <c r="AH6" i="236"/>
  <c r="AH87" i="236" s="1"/>
  <c r="T6" i="236"/>
  <c r="N6" i="236"/>
  <c r="N87" i="236" s="1"/>
  <c r="L6" i="236"/>
  <c r="K6" i="236"/>
  <c r="F6" i="236"/>
  <c r="BD143" i="235"/>
  <c r="BG142" i="235"/>
  <c r="BF142" i="235"/>
  <c r="BE142" i="235"/>
  <c r="BD142" i="235"/>
  <c r="BG141" i="235"/>
  <c r="BF141" i="235"/>
  <c r="BE141" i="235"/>
  <c r="BD141" i="235"/>
  <c r="BG140" i="235"/>
  <c r="BG143" i="235" s="1"/>
  <c r="BF140" i="235"/>
  <c r="BF143" i="235" s="1"/>
  <c r="BE140" i="235"/>
  <c r="BE143" i="235" s="1"/>
  <c r="BD140" i="235"/>
  <c r="AF129" i="235"/>
  <c r="Y129" i="235"/>
  <c r="G129" i="235"/>
  <c r="A129" i="235"/>
  <c r="BP127" i="235"/>
  <c r="BN127" i="235"/>
  <c r="BM127" i="235"/>
  <c r="BL127" i="235"/>
  <c r="BI127" i="235"/>
  <c r="BI129" i="235" s="1"/>
  <c r="BF8" i="237" s="1"/>
  <c r="BG127" i="235"/>
  <c r="BF127" i="235"/>
  <c r="BD127" i="235"/>
  <c r="BD129" i="235" s="1"/>
  <c r="BA8" i="237" s="1"/>
  <c r="BA127" i="235"/>
  <c r="AY127" i="235"/>
  <c r="AX127" i="235"/>
  <c r="AW127" i="235"/>
  <c r="AQ127" i="235"/>
  <c r="AL127" i="235"/>
  <c r="AL129" i="235" s="1"/>
  <c r="AK127" i="235"/>
  <c r="AJ127" i="235"/>
  <c r="AG127" i="235"/>
  <c r="AF127" i="235"/>
  <c r="AE127" i="235"/>
  <c r="AE129" i="235" s="1"/>
  <c r="AD127" i="235"/>
  <c r="AD129" i="235" s="1"/>
  <c r="AC127" i="235"/>
  <c r="AB127" i="235"/>
  <c r="AB129" i="235" s="1"/>
  <c r="Y127" i="235"/>
  <c r="X127" i="235"/>
  <c r="S127" i="235"/>
  <c r="R127" i="235"/>
  <c r="J127" i="235"/>
  <c r="I127" i="235"/>
  <c r="H127" i="235"/>
  <c r="H129" i="235" s="1"/>
  <c r="G127" i="235"/>
  <c r="E127" i="235"/>
  <c r="E129" i="235" s="1"/>
  <c r="D127" i="235"/>
  <c r="BH126" i="235"/>
  <c r="BJ126" i="235" s="1"/>
  <c r="BO126" i="235" s="1"/>
  <c r="AH126" i="235"/>
  <c r="T126" i="235"/>
  <c r="Q126" i="235"/>
  <c r="P126" i="235"/>
  <c r="O126" i="235"/>
  <c r="M126" i="235"/>
  <c r="AS126" i="235" s="1"/>
  <c r="L126" i="235"/>
  <c r="K126" i="235"/>
  <c r="F126" i="235"/>
  <c r="BJ125" i="235"/>
  <c r="BO125" i="235" s="1"/>
  <c r="BH125" i="235"/>
  <c r="BC125" i="235"/>
  <c r="AR125" i="235"/>
  <c r="AH125" i="235"/>
  <c r="T125" i="235"/>
  <c r="Q125" i="235"/>
  <c r="M125" i="235" s="1"/>
  <c r="AS125" i="235" s="1"/>
  <c r="O125" i="235"/>
  <c r="K125" i="235"/>
  <c r="L125" i="235" s="1"/>
  <c r="F125" i="235"/>
  <c r="BO124" i="235"/>
  <c r="BJ124" i="235"/>
  <c r="BH124" i="235"/>
  <c r="AH124" i="235"/>
  <c r="T124" i="235"/>
  <c r="O124" i="235"/>
  <c r="L124" i="235"/>
  <c r="K124" i="235"/>
  <c r="F124" i="235"/>
  <c r="BH123" i="235"/>
  <c r="BJ123" i="235" s="1"/>
  <c r="BO123" i="235" s="1"/>
  <c r="BA123" i="235"/>
  <c r="AN123" i="235"/>
  <c r="AH123" i="235"/>
  <c r="AA123" i="235"/>
  <c r="T123" i="235"/>
  <c r="O123" i="235"/>
  <c r="L123" i="235"/>
  <c r="K123" i="235"/>
  <c r="F123" i="235"/>
  <c r="BH122" i="235"/>
  <c r="BJ122" i="235" s="1"/>
  <c r="BO122" i="235" s="1"/>
  <c r="BE122" i="235"/>
  <c r="BE127" i="235" s="1"/>
  <c r="BC122" i="235"/>
  <c r="BA122" i="235"/>
  <c r="AR122" i="235"/>
  <c r="AH122" i="235"/>
  <c r="T122" i="235"/>
  <c r="O122" i="235"/>
  <c r="K122" i="235"/>
  <c r="L122" i="235" s="1"/>
  <c r="F122" i="235"/>
  <c r="BO121" i="235"/>
  <c r="BH121" i="235"/>
  <c r="BJ121" i="235" s="1"/>
  <c r="AH121" i="235"/>
  <c r="O121" i="235" s="1"/>
  <c r="T121" i="235"/>
  <c r="Q121" i="235"/>
  <c r="K121" i="235"/>
  <c r="L121" i="235" s="1"/>
  <c r="F121" i="235"/>
  <c r="BH120" i="235"/>
  <c r="BJ120" i="235" s="1"/>
  <c r="BO120" i="235" s="1"/>
  <c r="AH120" i="235"/>
  <c r="T120" i="235"/>
  <c r="N120" i="235"/>
  <c r="O120" i="235" s="1"/>
  <c r="L120" i="235"/>
  <c r="K120" i="235"/>
  <c r="F120" i="235"/>
  <c r="BH119" i="235"/>
  <c r="BJ119" i="235" s="1"/>
  <c r="BO119" i="235" s="1"/>
  <c r="AR119" i="235"/>
  <c r="AH119" i="235"/>
  <c r="U119" i="235"/>
  <c r="V119" i="235" s="1"/>
  <c r="T119" i="235"/>
  <c r="Q119" i="235"/>
  <c r="M119" i="235" s="1"/>
  <c r="O119" i="235"/>
  <c r="K119" i="235"/>
  <c r="L119" i="235" s="1"/>
  <c r="F119" i="235"/>
  <c r="BH118" i="235"/>
  <c r="BJ118" i="235" s="1"/>
  <c r="BO118" i="235" s="1"/>
  <c r="BA118" i="235"/>
  <c r="AN118" i="235"/>
  <c r="AH118" i="235"/>
  <c r="AA118" i="235"/>
  <c r="T118" i="235"/>
  <c r="Q118" i="235"/>
  <c r="O118" i="235"/>
  <c r="N118" i="235"/>
  <c r="N127" i="235" s="1"/>
  <c r="L118" i="235"/>
  <c r="K118" i="235"/>
  <c r="F118" i="235"/>
  <c r="BJ117" i="235"/>
  <c r="BO117" i="235" s="1"/>
  <c r="BH117" i="235"/>
  <c r="BC117" i="235"/>
  <c r="AR117" i="235"/>
  <c r="AH117" i="235"/>
  <c r="AA117" i="235"/>
  <c r="T117" i="235"/>
  <c r="O117" i="235"/>
  <c r="K117" i="235"/>
  <c r="F117" i="235"/>
  <c r="BH116" i="235"/>
  <c r="BJ116" i="235" s="1"/>
  <c r="BO116" i="235" s="1"/>
  <c r="BC116" i="235"/>
  <c r="AR116" i="235"/>
  <c r="AH116" i="235"/>
  <c r="O116" i="235" s="1"/>
  <c r="T116" i="235"/>
  <c r="K116" i="235"/>
  <c r="L116" i="235" s="1"/>
  <c r="F116" i="235"/>
  <c r="BJ115" i="235"/>
  <c r="BO115" i="235" s="1"/>
  <c r="BH115" i="235"/>
  <c r="BC115" i="235"/>
  <c r="AS115" i="235"/>
  <c r="AR115" i="235"/>
  <c r="AH115" i="235"/>
  <c r="O115" i="235" s="1"/>
  <c r="T115" i="235"/>
  <c r="Q115" i="235"/>
  <c r="M115" i="235" s="1"/>
  <c r="U115" i="235" s="1"/>
  <c r="V115" i="235" s="1"/>
  <c r="P115" i="235"/>
  <c r="L115" i="235"/>
  <c r="K115" i="235"/>
  <c r="F115" i="235"/>
  <c r="BO114" i="235"/>
  <c r="BJ114" i="235"/>
  <c r="BH114" i="235"/>
  <c r="BC114" i="235"/>
  <c r="AR114" i="235"/>
  <c r="AH114" i="235"/>
  <c r="T114" i="235"/>
  <c r="O114" i="235"/>
  <c r="K114" i="235"/>
  <c r="L114" i="235" s="1"/>
  <c r="F114" i="235"/>
  <c r="BH113" i="235"/>
  <c r="BJ113" i="235" s="1"/>
  <c r="BO113" i="235" s="1"/>
  <c r="AH113" i="235"/>
  <c r="AO113" i="235" s="1"/>
  <c r="AR113" i="235" s="1"/>
  <c r="AA113" i="235"/>
  <c r="T113" i="235"/>
  <c r="Q113" i="235"/>
  <c r="O113" i="235"/>
  <c r="K113" i="235"/>
  <c r="L113" i="235" s="1"/>
  <c r="F113" i="235"/>
  <c r="BH112" i="235"/>
  <c r="BA112" i="235"/>
  <c r="AN112" i="235"/>
  <c r="AN127" i="235" s="1"/>
  <c r="AN129" i="235" s="1"/>
  <c r="AH112" i="235"/>
  <c r="AA112" i="235"/>
  <c r="T112" i="235"/>
  <c r="O112" i="235"/>
  <c r="K112" i="235"/>
  <c r="L112" i="235" s="1"/>
  <c r="F112" i="235"/>
  <c r="BO108" i="235"/>
  <c r="BN108" i="235"/>
  <c r="BM108" i="235"/>
  <c r="BI108" i="235"/>
  <c r="BG108" i="235"/>
  <c r="BG145" i="235" s="1"/>
  <c r="BF108" i="235"/>
  <c r="BF145" i="235" s="1"/>
  <c r="BE108" i="235"/>
  <c r="BE145" i="235" s="1"/>
  <c r="BD108" i="235"/>
  <c r="BD145" i="235" s="1"/>
  <c r="AX108" i="235"/>
  <c r="AX129" i="235" s="1"/>
  <c r="AQ108" i="235"/>
  <c r="AN108" i="235"/>
  <c r="AM108" i="235"/>
  <c r="AL108" i="235"/>
  <c r="AG108" i="235"/>
  <c r="AG129" i="235" s="1"/>
  <c r="AF108" i="235"/>
  <c r="AE108" i="235"/>
  <c r="AD108" i="235"/>
  <c r="AC108" i="235"/>
  <c r="AB108" i="235"/>
  <c r="Z108" i="235"/>
  <c r="Y108" i="235"/>
  <c r="I108" i="235"/>
  <c r="I129" i="235" s="1"/>
  <c r="H108" i="235"/>
  <c r="G108" i="235"/>
  <c r="E108" i="235"/>
  <c r="BJ107" i="235"/>
  <c r="BL107" i="235" s="1"/>
  <c r="BH107" i="235"/>
  <c r="BC107" i="235"/>
  <c r="AK107" i="235"/>
  <c r="AI107" i="235"/>
  <c r="AH107" i="235"/>
  <c r="W107" i="235"/>
  <c r="V107" i="235"/>
  <c r="Q107" i="235"/>
  <c r="M107" i="235" s="1"/>
  <c r="AS107" i="235" s="1"/>
  <c r="O107" i="235"/>
  <c r="L107" i="235"/>
  <c r="K107" i="235"/>
  <c r="F107" i="235"/>
  <c r="BJ106" i="235"/>
  <c r="BL106" i="235" s="1"/>
  <c r="BH106" i="235"/>
  <c r="BC106" i="235"/>
  <c r="AR106" i="235"/>
  <c r="AK106" i="235"/>
  <c r="AI106" i="235"/>
  <c r="AH106" i="235"/>
  <c r="V106" i="235"/>
  <c r="W106" i="235" s="1"/>
  <c r="O106" i="235"/>
  <c r="L106" i="235"/>
  <c r="K106" i="235"/>
  <c r="F106" i="235"/>
  <c r="BH105" i="235"/>
  <c r="BJ105" i="235" s="1"/>
  <c r="BL105" i="235" s="1"/>
  <c r="AH105" i="235"/>
  <c r="AI105" i="235" s="1"/>
  <c r="AO105" i="235" s="1"/>
  <c r="AR105" i="235" s="1"/>
  <c r="V105" i="235"/>
  <c r="W105" i="235" s="1"/>
  <c r="K105" i="235"/>
  <c r="L105" i="235" s="1"/>
  <c r="F105" i="235"/>
  <c r="BJ104" i="235"/>
  <c r="BL104" i="235" s="1"/>
  <c r="BH104" i="235"/>
  <c r="BC104" i="235"/>
  <c r="AS104" i="235"/>
  <c r="BB104" i="235" s="1"/>
  <c r="AO104" i="235"/>
  <c r="AR104" i="235" s="1"/>
  <c r="AI104" i="235"/>
  <c r="AK104" i="235" s="1"/>
  <c r="AH104" i="235"/>
  <c r="W104" i="235"/>
  <c r="V104" i="235"/>
  <c r="Q104" i="235"/>
  <c r="M104" i="235" s="1"/>
  <c r="O104" i="235"/>
  <c r="L104" i="235"/>
  <c r="K104" i="235"/>
  <c r="F104" i="235"/>
  <c r="BH103" i="235"/>
  <c r="BJ103" i="235" s="1"/>
  <c r="BL103" i="235" s="1"/>
  <c r="AR103" i="235"/>
  <c r="AH103" i="235"/>
  <c r="V103" i="235"/>
  <c r="N103" i="235"/>
  <c r="O103" i="235" s="1"/>
  <c r="L103" i="235"/>
  <c r="K103" i="235"/>
  <c r="F103" i="235"/>
  <c r="BH102" i="235"/>
  <c r="BJ102" i="235" s="1"/>
  <c r="BL102" i="235" s="1"/>
  <c r="AI102" i="235"/>
  <c r="AH102" i="235"/>
  <c r="W102" i="235"/>
  <c r="V102" i="235"/>
  <c r="O102" i="235"/>
  <c r="N102" i="235"/>
  <c r="K102" i="235"/>
  <c r="L102" i="235" s="1"/>
  <c r="F102" i="235"/>
  <c r="BL101" i="235"/>
  <c r="BJ101" i="235"/>
  <c r="BH101" i="235"/>
  <c r="AH101" i="235"/>
  <c r="O101" i="235" s="1"/>
  <c r="V101" i="235"/>
  <c r="K101" i="235"/>
  <c r="L101" i="235" s="1"/>
  <c r="F101" i="235"/>
  <c r="BL100" i="235"/>
  <c r="BJ100" i="235"/>
  <c r="BH100" i="235"/>
  <c r="BC100" i="235"/>
  <c r="AR100" i="235"/>
  <c r="AH100" i="235"/>
  <c r="O100" i="235" s="1"/>
  <c r="V100" i="235"/>
  <c r="W100" i="235" s="1"/>
  <c r="L100" i="235"/>
  <c r="K100" i="235"/>
  <c r="F100" i="235"/>
  <c r="BL99" i="235"/>
  <c r="BJ99" i="235"/>
  <c r="BH99" i="235"/>
  <c r="AO99" i="235"/>
  <c r="AR99" i="235" s="1"/>
  <c r="AI99" i="235"/>
  <c r="AJ99" i="235" s="1"/>
  <c r="AH99" i="235"/>
  <c r="W99" i="235"/>
  <c r="V99" i="235"/>
  <c r="O99" i="235"/>
  <c r="L99" i="235"/>
  <c r="K99" i="235"/>
  <c r="F99" i="235"/>
  <c r="BH98" i="235"/>
  <c r="BJ98" i="235" s="1"/>
  <c r="BL98" i="235" s="1"/>
  <c r="AR98" i="235"/>
  <c r="AI98" i="235"/>
  <c r="AJ98" i="235" s="1"/>
  <c r="AH98" i="235"/>
  <c r="W98" i="235"/>
  <c r="V98" i="235"/>
  <c r="O98" i="235"/>
  <c r="L98" i="235"/>
  <c r="K98" i="235"/>
  <c r="F98" i="235"/>
  <c r="BH97" i="235"/>
  <c r="BJ97" i="235" s="1"/>
  <c r="BL97" i="235" s="1"/>
  <c r="AH97" i="235"/>
  <c r="V97" i="235"/>
  <c r="AI97" i="235" s="1"/>
  <c r="AJ97" i="235" s="1"/>
  <c r="O97" i="235"/>
  <c r="N97" i="235"/>
  <c r="K97" i="235"/>
  <c r="L97" i="235" s="1"/>
  <c r="Q97" i="235" s="1"/>
  <c r="M97" i="235" s="1"/>
  <c r="D97" i="235"/>
  <c r="BH96" i="235"/>
  <c r="BJ96" i="235" s="1"/>
  <c r="BL96" i="235" s="1"/>
  <c r="AR96" i="235"/>
  <c r="BC96" i="235" s="1"/>
  <c r="AH96" i="235"/>
  <c r="O96" i="235" s="1"/>
  <c r="T96" i="235"/>
  <c r="K96" i="235"/>
  <c r="L96" i="235" s="1"/>
  <c r="F96" i="235"/>
  <c r="BH95" i="235"/>
  <c r="BJ95" i="235" s="1"/>
  <c r="BL95" i="235" s="1"/>
  <c r="BC95" i="235"/>
  <c r="AR95" i="235"/>
  <c r="AH95" i="235"/>
  <c r="T95" i="235"/>
  <c r="Q95" i="235"/>
  <c r="O95" i="235"/>
  <c r="L95" i="235"/>
  <c r="K95" i="235"/>
  <c r="F95" i="235"/>
  <c r="BH94" i="235"/>
  <c r="BJ94" i="235" s="1"/>
  <c r="BL94" i="235" s="1"/>
  <c r="AR94" i="235"/>
  <c r="AH94" i="235"/>
  <c r="T94" i="235"/>
  <c r="Q94" i="235"/>
  <c r="O94" i="235"/>
  <c r="K94" i="235"/>
  <c r="L94" i="235" s="1"/>
  <c r="F94" i="235"/>
  <c r="BH93" i="235"/>
  <c r="BJ93" i="235" s="1"/>
  <c r="BL93" i="235" s="1"/>
  <c r="AR93" i="235"/>
  <c r="BC93" i="235" s="1"/>
  <c r="AH93" i="235"/>
  <c r="O93" i="235" s="1"/>
  <c r="V93" i="235"/>
  <c r="K93" i="235"/>
  <c r="L93" i="235" s="1"/>
  <c r="F93" i="235"/>
  <c r="BL92" i="235"/>
  <c r="BJ92" i="235"/>
  <c r="BH92" i="235"/>
  <c r="BC92" i="235"/>
  <c r="AH92" i="235"/>
  <c r="T92" i="235"/>
  <c r="N92" i="235"/>
  <c r="L92" i="235"/>
  <c r="K92" i="235"/>
  <c r="F92" i="235"/>
  <c r="BH91" i="235"/>
  <c r="BJ91" i="235" s="1"/>
  <c r="BL91" i="235" s="1"/>
  <c r="AH91" i="235"/>
  <c r="O91" i="235" s="1"/>
  <c r="T91" i="235"/>
  <c r="K91" i="235"/>
  <c r="L91" i="235" s="1"/>
  <c r="Q91" i="235" s="1"/>
  <c r="D91" i="235"/>
  <c r="BH90" i="235"/>
  <c r="BJ90" i="235" s="1"/>
  <c r="BL90" i="235" s="1"/>
  <c r="AH90" i="235"/>
  <c r="T90" i="235"/>
  <c r="O90" i="235"/>
  <c r="N90" i="235"/>
  <c r="K90" i="235"/>
  <c r="L90" i="235" s="1"/>
  <c r="F90" i="235"/>
  <c r="BJ89" i="235"/>
  <c r="BL89" i="235" s="1"/>
  <c r="BH89" i="235"/>
  <c r="BC89" i="235"/>
  <c r="AS89" i="235"/>
  <c r="AR89" i="235"/>
  <c r="AH89" i="235"/>
  <c r="O89" i="235" s="1"/>
  <c r="T89" i="235"/>
  <c r="M89" i="235" s="1"/>
  <c r="U89" i="235" s="1"/>
  <c r="V89" i="235" s="1"/>
  <c r="Q89" i="235"/>
  <c r="L89" i="235"/>
  <c r="F89" i="235"/>
  <c r="BH88" i="235"/>
  <c r="BJ88" i="235" s="1"/>
  <c r="BL88" i="235" s="1"/>
  <c r="AR88" i="235"/>
  <c r="AH88" i="235"/>
  <c r="T88" i="235"/>
  <c r="Q88" i="235"/>
  <c r="M88" i="235" s="1"/>
  <c r="AS88" i="235" s="1"/>
  <c r="BB88" i="235" s="1"/>
  <c r="O88" i="235"/>
  <c r="K88" i="235"/>
  <c r="L88" i="235" s="1"/>
  <c r="F88" i="235"/>
  <c r="BH87" i="235"/>
  <c r="BJ87" i="235" s="1"/>
  <c r="BL87" i="235" s="1"/>
  <c r="AR87" i="235"/>
  <c r="BC87" i="235" s="1"/>
  <c r="AH87" i="235"/>
  <c r="O87" i="235" s="1"/>
  <c r="T87" i="235"/>
  <c r="L87" i="235"/>
  <c r="F87" i="235"/>
  <c r="BL86" i="235"/>
  <c r="BJ86" i="235"/>
  <c r="BH86" i="235"/>
  <c r="AI86" i="235"/>
  <c r="AH86" i="235"/>
  <c r="W86" i="235"/>
  <c r="T86" i="235"/>
  <c r="O86" i="235"/>
  <c r="L86" i="235"/>
  <c r="Q86" i="235" s="1"/>
  <c r="F86" i="235"/>
  <c r="BH85" i="235"/>
  <c r="BJ85" i="235" s="1"/>
  <c r="BL85" i="235" s="1"/>
  <c r="AH85" i="235"/>
  <c r="O85" i="235" s="1"/>
  <c r="T85" i="235"/>
  <c r="K85" i="235"/>
  <c r="L85" i="235" s="1"/>
  <c r="F85" i="235"/>
  <c r="BJ84" i="235"/>
  <c r="BL84" i="235" s="1"/>
  <c r="BH84" i="235"/>
  <c r="BC84" i="235"/>
  <c r="AR84" i="235"/>
  <c r="AH84" i="235"/>
  <c r="T84" i="235"/>
  <c r="N84" i="235"/>
  <c r="K84" i="235"/>
  <c r="L84" i="235" s="1"/>
  <c r="F84" i="235"/>
  <c r="BH83" i="235"/>
  <c r="BJ83" i="235" s="1"/>
  <c r="BL83" i="235" s="1"/>
  <c r="AR83" i="235"/>
  <c r="AH83" i="235"/>
  <c r="V83" i="235"/>
  <c r="T83" i="235"/>
  <c r="N83" i="235"/>
  <c r="K83" i="235"/>
  <c r="L83" i="235" s="1"/>
  <c r="F83" i="235"/>
  <c r="BL82" i="235"/>
  <c r="BH82" i="235"/>
  <c r="BJ82" i="235" s="1"/>
  <c r="AR82" i="235"/>
  <c r="AH82" i="235"/>
  <c r="O82" i="235" s="1"/>
  <c r="V82" i="235"/>
  <c r="T82" i="235"/>
  <c r="L82" i="235"/>
  <c r="Q82" i="235" s="1"/>
  <c r="M82" i="235" s="1"/>
  <c r="AS82" i="235" s="1"/>
  <c r="BB82" i="235" s="1"/>
  <c r="K82" i="235"/>
  <c r="F82" i="235"/>
  <c r="BH81" i="235"/>
  <c r="BJ81" i="235" s="1"/>
  <c r="BL81" i="235" s="1"/>
  <c r="AH81" i="235"/>
  <c r="V81" i="235"/>
  <c r="W81" i="235" s="1"/>
  <c r="T81" i="235"/>
  <c r="Q81" i="235"/>
  <c r="L81" i="235"/>
  <c r="K81" i="235"/>
  <c r="F81" i="235"/>
  <c r="BL80" i="235"/>
  <c r="BH80" i="235"/>
  <c r="BJ80" i="235" s="1"/>
  <c r="AR80" i="235"/>
  <c r="AH80" i="235"/>
  <c r="T80" i="235"/>
  <c r="O80" i="235"/>
  <c r="K80" i="235"/>
  <c r="L80" i="235" s="1"/>
  <c r="F80" i="235"/>
  <c r="BH79" i="235"/>
  <c r="BJ79" i="235" s="1"/>
  <c r="BL79" i="235" s="1"/>
  <c r="AH79" i="235"/>
  <c r="T79" i="235"/>
  <c r="O79" i="235"/>
  <c r="N79" i="235"/>
  <c r="L79" i="235"/>
  <c r="K79" i="235"/>
  <c r="F79" i="235"/>
  <c r="BJ78" i="235"/>
  <c r="BL78" i="235" s="1"/>
  <c r="BH78" i="235"/>
  <c r="BC78" i="235"/>
  <c r="AR78" i="235"/>
  <c r="AH78" i="235"/>
  <c r="O78" i="235" s="1"/>
  <c r="T78" i="235"/>
  <c r="K78" i="235"/>
  <c r="L78" i="235" s="1"/>
  <c r="Q78" i="235" s="1"/>
  <c r="F78" i="235"/>
  <c r="BH77" i="235"/>
  <c r="BJ77" i="235" s="1"/>
  <c r="BL77" i="235" s="1"/>
  <c r="AR77" i="235"/>
  <c r="AH77" i="235"/>
  <c r="T77" i="235"/>
  <c r="N77" i="235"/>
  <c r="K77" i="235"/>
  <c r="L77" i="235" s="1"/>
  <c r="F77" i="235"/>
  <c r="BH76" i="235"/>
  <c r="BJ76" i="235" s="1"/>
  <c r="BL76" i="235" s="1"/>
  <c r="AR76" i="235"/>
  <c r="AH76" i="235"/>
  <c r="O76" i="235" s="1"/>
  <c r="V76" i="235"/>
  <c r="T76" i="235"/>
  <c r="K76" i="235"/>
  <c r="L76" i="235" s="1"/>
  <c r="F76" i="235"/>
  <c r="BJ75" i="235"/>
  <c r="BL75" i="235" s="1"/>
  <c r="BH75" i="235"/>
  <c r="AR75" i="235"/>
  <c r="BC75" i="235" s="1"/>
  <c r="AH75" i="235"/>
  <c r="O75" i="235" s="1"/>
  <c r="T75" i="235"/>
  <c r="K75" i="235"/>
  <c r="L75" i="235" s="1"/>
  <c r="F75" i="235"/>
  <c r="BH74" i="235"/>
  <c r="BJ74" i="235" s="1"/>
  <c r="BL74" i="235" s="1"/>
  <c r="BC74" i="235"/>
  <c r="AR74" i="235"/>
  <c r="AH74" i="235"/>
  <c r="T74" i="235"/>
  <c r="Q74" i="235"/>
  <c r="O74" i="235"/>
  <c r="K74" i="235"/>
  <c r="L74" i="235" s="1"/>
  <c r="F74" i="235"/>
  <c r="BH73" i="235"/>
  <c r="BJ73" i="235" s="1"/>
  <c r="BL73" i="235" s="1"/>
  <c r="AR73" i="235"/>
  <c r="AH73" i="235"/>
  <c r="T73" i="235"/>
  <c r="O73" i="235"/>
  <c r="K73" i="235"/>
  <c r="L73" i="235" s="1"/>
  <c r="F73" i="235"/>
  <c r="BJ72" i="235"/>
  <c r="BL72" i="235" s="1"/>
  <c r="BH72" i="235"/>
  <c r="AR72" i="235"/>
  <c r="BC72" i="235" s="1"/>
  <c r="AH72" i="235"/>
  <c r="O72" i="235" s="1"/>
  <c r="T72" i="235"/>
  <c r="L72" i="235"/>
  <c r="K72" i="235"/>
  <c r="F72" i="235"/>
  <c r="BH71" i="235"/>
  <c r="BJ71" i="235" s="1"/>
  <c r="BL71" i="235" s="1"/>
  <c r="BC71" i="235"/>
  <c r="AR71" i="235"/>
  <c r="AH71" i="235"/>
  <c r="T71" i="235"/>
  <c r="O71" i="235"/>
  <c r="L71" i="235"/>
  <c r="K71" i="235"/>
  <c r="F71" i="235"/>
  <c r="BH70" i="235"/>
  <c r="BJ70" i="235" s="1"/>
  <c r="BL70" i="235" s="1"/>
  <c r="AR70" i="235"/>
  <c r="AH70" i="235"/>
  <c r="T70" i="235"/>
  <c r="Q70" i="235"/>
  <c r="O70" i="235"/>
  <c r="N70" i="235"/>
  <c r="K70" i="235"/>
  <c r="L70" i="235" s="1"/>
  <c r="F70" i="235"/>
  <c r="BJ69" i="235"/>
  <c r="BL69" i="235" s="1"/>
  <c r="BH69" i="235"/>
  <c r="AR69" i="235"/>
  <c r="BC69" i="235" s="1"/>
  <c r="AH69" i="235"/>
  <c r="O69" i="235" s="1"/>
  <c r="T69" i="235"/>
  <c r="L69" i="235"/>
  <c r="K69" i="235"/>
  <c r="F69" i="235"/>
  <c r="BH68" i="235"/>
  <c r="BJ68" i="235" s="1"/>
  <c r="BL68" i="235" s="1"/>
  <c r="BC68" i="235"/>
  <c r="AR68" i="235"/>
  <c r="AH68" i="235"/>
  <c r="O68" i="235" s="1"/>
  <c r="T68" i="235"/>
  <c r="L68" i="235"/>
  <c r="K68" i="235"/>
  <c r="F68" i="235"/>
  <c r="BJ67" i="235"/>
  <c r="BL67" i="235" s="1"/>
  <c r="BH67" i="235"/>
  <c r="AH67" i="235"/>
  <c r="O67" i="235" s="1"/>
  <c r="T67" i="235"/>
  <c r="K67" i="235"/>
  <c r="L67" i="235" s="1"/>
  <c r="F67" i="235"/>
  <c r="BL66" i="235"/>
  <c r="BJ66" i="235"/>
  <c r="BH66" i="235"/>
  <c r="BC66" i="235"/>
  <c r="AH66" i="235"/>
  <c r="O66" i="235" s="1"/>
  <c r="T66" i="235"/>
  <c r="L66" i="235"/>
  <c r="K66" i="235"/>
  <c r="F66" i="235"/>
  <c r="BH65" i="235"/>
  <c r="BJ65" i="235" s="1"/>
  <c r="BL65" i="235" s="1"/>
  <c r="BC65" i="235"/>
  <c r="AR65" i="235"/>
  <c r="AH65" i="235"/>
  <c r="T65" i="235"/>
  <c r="O65" i="235"/>
  <c r="L65" i="235"/>
  <c r="K65" i="235"/>
  <c r="F65" i="235"/>
  <c r="BH64" i="235"/>
  <c r="BJ64" i="235" s="1"/>
  <c r="BL64" i="235" s="1"/>
  <c r="AR64" i="235"/>
  <c r="AH64" i="235"/>
  <c r="T64" i="235"/>
  <c r="Q64" i="235"/>
  <c r="O64" i="235"/>
  <c r="L64" i="235"/>
  <c r="K64" i="235"/>
  <c r="F64" i="235"/>
  <c r="BH63" i="235"/>
  <c r="BJ63" i="235" s="1"/>
  <c r="BL63" i="235" s="1"/>
  <c r="AR63" i="235"/>
  <c r="AH63" i="235"/>
  <c r="T63" i="235"/>
  <c r="O63" i="235"/>
  <c r="K63" i="235"/>
  <c r="L63" i="235" s="1"/>
  <c r="F63" i="235"/>
  <c r="BJ62" i="235"/>
  <c r="BL62" i="235" s="1"/>
  <c r="BH62" i="235"/>
  <c r="AH62" i="235"/>
  <c r="T62" i="235"/>
  <c r="O62" i="235"/>
  <c r="N62" i="235"/>
  <c r="M62" i="235"/>
  <c r="L62" i="235"/>
  <c r="Q62" i="235" s="1"/>
  <c r="K62" i="235"/>
  <c r="F62" i="235"/>
  <c r="BJ61" i="235"/>
  <c r="BL61" i="235" s="1"/>
  <c r="BH61" i="235"/>
  <c r="BC61" i="235"/>
  <c r="AR61" i="235"/>
  <c r="AH61" i="235"/>
  <c r="U61" i="235"/>
  <c r="V61" i="235" s="1"/>
  <c r="T61" i="235"/>
  <c r="Q61" i="235"/>
  <c r="M61" i="235" s="1"/>
  <c r="O61" i="235"/>
  <c r="K61" i="235"/>
  <c r="L61" i="235" s="1"/>
  <c r="F61" i="235"/>
  <c r="BJ60" i="235"/>
  <c r="BL60" i="235" s="1"/>
  <c r="BH60" i="235"/>
  <c r="AR60" i="235"/>
  <c r="BC60" i="235" s="1"/>
  <c r="AH60" i="235"/>
  <c r="O60" i="235" s="1"/>
  <c r="T60" i="235"/>
  <c r="L60" i="235"/>
  <c r="K60" i="235"/>
  <c r="F60" i="235"/>
  <c r="BL59" i="235"/>
  <c r="BH59" i="235"/>
  <c r="BJ59" i="235" s="1"/>
  <c r="BC59" i="235"/>
  <c r="AR59" i="235"/>
  <c r="AH59" i="235"/>
  <c r="O59" i="235" s="1"/>
  <c r="T59" i="235"/>
  <c r="Q59" i="235"/>
  <c r="L59" i="235"/>
  <c r="K59" i="235"/>
  <c r="F59" i="235"/>
  <c r="BJ58" i="235"/>
  <c r="BL58" i="235" s="1"/>
  <c r="BH58" i="235"/>
  <c r="BC58" i="235"/>
  <c r="AR58" i="235"/>
  <c r="AH58" i="235"/>
  <c r="O58" i="235" s="1"/>
  <c r="T58" i="235"/>
  <c r="K58" i="235"/>
  <c r="L58" i="235" s="1"/>
  <c r="F58" i="235"/>
  <c r="BJ57" i="235"/>
  <c r="BL57" i="235" s="1"/>
  <c r="BH57" i="235"/>
  <c r="AR57" i="235"/>
  <c r="AH57" i="235"/>
  <c r="T57" i="235"/>
  <c r="N57" i="235"/>
  <c r="O57" i="235" s="1"/>
  <c r="L57" i="235"/>
  <c r="K57" i="235"/>
  <c r="F57" i="235"/>
  <c r="BH56" i="235"/>
  <c r="BJ56" i="235" s="1"/>
  <c r="BL56" i="235" s="1"/>
  <c r="BC56" i="235"/>
  <c r="AR56" i="235"/>
  <c r="AH56" i="235"/>
  <c r="T56" i="235"/>
  <c r="N56" i="235"/>
  <c r="O56" i="235" s="1"/>
  <c r="L56" i="235"/>
  <c r="K56" i="235"/>
  <c r="F56" i="235"/>
  <c r="BH55" i="235"/>
  <c r="BJ55" i="235" s="1"/>
  <c r="BL55" i="235" s="1"/>
  <c r="BC55" i="235"/>
  <c r="AR55" i="235"/>
  <c r="AH55" i="235"/>
  <c r="O55" i="235" s="1"/>
  <c r="T55" i="235"/>
  <c r="K55" i="235"/>
  <c r="L55" i="235" s="1"/>
  <c r="F55" i="235"/>
  <c r="BJ54" i="235"/>
  <c r="BL54" i="235" s="1"/>
  <c r="BH54" i="235"/>
  <c r="BC54" i="235"/>
  <c r="AR54" i="235"/>
  <c r="AH54" i="235"/>
  <c r="O54" i="235" s="1"/>
  <c r="T54" i="235"/>
  <c r="Q54" i="235"/>
  <c r="L54" i="235"/>
  <c r="K54" i="235"/>
  <c r="F54" i="235"/>
  <c r="BJ53" i="235"/>
  <c r="BL53" i="235" s="1"/>
  <c r="BH53" i="235"/>
  <c r="BC53" i="235"/>
  <c r="AR53" i="235"/>
  <c r="AH53" i="235"/>
  <c r="T53" i="235"/>
  <c r="O53" i="235"/>
  <c r="K53" i="235"/>
  <c r="L53" i="235" s="1"/>
  <c r="F53" i="235"/>
  <c r="BL52" i="235"/>
  <c r="BJ52" i="235"/>
  <c r="BH52" i="235"/>
  <c r="AR52" i="235"/>
  <c r="AH52" i="235"/>
  <c r="T52" i="235"/>
  <c r="O52" i="235"/>
  <c r="L52" i="235"/>
  <c r="K52" i="235"/>
  <c r="F52" i="235"/>
  <c r="BH51" i="235"/>
  <c r="BJ51" i="235" s="1"/>
  <c r="BL51" i="235" s="1"/>
  <c r="BC51" i="235"/>
  <c r="AH51" i="235"/>
  <c r="O51" i="235" s="1"/>
  <c r="T51" i="235"/>
  <c r="K51" i="235"/>
  <c r="L51" i="235" s="1"/>
  <c r="F51" i="235"/>
  <c r="BH50" i="235"/>
  <c r="BJ50" i="235" s="1"/>
  <c r="BL50" i="235" s="1"/>
  <c r="AR50" i="235"/>
  <c r="AH50" i="235"/>
  <c r="O50" i="235" s="1"/>
  <c r="T50" i="235"/>
  <c r="Q50" i="235"/>
  <c r="L50" i="235"/>
  <c r="K50" i="235"/>
  <c r="F50" i="235"/>
  <c r="BJ49" i="235"/>
  <c r="BL49" i="235" s="1"/>
  <c r="BH49" i="235"/>
  <c r="BC49" i="235"/>
  <c r="AR49" i="235"/>
  <c r="AH49" i="235"/>
  <c r="T49" i="235"/>
  <c r="O49" i="235"/>
  <c r="K49" i="235"/>
  <c r="L49" i="235" s="1"/>
  <c r="F49" i="235"/>
  <c r="BL48" i="235"/>
  <c r="BJ48" i="235"/>
  <c r="BH48" i="235"/>
  <c r="AR48" i="235"/>
  <c r="AH48" i="235"/>
  <c r="O48" i="235" s="1"/>
  <c r="T48" i="235"/>
  <c r="L48" i="235"/>
  <c r="K48" i="235"/>
  <c r="F48" i="235"/>
  <c r="BH47" i="235"/>
  <c r="BJ47" i="235" s="1"/>
  <c r="BL47" i="235" s="1"/>
  <c r="BC47" i="235"/>
  <c r="AR47" i="235"/>
  <c r="AH47" i="235"/>
  <c r="O47" i="235" s="1"/>
  <c r="T47" i="235"/>
  <c r="Q47" i="235"/>
  <c r="L47" i="235"/>
  <c r="K47" i="235"/>
  <c r="F47" i="235"/>
  <c r="BJ46" i="235"/>
  <c r="BL46" i="235" s="1"/>
  <c r="BH46" i="235"/>
  <c r="AH46" i="235"/>
  <c r="T46" i="235"/>
  <c r="N46" i="235"/>
  <c r="L46" i="235"/>
  <c r="K46" i="235"/>
  <c r="F46" i="235"/>
  <c r="BH45" i="235"/>
  <c r="BJ45" i="235" s="1"/>
  <c r="BL45" i="235" s="1"/>
  <c r="AR45" i="235"/>
  <c r="AH45" i="235"/>
  <c r="T45" i="235"/>
  <c r="Q45" i="235"/>
  <c r="O45" i="235"/>
  <c r="L45" i="235"/>
  <c r="K45" i="235"/>
  <c r="F45" i="235"/>
  <c r="BJ44" i="235"/>
  <c r="BL44" i="235" s="1"/>
  <c r="BH44" i="235"/>
  <c r="AR44" i="235"/>
  <c r="AH44" i="235"/>
  <c r="T44" i="235"/>
  <c r="O44" i="235"/>
  <c r="K44" i="235"/>
  <c r="L44" i="235" s="1"/>
  <c r="F44" i="235"/>
  <c r="BL43" i="235"/>
  <c r="BJ43" i="235"/>
  <c r="BH43" i="235"/>
  <c r="AR43" i="235"/>
  <c r="AH43" i="235"/>
  <c r="O43" i="235" s="1"/>
  <c r="T43" i="235"/>
  <c r="L43" i="235"/>
  <c r="K43" i="235"/>
  <c r="F43" i="235"/>
  <c r="BH42" i="235"/>
  <c r="BJ42" i="235" s="1"/>
  <c r="BL42" i="235" s="1"/>
  <c r="BC42" i="235"/>
  <c r="AR42" i="235"/>
  <c r="AH42" i="235"/>
  <c r="T42" i="235"/>
  <c r="O42" i="235"/>
  <c r="K42" i="235"/>
  <c r="L42" i="235" s="1"/>
  <c r="F42" i="235"/>
  <c r="BH41" i="235"/>
  <c r="BJ41" i="235" s="1"/>
  <c r="BL41" i="235" s="1"/>
  <c r="AR41" i="235"/>
  <c r="AH41" i="235"/>
  <c r="T41" i="235"/>
  <c r="Q41" i="235"/>
  <c r="N41" i="235"/>
  <c r="O41" i="235" s="1"/>
  <c r="K41" i="235"/>
  <c r="L41" i="235" s="1"/>
  <c r="F41" i="235"/>
  <c r="BH40" i="235"/>
  <c r="BJ40" i="235" s="1"/>
  <c r="BL40" i="235" s="1"/>
  <c r="AR40" i="235"/>
  <c r="BC40" i="235" s="1"/>
  <c r="AH40" i="235"/>
  <c r="O40" i="235" s="1"/>
  <c r="T40" i="235"/>
  <c r="K40" i="235"/>
  <c r="L40" i="235" s="1"/>
  <c r="F40" i="235"/>
  <c r="BJ39" i="235"/>
  <c r="BL39" i="235" s="1"/>
  <c r="BH39" i="235"/>
  <c r="BC39" i="235"/>
  <c r="AR39" i="235"/>
  <c r="AH39" i="235"/>
  <c r="T39" i="235"/>
  <c r="N39" i="235"/>
  <c r="L39" i="235"/>
  <c r="K39" i="235"/>
  <c r="F39" i="235"/>
  <c r="BH38" i="235"/>
  <c r="BJ38" i="235" s="1"/>
  <c r="BL38" i="235" s="1"/>
  <c r="BC38" i="235"/>
  <c r="AH38" i="235"/>
  <c r="O38" i="235" s="1"/>
  <c r="T38" i="235"/>
  <c r="S38" i="235"/>
  <c r="S108" i="235" s="1"/>
  <c r="Q38" i="235"/>
  <c r="M38" i="235" s="1"/>
  <c r="AS38" i="235" s="1"/>
  <c r="K38" i="235"/>
  <c r="L38" i="235" s="1"/>
  <c r="F38" i="235"/>
  <c r="BL37" i="235"/>
  <c r="BH37" i="235"/>
  <c r="BJ37" i="235" s="1"/>
  <c r="BC37" i="235"/>
  <c r="AH37" i="235"/>
  <c r="T37" i="235"/>
  <c r="N37" i="235"/>
  <c r="L37" i="235"/>
  <c r="K37" i="235"/>
  <c r="F37" i="235"/>
  <c r="BH36" i="235"/>
  <c r="BJ36" i="235" s="1"/>
  <c r="BL36" i="235" s="1"/>
  <c r="BC36" i="235"/>
  <c r="AR36" i="235"/>
  <c r="AH36" i="235"/>
  <c r="O36" i="235" s="1"/>
  <c r="T36" i="235"/>
  <c r="K36" i="235"/>
  <c r="L36" i="235" s="1"/>
  <c r="F36" i="235"/>
  <c r="BH35" i="235"/>
  <c r="BJ35" i="235" s="1"/>
  <c r="BL35" i="235" s="1"/>
  <c r="AH35" i="235"/>
  <c r="T35" i="235"/>
  <c r="O35" i="235"/>
  <c r="K35" i="235"/>
  <c r="L35" i="235" s="1"/>
  <c r="F35" i="235"/>
  <c r="BL34" i="235"/>
  <c r="BH34" i="235"/>
  <c r="BJ34" i="235" s="1"/>
  <c r="AR34" i="235"/>
  <c r="AH34" i="235"/>
  <c r="T34" i="235"/>
  <c r="O34" i="235"/>
  <c r="K34" i="235"/>
  <c r="L34" i="235" s="1"/>
  <c r="Q34" i="235" s="1"/>
  <c r="F34" i="235"/>
  <c r="BJ33" i="235"/>
  <c r="BL33" i="235" s="1"/>
  <c r="BH33" i="235"/>
  <c r="BC33" i="235"/>
  <c r="AR33" i="235"/>
  <c r="AH33" i="235"/>
  <c r="O33" i="235" s="1"/>
  <c r="T33" i="235"/>
  <c r="K33" i="235"/>
  <c r="L33" i="235" s="1"/>
  <c r="F33" i="235"/>
  <c r="BL32" i="235"/>
  <c r="BJ32" i="235"/>
  <c r="BH32" i="235"/>
  <c r="BC32" i="235"/>
  <c r="AH32" i="235"/>
  <c r="T32" i="235"/>
  <c r="O32" i="235"/>
  <c r="K32" i="235"/>
  <c r="L32" i="235" s="1"/>
  <c r="Q32" i="235" s="1"/>
  <c r="F32" i="235"/>
  <c r="BH31" i="235"/>
  <c r="BJ31" i="235" s="1"/>
  <c r="BL31" i="235" s="1"/>
  <c r="AR31" i="235"/>
  <c r="BC31" i="235" s="1"/>
  <c r="AH31" i="235"/>
  <c r="O31" i="235" s="1"/>
  <c r="T31" i="235"/>
  <c r="L31" i="235"/>
  <c r="K31" i="235"/>
  <c r="F31" i="235"/>
  <c r="BH30" i="235"/>
  <c r="BJ30" i="235" s="1"/>
  <c r="BL30" i="235" s="1"/>
  <c r="BC30" i="235"/>
  <c r="AR30" i="235"/>
  <c r="AH30" i="235"/>
  <c r="T30" i="235"/>
  <c r="O30" i="235"/>
  <c r="L30" i="235"/>
  <c r="K30" i="235"/>
  <c r="F30" i="235"/>
  <c r="BP29" i="235"/>
  <c r="BJ29" i="235"/>
  <c r="BL29" i="235" s="1"/>
  <c r="BH29" i="235"/>
  <c r="BC29" i="235"/>
  <c r="BA29" i="235"/>
  <c r="AR29" i="235"/>
  <c r="AH29" i="235"/>
  <c r="AA29" i="235"/>
  <c r="AA108" i="235" s="1"/>
  <c r="T29" i="235"/>
  <c r="N29" i="235"/>
  <c r="K29" i="235"/>
  <c r="L29" i="235" s="1"/>
  <c r="F29" i="235"/>
  <c r="BH28" i="235"/>
  <c r="BJ28" i="235" s="1"/>
  <c r="BL28" i="235" s="1"/>
  <c r="BC28" i="235"/>
  <c r="AH28" i="235"/>
  <c r="T28" i="235"/>
  <c r="O28" i="235"/>
  <c r="L28" i="235"/>
  <c r="K28" i="235"/>
  <c r="F28" i="235"/>
  <c r="BH27" i="235"/>
  <c r="BJ27" i="235" s="1"/>
  <c r="BL27" i="235" s="1"/>
  <c r="AR27" i="235"/>
  <c r="AH27" i="235"/>
  <c r="T27" i="235"/>
  <c r="R27" i="235"/>
  <c r="R108" i="235" s="1"/>
  <c r="Q27" i="235"/>
  <c r="M27" i="235" s="1"/>
  <c r="AP27" i="235" s="1"/>
  <c r="O27" i="235"/>
  <c r="N27" i="235"/>
  <c r="L27" i="235"/>
  <c r="K27" i="235"/>
  <c r="F27" i="235"/>
  <c r="BL26" i="235"/>
  <c r="BJ26" i="235"/>
  <c r="BH26" i="235"/>
  <c r="BC26" i="235"/>
  <c r="AR26" i="235"/>
  <c r="AH26" i="235"/>
  <c r="T26" i="235"/>
  <c r="O26" i="235"/>
  <c r="K26" i="235"/>
  <c r="L26" i="235" s="1"/>
  <c r="F26" i="235"/>
  <c r="BH25" i="235"/>
  <c r="BJ25" i="235" s="1"/>
  <c r="BL25" i="235" s="1"/>
  <c r="BC25" i="235"/>
  <c r="AR25" i="235"/>
  <c r="AH25" i="235"/>
  <c r="T25" i="235"/>
  <c r="Q25" i="235"/>
  <c r="O25" i="235"/>
  <c r="L25" i="235"/>
  <c r="K25" i="235"/>
  <c r="F25" i="235"/>
  <c r="BL24" i="235"/>
  <c r="BH24" i="235"/>
  <c r="BJ24" i="235" s="1"/>
  <c r="AR24" i="235"/>
  <c r="AH24" i="235"/>
  <c r="T24" i="235"/>
  <c r="O24" i="235"/>
  <c r="K24" i="235"/>
  <c r="L24" i="235" s="1"/>
  <c r="Q24" i="235" s="1"/>
  <c r="F24" i="235"/>
  <c r="D24" i="235"/>
  <c r="D108" i="235" s="1"/>
  <c r="BL23" i="235"/>
  <c r="BJ23" i="235"/>
  <c r="BH23" i="235"/>
  <c r="BC23" i="235"/>
  <c r="AR23" i="235"/>
  <c r="AH23" i="235"/>
  <c r="O23" i="235" s="1"/>
  <c r="T23" i="235"/>
  <c r="K23" i="235"/>
  <c r="L23" i="235" s="1"/>
  <c r="J23" i="235"/>
  <c r="J108" i="235" s="1"/>
  <c r="F23" i="235"/>
  <c r="BJ22" i="235"/>
  <c r="BL22" i="235" s="1"/>
  <c r="BH22" i="235"/>
  <c r="AR22" i="235"/>
  <c r="AH22" i="235"/>
  <c r="T22" i="235"/>
  <c r="Q22" i="235"/>
  <c r="O22" i="235"/>
  <c r="L22" i="235"/>
  <c r="K22" i="235"/>
  <c r="F22" i="235"/>
  <c r="BH21" i="235"/>
  <c r="BJ21" i="235" s="1"/>
  <c r="BL21" i="235" s="1"/>
  <c r="AR21" i="235"/>
  <c r="AH21" i="235"/>
  <c r="O21" i="235" s="1"/>
  <c r="T21" i="235"/>
  <c r="L21" i="235"/>
  <c r="K21" i="235"/>
  <c r="F21" i="235"/>
  <c r="BL20" i="235"/>
  <c r="BJ20" i="235"/>
  <c r="BH20" i="235"/>
  <c r="BC20" i="235"/>
  <c r="AR20" i="235"/>
  <c r="AH20" i="235"/>
  <c r="T20" i="235"/>
  <c r="O20" i="235"/>
  <c r="K20" i="235"/>
  <c r="L20" i="235" s="1"/>
  <c r="F20" i="235"/>
  <c r="BH19" i="235"/>
  <c r="BJ19" i="235" s="1"/>
  <c r="BL19" i="235" s="1"/>
  <c r="AR19" i="235"/>
  <c r="BC19" i="235" s="1"/>
  <c r="AH19" i="235"/>
  <c r="T19" i="235"/>
  <c r="Q19" i="235"/>
  <c r="O19" i="235"/>
  <c r="L19" i="235"/>
  <c r="K19" i="235"/>
  <c r="F19" i="235"/>
  <c r="BL18" i="235"/>
  <c r="BH18" i="235"/>
  <c r="BJ18" i="235" s="1"/>
  <c r="AR18" i="235"/>
  <c r="AH18" i="235"/>
  <c r="O18" i="235" s="1"/>
  <c r="T18" i="235"/>
  <c r="K18" i="235"/>
  <c r="L18" i="235" s="1"/>
  <c r="F18" i="235"/>
  <c r="BJ17" i="235"/>
  <c r="BL17" i="235" s="1"/>
  <c r="BH17" i="235"/>
  <c r="BC17" i="235"/>
  <c r="AR17" i="235"/>
  <c r="AH17" i="235"/>
  <c r="T17" i="235"/>
  <c r="O17" i="235"/>
  <c r="L17" i="235"/>
  <c r="Q17" i="235" s="1"/>
  <c r="M17" i="235" s="1"/>
  <c r="AP17" i="235" s="1"/>
  <c r="K17" i="235"/>
  <c r="F17" i="235"/>
  <c r="BH16" i="235"/>
  <c r="BJ16" i="235" s="1"/>
  <c r="BL16" i="235" s="1"/>
  <c r="AR16" i="235"/>
  <c r="AH16" i="235"/>
  <c r="T16" i="235"/>
  <c r="Q16" i="235"/>
  <c r="O16" i="235"/>
  <c r="N16" i="235"/>
  <c r="K16" i="235"/>
  <c r="L16" i="235" s="1"/>
  <c r="F16" i="235"/>
  <c r="BL15" i="235"/>
  <c r="BJ15" i="235"/>
  <c r="BH15" i="235"/>
  <c r="BC15" i="235"/>
  <c r="AR15" i="235"/>
  <c r="AH15" i="235"/>
  <c r="O15" i="235" s="1"/>
  <c r="T15" i="235"/>
  <c r="K15" i="235"/>
  <c r="L15" i="235" s="1"/>
  <c r="F15" i="235"/>
  <c r="BH14" i="235"/>
  <c r="BJ14" i="235" s="1"/>
  <c r="BL14" i="235" s="1"/>
  <c r="BC14" i="235"/>
  <c r="AR14" i="235"/>
  <c r="AH14" i="235"/>
  <c r="T14" i="235"/>
  <c r="O14" i="235"/>
  <c r="L14" i="235"/>
  <c r="K14" i="235"/>
  <c r="F14" i="235"/>
  <c r="BJ13" i="235"/>
  <c r="BL13" i="235" s="1"/>
  <c r="BH13" i="235"/>
  <c r="BC13" i="235"/>
  <c r="AR13" i="235"/>
  <c r="AH13" i="235"/>
  <c r="T13" i="235"/>
  <c r="O13" i="235"/>
  <c r="L13" i="235"/>
  <c r="Q13" i="235" s="1"/>
  <c r="K13" i="235"/>
  <c r="F13" i="235"/>
  <c r="BL12" i="235"/>
  <c r="BJ12" i="235"/>
  <c r="BH12" i="235"/>
  <c r="BC12" i="235"/>
  <c r="AR12" i="235"/>
  <c r="AH12" i="235"/>
  <c r="T12" i="235"/>
  <c r="O12" i="235"/>
  <c r="L12" i="235"/>
  <c r="Q12" i="235" s="1"/>
  <c r="K12" i="235"/>
  <c r="F12" i="235"/>
  <c r="BL11" i="235"/>
  <c r="BJ11" i="235"/>
  <c r="BH11" i="235"/>
  <c r="AH11" i="235"/>
  <c r="T11" i="235"/>
  <c r="O11" i="235"/>
  <c r="N11" i="235"/>
  <c r="N108" i="235" s="1"/>
  <c r="N132" i="235" s="1"/>
  <c r="N133" i="235" s="1"/>
  <c r="L11" i="235"/>
  <c r="Q11" i="235" s="1"/>
  <c r="K11" i="235"/>
  <c r="F11" i="235"/>
  <c r="BH10" i="235"/>
  <c r="BJ10" i="235" s="1"/>
  <c r="BL10" i="235" s="1"/>
  <c r="AH10" i="235"/>
  <c r="T10" i="235"/>
  <c r="O10" i="235"/>
  <c r="K10" i="235"/>
  <c r="L10" i="235" s="1"/>
  <c r="F10" i="235"/>
  <c r="BH9" i="235"/>
  <c r="BJ9" i="235" s="1"/>
  <c r="BL9" i="235" s="1"/>
  <c r="BA9" i="235"/>
  <c r="BA108" i="235" s="1"/>
  <c r="AZ9" i="235"/>
  <c r="AZ108" i="235" s="1"/>
  <c r="AY9" i="235"/>
  <c r="AY108" i="235" s="1"/>
  <c r="AR9" i="235"/>
  <c r="AH9" i="235"/>
  <c r="T9" i="235"/>
  <c r="O9" i="235"/>
  <c r="K9" i="235"/>
  <c r="L9" i="235" s="1"/>
  <c r="F9" i="235"/>
  <c r="BH8" i="235"/>
  <c r="BH141" i="235" s="1"/>
  <c r="AH8" i="235"/>
  <c r="O8" i="235" s="1"/>
  <c r="T8" i="235"/>
  <c r="K8" i="235"/>
  <c r="L8" i="235" s="1"/>
  <c r="F8" i="235"/>
  <c r="BL7" i="235"/>
  <c r="BJ7" i="235"/>
  <c r="BH7" i="235"/>
  <c r="BH140" i="235" s="1"/>
  <c r="BC7" i="235"/>
  <c r="AH7" i="235"/>
  <c r="O7" i="235" s="1"/>
  <c r="T7" i="235"/>
  <c r="K7" i="235"/>
  <c r="L7" i="235" s="1"/>
  <c r="F7" i="235"/>
  <c r="BJ6" i="235"/>
  <c r="BH6" i="235"/>
  <c r="BC6" i="235"/>
  <c r="AH6" i="235"/>
  <c r="AH108" i="235" s="1"/>
  <c r="T6" i="235"/>
  <c r="L6" i="235"/>
  <c r="K6" i="235"/>
  <c r="F6" i="235"/>
  <c r="BP61" i="234"/>
  <c r="BM9" i="237" s="1"/>
  <c r="BO61" i="234"/>
  <c r="BN61" i="234"/>
  <c r="BL61" i="234"/>
  <c r="BI9" i="237" s="1"/>
  <c r="BI61" i="234"/>
  <c r="BF9" i="237" s="1"/>
  <c r="BG61" i="234"/>
  <c r="BD9" i="237" s="1"/>
  <c r="BF61" i="234"/>
  <c r="BC9" i="237" s="1"/>
  <c r="BE61" i="234"/>
  <c r="BB9" i="237" s="1"/>
  <c r="BD61" i="234"/>
  <c r="BA9" i="237" s="1"/>
  <c r="BA61" i="234"/>
  <c r="AZ61" i="234"/>
  <c r="AY61" i="234"/>
  <c r="AW61" i="234"/>
  <c r="AQ61" i="234"/>
  <c r="AO61" i="234"/>
  <c r="AN61" i="234"/>
  <c r="AM61" i="234"/>
  <c r="AG61" i="234"/>
  <c r="AE61" i="234"/>
  <c r="AD61" i="234"/>
  <c r="AC61" i="234"/>
  <c r="AB61" i="234"/>
  <c r="AA61" i="234"/>
  <c r="Z61" i="234"/>
  <c r="Y61" i="234"/>
  <c r="S61" i="234"/>
  <c r="R61" i="234"/>
  <c r="I61" i="234"/>
  <c r="G61" i="234"/>
  <c r="E61" i="234"/>
  <c r="D61" i="234"/>
  <c r="BH60" i="234"/>
  <c r="AS60" i="234"/>
  <c r="AR60" i="234"/>
  <c r="AH60" i="234"/>
  <c r="O60" i="234" s="1"/>
  <c r="T60" i="234"/>
  <c r="K60" i="234"/>
  <c r="L60" i="234" s="1"/>
  <c r="F60" i="234"/>
  <c r="BH59" i="234"/>
  <c r="BJ59" i="234" s="1"/>
  <c r="BM59" i="234" s="1"/>
  <c r="AS59" i="234"/>
  <c r="AR59" i="234"/>
  <c r="BC59" i="234" s="1"/>
  <c r="AH59" i="234"/>
  <c r="O59" i="234" s="1"/>
  <c r="T59" i="234"/>
  <c r="K59" i="234"/>
  <c r="L59" i="234" s="1"/>
  <c r="Q59" i="234" s="1"/>
  <c r="F59" i="234"/>
  <c r="BH58" i="234"/>
  <c r="BJ58" i="234" s="1"/>
  <c r="BM58" i="234" s="1"/>
  <c r="BC58" i="234"/>
  <c r="AS58" i="234"/>
  <c r="AH58" i="234"/>
  <c r="O58" i="234" s="1"/>
  <c r="T58" i="234"/>
  <c r="Q58" i="234"/>
  <c r="K58" i="234"/>
  <c r="L58" i="234" s="1"/>
  <c r="F58" i="234"/>
  <c r="BH57" i="234"/>
  <c r="BJ57" i="234" s="1"/>
  <c r="BM57" i="234" s="1"/>
  <c r="AT57" i="234"/>
  <c r="AS57" i="234"/>
  <c r="AR57" i="234"/>
  <c r="BC57" i="234" s="1"/>
  <c r="AH57" i="234"/>
  <c r="T57" i="234"/>
  <c r="N57" i="234"/>
  <c r="L57" i="234"/>
  <c r="AU57" i="234" s="1"/>
  <c r="K57" i="234"/>
  <c r="F57" i="234"/>
  <c r="BH56" i="234"/>
  <c r="BJ56" i="234" s="1"/>
  <c r="BM56" i="234" s="1"/>
  <c r="AS56" i="234"/>
  <c r="AR56" i="234"/>
  <c r="AH56" i="234"/>
  <c r="T56" i="234"/>
  <c r="Q56" i="234"/>
  <c r="M56" i="234" s="1"/>
  <c r="BB56" i="234" s="1"/>
  <c r="N56" i="234"/>
  <c r="L56" i="234"/>
  <c r="K56" i="234"/>
  <c r="F56" i="234"/>
  <c r="BH55" i="234"/>
  <c r="BJ55" i="234" s="1"/>
  <c r="BM55" i="234" s="1"/>
  <c r="AS55" i="234"/>
  <c r="AR55" i="234"/>
  <c r="AH55" i="234"/>
  <c r="O55" i="234" s="1"/>
  <c r="T55" i="234"/>
  <c r="Q55" i="234"/>
  <c r="K55" i="234"/>
  <c r="L55" i="234" s="1"/>
  <c r="F55" i="234"/>
  <c r="BH54" i="234"/>
  <c r="BJ54" i="234" s="1"/>
  <c r="BM54" i="234" s="1"/>
  <c r="BC54" i="234"/>
  <c r="AU54" i="234"/>
  <c r="AT54" i="234"/>
  <c r="AS54" i="234"/>
  <c r="AH54" i="234"/>
  <c r="T54" i="234"/>
  <c r="O54" i="234"/>
  <c r="L54" i="234"/>
  <c r="Q54" i="234" s="1"/>
  <c r="K54" i="234"/>
  <c r="F54" i="234"/>
  <c r="BM53" i="234"/>
  <c r="BJ53" i="234"/>
  <c r="BH53" i="234"/>
  <c r="AR53" i="234"/>
  <c r="AT53" i="234" s="1"/>
  <c r="AH53" i="234"/>
  <c r="O53" i="234" s="1"/>
  <c r="T53" i="234"/>
  <c r="K53" i="234"/>
  <c r="L53" i="234" s="1"/>
  <c r="AU53" i="234" s="1"/>
  <c r="F53" i="234"/>
  <c r="BJ52" i="234"/>
  <c r="BM52" i="234" s="1"/>
  <c r="BH52" i="234"/>
  <c r="AR52" i="234"/>
  <c r="AT52" i="234" s="1"/>
  <c r="AH52" i="234"/>
  <c r="W52" i="234"/>
  <c r="T52" i="234"/>
  <c r="O52" i="234"/>
  <c r="L52" i="234"/>
  <c r="K52" i="234"/>
  <c r="F52" i="234"/>
  <c r="BJ51" i="234"/>
  <c r="BM51" i="234" s="1"/>
  <c r="BH51" i="234"/>
  <c r="BC51" i="234"/>
  <c r="AS51" i="234"/>
  <c r="AR51" i="234"/>
  <c r="AH51" i="234"/>
  <c r="O51" i="234" s="1"/>
  <c r="W51" i="234"/>
  <c r="T51" i="234"/>
  <c r="L51" i="234"/>
  <c r="Q51" i="234" s="1"/>
  <c r="K51" i="234"/>
  <c r="F51" i="234"/>
  <c r="BJ50" i="234"/>
  <c r="BM50" i="234" s="1"/>
  <c r="BH50" i="234"/>
  <c r="BC50" i="234"/>
  <c r="AT50" i="234"/>
  <c r="AH50" i="234"/>
  <c r="W50" i="234"/>
  <c r="T50" i="234"/>
  <c r="Q50" i="234"/>
  <c r="O50" i="234"/>
  <c r="K50" i="234"/>
  <c r="L50" i="234" s="1"/>
  <c r="F50" i="234"/>
  <c r="BH49" i="234"/>
  <c r="BJ49" i="234" s="1"/>
  <c r="BM49" i="234" s="1"/>
  <c r="BC49" i="234"/>
  <c r="AU49" i="234"/>
  <c r="AT49" i="234"/>
  <c r="AS49" i="234"/>
  <c r="AH49" i="234"/>
  <c r="W49" i="234"/>
  <c r="T49" i="234"/>
  <c r="O49" i="234"/>
  <c r="K49" i="234"/>
  <c r="L49" i="234" s="1"/>
  <c r="F49" i="234"/>
  <c r="BJ48" i="234"/>
  <c r="BM48" i="234" s="1"/>
  <c r="BH48" i="234"/>
  <c r="AS48" i="234"/>
  <c r="AR48" i="234"/>
  <c r="BC48" i="234" s="1"/>
  <c r="AH48" i="234"/>
  <c r="T48" i="234"/>
  <c r="O48" i="234"/>
  <c r="K48" i="234"/>
  <c r="L48" i="234" s="1"/>
  <c r="F48" i="234"/>
  <c r="BH47" i="234"/>
  <c r="BJ47" i="234" s="1"/>
  <c r="BM47" i="234" s="1"/>
  <c r="BC47" i="234"/>
  <c r="AT47" i="234"/>
  <c r="AR47" i="234"/>
  <c r="AH47" i="234"/>
  <c r="O47" i="234" s="1"/>
  <c r="T47" i="234"/>
  <c r="K47" i="234"/>
  <c r="L47" i="234" s="1"/>
  <c r="AU47" i="234" s="1"/>
  <c r="F47" i="234"/>
  <c r="BJ46" i="234"/>
  <c r="BM46" i="234" s="1"/>
  <c r="BH46" i="234"/>
  <c r="AS46" i="234"/>
  <c r="AR46" i="234"/>
  <c r="AH46" i="234"/>
  <c r="O46" i="234" s="1"/>
  <c r="W46" i="234"/>
  <c r="T46" i="234"/>
  <c r="J46" i="234"/>
  <c r="K46" i="234" s="1"/>
  <c r="L46" i="234" s="1"/>
  <c r="F46" i="234"/>
  <c r="BJ45" i="234"/>
  <c r="BM45" i="234" s="1"/>
  <c r="BH45" i="234"/>
  <c r="BC45" i="234"/>
  <c r="AS45" i="234"/>
  <c r="AR45" i="234"/>
  <c r="AT45" i="234" s="1"/>
  <c r="AH45" i="234"/>
  <c r="O45" i="234" s="1"/>
  <c r="T45" i="234"/>
  <c r="L45" i="234"/>
  <c r="K45" i="234"/>
  <c r="F45" i="234"/>
  <c r="BH44" i="234"/>
  <c r="BJ44" i="234" s="1"/>
  <c r="BM44" i="234" s="1"/>
  <c r="AR44" i="234"/>
  <c r="AH44" i="234"/>
  <c r="O44" i="234" s="1"/>
  <c r="T44" i="234"/>
  <c r="L44" i="234"/>
  <c r="K44" i="234"/>
  <c r="F44" i="234"/>
  <c r="BH43" i="234"/>
  <c r="BJ43" i="234" s="1"/>
  <c r="BM43" i="234" s="1"/>
  <c r="AR43" i="234"/>
  <c r="AH43" i="234"/>
  <c r="T43" i="234"/>
  <c r="N43" i="234"/>
  <c r="K43" i="234"/>
  <c r="L43" i="234" s="1"/>
  <c r="Q43" i="234" s="1"/>
  <c r="F43" i="234"/>
  <c r="BH42" i="234"/>
  <c r="BJ42" i="234" s="1"/>
  <c r="BM42" i="234" s="1"/>
  <c r="AT42" i="234"/>
  <c r="AR42" i="234"/>
  <c r="BC42" i="234" s="1"/>
  <c r="AH42" i="234"/>
  <c r="O42" i="234" s="1"/>
  <c r="T42" i="234"/>
  <c r="K42" i="234"/>
  <c r="L42" i="234" s="1"/>
  <c r="F42" i="234"/>
  <c r="BH41" i="234"/>
  <c r="BJ41" i="234" s="1"/>
  <c r="BM41" i="234" s="1"/>
  <c r="AS41" i="234"/>
  <c r="AR41" i="234"/>
  <c r="AH41" i="234"/>
  <c r="T41" i="234"/>
  <c r="O41" i="234"/>
  <c r="K41" i="234"/>
  <c r="L41" i="234" s="1"/>
  <c r="Q41" i="234" s="1"/>
  <c r="F41" i="234"/>
  <c r="BM40" i="234"/>
  <c r="BH40" i="234"/>
  <c r="BJ40" i="234" s="1"/>
  <c r="AS40" i="234"/>
  <c r="AR40" i="234"/>
  <c r="BC40" i="234" s="1"/>
  <c r="AH40" i="234"/>
  <c r="O40" i="234" s="1"/>
  <c r="T40" i="234"/>
  <c r="L40" i="234"/>
  <c r="K40" i="234"/>
  <c r="F40" i="234"/>
  <c r="BH39" i="234"/>
  <c r="BJ39" i="234" s="1"/>
  <c r="BM39" i="234" s="1"/>
  <c r="AR39" i="234"/>
  <c r="AT39" i="234" s="1"/>
  <c r="AH39" i="234"/>
  <c r="T39" i="234"/>
  <c r="O39" i="234"/>
  <c r="K39" i="234"/>
  <c r="L39" i="234" s="1"/>
  <c r="F39" i="234"/>
  <c r="BH38" i="234"/>
  <c r="BJ38" i="234" s="1"/>
  <c r="BM38" i="234" s="1"/>
  <c r="BC38" i="234"/>
  <c r="AS38" i="234"/>
  <c r="AR38" i="234"/>
  <c r="AH38" i="234"/>
  <c r="O38" i="234" s="1"/>
  <c r="T38" i="234"/>
  <c r="K38" i="234"/>
  <c r="L38" i="234" s="1"/>
  <c r="F38" i="234"/>
  <c r="BH37" i="234"/>
  <c r="BJ37" i="234" s="1"/>
  <c r="BM37" i="234" s="1"/>
  <c r="AR37" i="234"/>
  <c r="BC37" i="234" s="1"/>
  <c r="AH37" i="234"/>
  <c r="O37" i="234" s="1"/>
  <c r="T37" i="234"/>
  <c r="K37" i="234"/>
  <c r="L37" i="234" s="1"/>
  <c r="Q37" i="234" s="1"/>
  <c r="M37" i="234" s="1"/>
  <c r="AX37" i="234" s="1"/>
  <c r="F37" i="234"/>
  <c r="BJ36" i="234"/>
  <c r="BM36" i="234" s="1"/>
  <c r="BH36" i="234"/>
  <c r="AR36" i="234"/>
  <c r="AH36" i="234"/>
  <c r="O36" i="234" s="1"/>
  <c r="T36" i="234"/>
  <c r="K36" i="234"/>
  <c r="L36" i="234" s="1"/>
  <c r="F36" i="234"/>
  <c r="BJ35" i="234"/>
  <c r="BM35" i="234" s="1"/>
  <c r="BH35" i="234"/>
  <c r="BC35" i="234"/>
  <c r="AT35" i="234"/>
  <c r="AS35" i="234"/>
  <c r="AR35" i="234"/>
  <c r="AH35" i="234"/>
  <c r="T35" i="234"/>
  <c r="N35" i="234"/>
  <c r="J35" i="234"/>
  <c r="K35" i="234" s="1"/>
  <c r="L35" i="234" s="1"/>
  <c r="F35" i="234"/>
  <c r="BH34" i="234"/>
  <c r="BJ34" i="234" s="1"/>
  <c r="BM34" i="234" s="1"/>
  <c r="AR34" i="234"/>
  <c r="AH34" i="234"/>
  <c r="O34" i="234" s="1"/>
  <c r="T34" i="234"/>
  <c r="K34" i="234"/>
  <c r="L34" i="234" s="1"/>
  <c r="Q34" i="234" s="1"/>
  <c r="F34" i="234"/>
  <c r="BH33" i="234"/>
  <c r="BJ33" i="234" s="1"/>
  <c r="BM33" i="234" s="1"/>
  <c r="AS33" i="234"/>
  <c r="AR33" i="234"/>
  <c r="AH33" i="234"/>
  <c r="O33" i="234" s="1"/>
  <c r="P33" i="234" s="1"/>
  <c r="T33" i="234"/>
  <c r="Q33" i="234"/>
  <c r="N33" i="234"/>
  <c r="M33" i="234"/>
  <c r="U33" i="234" s="1"/>
  <c r="K33" i="234"/>
  <c r="L33" i="234" s="1"/>
  <c r="F33" i="234"/>
  <c r="BH32" i="234"/>
  <c r="BJ32" i="234" s="1"/>
  <c r="BM32" i="234" s="1"/>
  <c r="BC32" i="234"/>
  <c r="AT32" i="234"/>
  <c r="AR32" i="234"/>
  <c r="AH32" i="234"/>
  <c r="O32" i="234" s="1"/>
  <c r="T32" i="234"/>
  <c r="K32" i="234"/>
  <c r="L32" i="234" s="1"/>
  <c r="F32" i="234"/>
  <c r="BM31" i="234"/>
  <c r="BH31" i="234"/>
  <c r="BJ31" i="234" s="1"/>
  <c r="AR31" i="234"/>
  <c r="BC31" i="234" s="1"/>
  <c r="AL31" i="234"/>
  <c r="AL61" i="234" s="1"/>
  <c r="AH31" i="234"/>
  <c r="O31" i="234" s="1"/>
  <c r="T31" i="234"/>
  <c r="Q31" i="234"/>
  <c r="M31" i="234" s="1"/>
  <c r="L31" i="234"/>
  <c r="K31" i="234"/>
  <c r="F31" i="234"/>
  <c r="BJ30" i="234"/>
  <c r="BM30" i="234" s="1"/>
  <c r="BH30" i="234"/>
  <c r="AR30" i="234"/>
  <c r="AH30" i="234"/>
  <c r="O30" i="234" s="1"/>
  <c r="T30" i="234"/>
  <c r="Q30" i="234"/>
  <c r="L30" i="234"/>
  <c r="K30" i="234"/>
  <c r="F30" i="234"/>
  <c r="BJ29" i="234"/>
  <c r="BM29" i="234" s="1"/>
  <c r="BH29" i="234"/>
  <c r="AT29" i="234"/>
  <c r="AR29" i="234"/>
  <c r="BC29" i="234" s="1"/>
  <c r="AH29" i="234"/>
  <c r="T29" i="234"/>
  <c r="O29" i="234"/>
  <c r="N29" i="234"/>
  <c r="K29" i="234"/>
  <c r="L29" i="234" s="1"/>
  <c r="F29" i="234"/>
  <c r="BM28" i="234"/>
  <c r="BJ28" i="234"/>
  <c r="BH28" i="234"/>
  <c r="AR28" i="234"/>
  <c r="AT28" i="234" s="1"/>
  <c r="AH28" i="234"/>
  <c r="O28" i="234" s="1"/>
  <c r="T28" i="234"/>
  <c r="L28" i="234"/>
  <c r="K28" i="234"/>
  <c r="F28" i="234"/>
  <c r="BJ27" i="234"/>
  <c r="BM27" i="234" s="1"/>
  <c r="BH27" i="234"/>
  <c r="AT27" i="234"/>
  <c r="AR27" i="234"/>
  <c r="BC27" i="234" s="1"/>
  <c r="AH27" i="234"/>
  <c r="O27" i="234" s="1"/>
  <c r="T27" i="234"/>
  <c r="L27" i="234"/>
  <c r="K27" i="234"/>
  <c r="H27" i="234"/>
  <c r="H61" i="234" s="1"/>
  <c r="F27" i="234"/>
  <c r="BH26" i="234"/>
  <c r="BJ26" i="234" s="1"/>
  <c r="BM26" i="234" s="1"/>
  <c r="AR26" i="234"/>
  <c r="BC26" i="234" s="1"/>
  <c r="AH26" i="234"/>
  <c r="O26" i="234" s="1"/>
  <c r="T26" i="234"/>
  <c r="K26" i="234"/>
  <c r="L26" i="234" s="1"/>
  <c r="Q26" i="234" s="1"/>
  <c r="F26" i="234"/>
  <c r="BJ25" i="234"/>
  <c r="BM25" i="234" s="1"/>
  <c r="BH25" i="234"/>
  <c r="AR25" i="234"/>
  <c r="AT25" i="234" s="1"/>
  <c r="AH25" i="234"/>
  <c r="O25" i="234" s="1"/>
  <c r="T25" i="234"/>
  <c r="L25" i="234"/>
  <c r="Q25" i="234" s="1"/>
  <c r="K25" i="234"/>
  <c r="F25" i="234"/>
  <c r="BH24" i="234"/>
  <c r="BJ24" i="234" s="1"/>
  <c r="BM24" i="234" s="1"/>
  <c r="AS24" i="234"/>
  <c r="AR24" i="234"/>
  <c r="BC24" i="234" s="1"/>
  <c r="AH24" i="234"/>
  <c r="T24" i="234"/>
  <c r="N24" i="234"/>
  <c r="O24" i="234" s="1"/>
  <c r="K24" i="234"/>
  <c r="L24" i="234" s="1"/>
  <c r="F24" i="234"/>
  <c r="BJ23" i="234"/>
  <c r="BM23" i="234" s="1"/>
  <c r="BH23" i="234"/>
  <c r="AT23" i="234"/>
  <c r="AR23" i="234"/>
  <c r="BC23" i="234" s="1"/>
  <c r="AH23" i="234"/>
  <c r="O23" i="234" s="1"/>
  <c r="T23" i="234"/>
  <c r="K23" i="234"/>
  <c r="L23" i="234" s="1"/>
  <c r="F23" i="234"/>
  <c r="BH22" i="234"/>
  <c r="BJ22" i="234" s="1"/>
  <c r="BM22" i="234" s="1"/>
  <c r="AR22" i="234"/>
  <c r="BC22" i="234" s="1"/>
  <c r="AP22" i="234"/>
  <c r="AS22" i="234" s="1"/>
  <c r="AH22" i="234"/>
  <c r="T22" i="234"/>
  <c r="O22" i="234"/>
  <c r="L22" i="234"/>
  <c r="Q22" i="234" s="1"/>
  <c r="K22" i="234"/>
  <c r="F22" i="234"/>
  <c r="BH21" i="234"/>
  <c r="BJ21" i="234" s="1"/>
  <c r="BM21" i="234" s="1"/>
  <c r="AS21" i="234"/>
  <c r="AR21" i="234"/>
  <c r="AH21" i="234"/>
  <c r="T21" i="234"/>
  <c r="O21" i="234"/>
  <c r="K21" i="234"/>
  <c r="L21" i="234" s="1"/>
  <c r="F21" i="234"/>
  <c r="BH20" i="234"/>
  <c r="BJ20" i="234" s="1"/>
  <c r="BM20" i="234" s="1"/>
  <c r="AR20" i="234"/>
  <c r="AT20" i="234" s="1"/>
  <c r="AH20" i="234"/>
  <c r="O20" i="234" s="1"/>
  <c r="T20" i="234"/>
  <c r="K20" i="234"/>
  <c r="L20" i="234" s="1"/>
  <c r="F20" i="234"/>
  <c r="BH19" i="234"/>
  <c r="BJ19" i="234" s="1"/>
  <c r="BM19" i="234" s="1"/>
  <c r="AS19" i="234"/>
  <c r="AR19" i="234"/>
  <c r="BC19" i="234" s="1"/>
  <c r="AH19" i="234"/>
  <c r="O19" i="234" s="1"/>
  <c r="X19" i="234"/>
  <c r="T19" i="234"/>
  <c r="K19" i="234"/>
  <c r="L19" i="234" s="1"/>
  <c r="F19" i="234"/>
  <c r="BJ18" i="234"/>
  <c r="BM18" i="234" s="1"/>
  <c r="BH18" i="234"/>
  <c r="BC18" i="234"/>
  <c r="AT18" i="234"/>
  <c r="AR18" i="234"/>
  <c r="AH18" i="234"/>
  <c r="O18" i="234" s="1"/>
  <c r="T18" i="234"/>
  <c r="K18" i="234"/>
  <c r="L18" i="234" s="1"/>
  <c r="F18" i="234"/>
  <c r="BH17" i="234"/>
  <c r="BJ17" i="234" s="1"/>
  <c r="BM17" i="234" s="1"/>
  <c r="BC17" i="234"/>
  <c r="AT17" i="234"/>
  <c r="AR17" i="234"/>
  <c r="AH17" i="234"/>
  <c r="O17" i="234" s="1"/>
  <c r="T17" i="234"/>
  <c r="K17" i="234"/>
  <c r="L17" i="234" s="1"/>
  <c r="Q17" i="234" s="1"/>
  <c r="M17" i="234" s="1"/>
  <c r="F17" i="234"/>
  <c r="BH16" i="234"/>
  <c r="BJ16" i="234" s="1"/>
  <c r="BM16" i="234" s="1"/>
  <c r="AR16" i="234"/>
  <c r="AT16" i="234" s="1"/>
  <c r="AH16" i="234"/>
  <c r="O16" i="234" s="1"/>
  <c r="T16" i="234"/>
  <c r="K16" i="234"/>
  <c r="L16" i="234" s="1"/>
  <c r="F16" i="234"/>
  <c r="BH15" i="234"/>
  <c r="BJ15" i="234" s="1"/>
  <c r="BM15" i="234" s="1"/>
  <c r="AR15" i="234"/>
  <c r="AH15" i="234"/>
  <c r="O15" i="234" s="1"/>
  <c r="T15" i="234"/>
  <c r="L15" i="234"/>
  <c r="Q15" i="234" s="1"/>
  <c r="K15" i="234"/>
  <c r="F15" i="234"/>
  <c r="BH14" i="234"/>
  <c r="BJ14" i="234" s="1"/>
  <c r="BM14" i="234" s="1"/>
  <c r="AS14" i="234"/>
  <c r="AR14" i="234"/>
  <c r="BC14" i="234" s="1"/>
  <c r="AF14" i="234"/>
  <c r="AH14" i="234" s="1"/>
  <c r="T14" i="234"/>
  <c r="N14" i="234"/>
  <c r="K14" i="234"/>
  <c r="L14" i="234" s="1"/>
  <c r="F14" i="234"/>
  <c r="BH13" i="234"/>
  <c r="BJ13" i="234" s="1"/>
  <c r="BM13" i="234" s="1"/>
  <c r="AR13" i="234"/>
  <c r="BC13" i="234" s="1"/>
  <c r="AH13" i="234"/>
  <c r="T13" i="234"/>
  <c r="O13" i="234"/>
  <c r="K13" i="234"/>
  <c r="L13" i="234" s="1"/>
  <c r="F13" i="234"/>
  <c r="BH12" i="234"/>
  <c r="BJ12" i="234" s="1"/>
  <c r="BM12" i="234" s="1"/>
  <c r="BC12" i="234"/>
  <c r="AR12" i="234"/>
  <c r="AT12" i="234" s="1"/>
  <c r="AF12" i="234"/>
  <c r="AF61" i="234" s="1"/>
  <c r="T12" i="234"/>
  <c r="Q12" i="234"/>
  <c r="M12" i="234" s="1"/>
  <c r="BB12" i="234" s="1"/>
  <c r="N12" i="234"/>
  <c r="L12" i="234"/>
  <c r="K12" i="234"/>
  <c r="F12" i="234"/>
  <c r="BH11" i="234"/>
  <c r="BJ11" i="234" s="1"/>
  <c r="BM11" i="234" s="1"/>
  <c r="BC11" i="234"/>
  <c r="AT11" i="234"/>
  <c r="AS11" i="234"/>
  <c r="AH11" i="234"/>
  <c r="O11" i="234" s="1"/>
  <c r="T11" i="234"/>
  <c r="K11" i="234"/>
  <c r="L11" i="234" s="1"/>
  <c r="Q11" i="234" s="1"/>
  <c r="F11" i="234"/>
  <c r="BH10" i="234"/>
  <c r="BJ10" i="234" s="1"/>
  <c r="BM10" i="234" s="1"/>
  <c r="BC10" i="234"/>
  <c r="AS10" i="234"/>
  <c r="AR10" i="234"/>
  <c r="AH10" i="234"/>
  <c r="O10" i="234" s="1"/>
  <c r="T10" i="234"/>
  <c r="L10" i="234"/>
  <c r="K10" i="234"/>
  <c r="F10" i="234"/>
  <c r="BH9" i="234"/>
  <c r="BC9" i="234"/>
  <c r="AT9" i="234"/>
  <c r="AS9" i="234"/>
  <c r="AH9" i="234"/>
  <c r="O9" i="234" s="1"/>
  <c r="T9" i="234"/>
  <c r="K9" i="234"/>
  <c r="L9" i="234" s="1"/>
  <c r="AU9" i="234" s="1"/>
  <c r="F9" i="234"/>
  <c r="BH8" i="234"/>
  <c r="BJ8" i="234" s="1"/>
  <c r="BM8" i="234" s="1"/>
  <c r="BC8" i="234"/>
  <c r="AS8" i="234"/>
  <c r="AR8" i="234"/>
  <c r="AT8" i="234" s="1"/>
  <c r="AH8" i="234"/>
  <c r="O8" i="234" s="1"/>
  <c r="T8" i="234"/>
  <c r="K8" i="234"/>
  <c r="L8" i="234" s="1"/>
  <c r="F8" i="234"/>
  <c r="BH7" i="234"/>
  <c r="AS7" i="234"/>
  <c r="AR7" i="234"/>
  <c r="AH7" i="234"/>
  <c r="O7" i="234" s="1"/>
  <c r="T7" i="234"/>
  <c r="Q7" i="234"/>
  <c r="M7" i="234" s="1"/>
  <c r="L7" i="234"/>
  <c r="K7" i="234"/>
  <c r="F7" i="234"/>
  <c r="BH6" i="234"/>
  <c r="BJ6" i="234" s="1"/>
  <c r="BC6" i="234"/>
  <c r="AS6" i="234"/>
  <c r="AS61" i="234" s="1"/>
  <c r="AH6" i="234"/>
  <c r="T6" i="234"/>
  <c r="L6" i="234"/>
  <c r="Q6" i="234" s="1"/>
  <c r="M6" i="234" s="1"/>
  <c r="K6" i="234"/>
  <c r="F6" i="234"/>
  <c r="BP9" i="233"/>
  <c r="BM10" i="237" s="1"/>
  <c r="BO9" i="233"/>
  <c r="BL10" i="237" s="1"/>
  <c r="BN9" i="233"/>
  <c r="BK10" i="237" s="1"/>
  <c r="BL9" i="233"/>
  <c r="BI10" i="237" s="1"/>
  <c r="BI9" i="233"/>
  <c r="BF10" i="237" s="1"/>
  <c r="BG9" i="233"/>
  <c r="BD10" i="237" s="1"/>
  <c r="BF9" i="233"/>
  <c r="BC10" i="237" s="1"/>
  <c r="BE9" i="233"/>
  <c r="BB10" i="237" s="1"/>
  <c r="BD9" i="233"/>
  <c r="BA10" i="237" s="1"/>
  <c r="BA9" i="233"/>
  <c r="AZ9" i="233"/>
  <c r="AY9" i="233"/>
  <c r="AW9" i="233"/>
  <c r="AR9" i="233"/>
  <c r="AQ9" i="233"/>
  <c r="AP9" i="233"/>
  <c r="AO9" i="233"/>
  <c r="AN9" i="233"/>
  <c r="AM9" i="233"/>
  <c r="AL9" i="233"/>
  <c r="AJ9" i="233"/>
  <c r="AE9" i="233"/>
  <c r="AD9" i="233"/>
  <c r="AC9" i="233"/>
  <c r="AB9" i="233"/>
  <c r="AA9" i="233"/>
  <c r="Z9" i="233"/>
  <c r="Y9" i="233"/>
  <c r="W9" i="233"/>
  <c r="S9" i="233"/>
  <c r="R9" i="233"/>
  <c r="N9" i="233"/>
  <c r="J9" i="233"/>
  <c r="I9" i="233"/>
  <c r="H9" i="233"/>
  <c r="G9" i="233"/>
  <c r="E9" i="233"/>
  <c r="D9" i="233"/>
  <c r="BH8" i="233"/>
  <c r="BC8" i="233"/>
  <c r="AT8" i="233"/>
  <c r="AS8" i="233"/>
  <c r="AH8" i="233"/>
  <c r="O8" i="233" s="1"/>
  <c r="T8" i="233"/>
  <c r="K8" i="233"/>
  <c r="L8" i="233" s="1"/>
  <c r="F8" i="233"/>
  <c r="BH7" i="233"/>
  <c r="BJ7" i="233" s="1"/>
  <c r="BM7" i="233" s="1"/>
  <c r="BC7" i="233"/>
  <c r="AT7" i="233"/>
  <c r="AH7" i="233"/>
  <c r="O7" i="233" s="1"/>
  <c r="T7" i="233"/>
  <c r="K7" i="233"/>
  <c r="L7" i="233" s="1"/>
  <c r="F7" i="233"/>
  <c r="BH6" i="233"/>
  <c r="BH9" i="233" s="1"/>
  <c r="BE10" i="237" s="1"/>
  <c r="BC6" i="233"/>
  <c r="BC9" i="233" s="1"/>
  <c r="AS6" i="233"/>
  <c r="AS9" i="233" s="1"/>
  <c r="AG6" i="233"/>
  <c r="AG9" i="233" s="1"/>
  <c r="AF6" i="233"/>
  <c r="T6" i="233"/>
  <c r="T9" i="233" s="1"/>
  <c r="L6" i="233"/>
  <c r="Q6" i="233" s="1"/>
  <c r="K6" i="233"/>
  <c r="K9" i="233" s="1"/>
  <c r="F6" i="233"/>
  <c r="F9" i="233" s="1"/>
  <c r="BP27" i="232"/>
  <c r="BM11" i="237" s="1"/>
  <c r="BO27" i="232"/>
  <c r="BL11" i="237" s="1"/>
  <c r="BN27" i="232"/>
  <c r="BK11" i="237" s="1"/>
  <c r="BL27" i="232"/>
  <c r="BI11" i="237" s="1"/>
  <c r="BI27" i="232"/>
  <c r="BF11" i="237" s="1"/>
  <c r="BG27" i="232"/>
  <c r="BD11" i="237" s="1"/>
  <c r="BF27" i="232"/>
  <c r="BC11" i="237" s="1"/>
  <c r="BE27" i="232"/>
  <c r="BB11" i="237" s="1"/>
  <c r="BD27" i="232"/>
  <c r="BA11" i="237" s="1"/>
  <c r="AW27" i="232"/>
  <c r="AP27" i="232"/>
  <c r="AN27" i="232"/>
  <c r="AM27" i="232"/>
  <c r="AL27" i="232"/>
  <c r="AJ27" i="232"/>
  <c r="AG27" i="232"/>
  <c r="AF27" i="232"/>
  <c r="AE27" i="232"/>
  <c r="AD27" i="232"/>
  <c r="AC27" i="232"/>
  <c r="AB27" i="232"/>
  <c r="AA27" i="232"/>
  <c r="Z27" i="232"/>
  <c r="Y27" i="232"/>
  <c r="S27" i="232"/>
  <c r="R27" i="232"/>
  <c r="N27" i="232"/>
  <c r="J27" i="232"/>
  <c r="I27" i="232"/>
  <c r="H27" i="232"/>
  <c r="G27" i="232"/>
  <c r="E27" i="232"/>
  <c r="D27" i="232"/>
  <c r="BH26" i="232"/>
  <c r="BJ26" i="232" s="1"/>
  <c r="BM26" i="232" s="1"/>
  <c r="AS26" i="232"/>
  <c r="AR26" i="232"/>
  <c r="BC26" i="232" s="1"/>
  <c r="AH26" i="232"/>
  <c r="O26" i="232" s="1"/>
  <c r="T26" i="232"/>
  <c r="K26" i="232"/>
  <c r="L26" i="232" s="1"/>
  <c r="F26" i="232"/>
  <c r="BH25" i="232"/>
  <c r="BJ25" i="232" s="1"/>
  <c r="BM25" i="232" s="1"/>
  <c r="BC25" i="232"/>
  <c r="AT25" i="232"/>
  <c r="AH25" i="232"/>
  <c r="O25" i="232" s="1"/>
  <c r="T25" i="232"/>
  <c r="K25" i="232"/>
  <c r="L25" i="232" s="1"/>
  <c r="F25" i="232"/>
  <c r="BH24" i="232"/>
  <c r="BJ24" i="232" s="1"/>
  <c r="BM24" i="232" s="1"/>
  <c r="BC24" i="232"/>
  <c r="AS24" i="232"/>
  <c r="AT24" i="232" s="1"/>
  <c r="AH24" i="232"/>
  <c r="O24" i="232" s="1"/>
  <c r="T24" i="232"/>
  <c r="K24" i="232"/>
  <c r="L24" i="232" s="1"/>
  <c r="F24" i="232"/>
  <c r="BH23" i="232"/>
  <c r="BJ23" i="232" s="1"/>
  <c r="BM23" i="232" s="1"/>
  <c r="BC23" i="232"/>
  <c r="AT23" i="232"/>
  <c r="AH23" i="232"/>
  <c r="O23" i="232" s="1"/>
  <c r="T23" i="232"/>
  <c r="L23" i="232"/>
  <c r="AU23" i="232" s="1"/>
  <c r="K23" i="232"/>
  <c r="F23" i="232"/>
  <c r="BH22" i="232"/>
  <c r="BJ22" i="232" s="1"/>
  <c r="BM22" i="232" s="1"/>
  <c r="BC22" i="232"/>
  <c r="AS22" i="232"/>
  <c r="AH22" i="232"/>
  <c r="T22" i="232"/>
  <c r="O22" i="232"/>
  <c r="K22" i="232"/>
  <c r="L22" i="232" s="1"/>
  <c r="F22" i="232"/>
  <c r="BH21" i="232"/>
  <c r="BJ21" i="232" s="1"/>
  <c r="BM21" i="232" s="1"/>
  <c r="BC21" i="232"/>
  <c r="AT21" i="232"/>
  <c r="AH21" i="232"/>
  <c r="T21" i="232"/>
  <c r="O21" i="232"/>
  <c r="K21" i="232"/>
  <c r="L21" i="232" s="1"/>
  <c r="F21" i="232"/>
  <c r="BH20" i="232"/>
  <c r="BJ20" i="232" s="1"/>
  <c r="BM20" i="232" s="1"/>
  <c r="BC20" i="232"/>
  <c r="AT20" i="232"/>
  <c r="AH20" i="232"/>
  <c r="T20" i="232"/>
  <c r="O20" i="232"/>
  <c r="K20" i="232"/>
  <c r="L20" i="232" s="1"/>
  <c r="F20" i="232"/>
  <c r="BH19" i="232"/>
  <c r="BJ19" i="232" s="1"/>
  <c r="BM19" i="232" s="1"/>
  <c r="BC19" i="232"/>
  <c r="AT19" i="232"/>
  <c r="AH19" i="232"/>
  <c r="O19" i="232" s="1"/>
  <c r="V19" i="232"/>
  <c r="AI19" i="232" s="1"/>
  <c r="AK19" i="232" s="1"/>
  <c r="T19" i="232"/>
  <c r="K19" i="232"/>
  <c r="L19" i="232" s="1"/>
  <c r="Q19" i="232" s="1"/>
  <c r="M19" i="232" s="1"/>
  <c r="F19" i="232"/>
  <c r="BH18" i="232"/>
  <c r="BJ18" i="232" s="1"/>
  <c r="BM18" i="232" s="1"/>
  <c r="BC18" i="232"/>
  <c r="AT18" i="232"/>
  <c r="AH18" i="232"/>
  <c r="O18" i="232" s="1"/>
  <c r="T18" i="232"/>
  <c r="Q18" i="232"/>
  <c r="M18" i="232" s="1"/>
  <c r="L18" i="232"/>
  <c r="AU18" i="232" s="1"/>
  <c r="K18" i="232"/>
  <c r="F18" i="232"/>
  <c r="BJ17" i="232"/>
  <c r="BM17" i="232" s="1"/>
  <c r="BH17" i="232"/>
  <c r="BC17" i="232"/>
  <c r="AT17" i="232"/>
  <c r="AH17" i="232"/>
  <c r="O17" i="232" s="1"/>
  <c r="T17" i="232"/>
  <c r="K17" i="232"/>
  <c r="L17" i="232" s="1"/>
  <c r="F17" i="232"/>
  <c r="BH16" i="232"/>
  <c r="BJ16" i="232" s="1"/>
  <c r="BM16" i="232" s="1"/>
  <c r="BC16" i="232"/>
  <c r="AT16" i="232"/>
  <c r="AH16" i="232"/>
  <c r="O16" i="232" s="1"/>
  <c r="T16" i="232"/>
  <c r="K16" i="232"/>
  <c r="L16" i="232" s="1"/>
  <c r="F16" i="232"/>
  <c r="BJ15" i="232"/>
  <c r="BM15" i="232" s="1"/>
  <c r="BH15" i="232"/>
  <c r="BC15" i="232"/>
  <c r="AH15" i="232"/>
  <c r="O15" i="232" s="1"/>
  <c r="T15" i="232"/>
  <c r="K15" i="232"/>
  <c r="L15" i="232" s="1"/>
  <c r="F15" i="232"/>
  <c r="BH14" i="232"/>
  <c r="BJ14" i="232" s="1"/>
  <c r="BM14" i="232" s="1"/>
  <c r="BC14" i="232"/>
  <c r="AH14" i="232"/>
  <c r="O14" i="232" s="1"/>
  <c r="T14" i="232"/>
  <c r="K14" i="232"/>
  <c r="L14" i="232" s="1"/>
  <c r="F14" i="232"/>
  <c r="BH13" i="232"/>
  <c r="BJ13" i="232" s="1"/>
  <c r="BM13" i="232" s="1"/>
  <c r="BC13" i="232"/>
  <c r="AH13" i="232"/>
  <c r="O13" i="232" s="1"/>
  <c r="T13" i="232"/>
  <c r="K13" i="232"/>
  <c r="L13" i="232" s="1"/>
  <c r="F13" i="232"/>
  <c r="BH12" i="232"/>
  <c r="BJ12" i="232" s="1"/>
  <c r="BM12" i="232" s="1"/>
  <c r="BC12" i="232"/>
  <c r="AH12" i="232"/>
  <c r="O12" i="232" s="1"/>
  <c r="T12" i="232"/>
  <c r="K12" i="232"/>
  <c r="L12" i="232" s="1"/>
  <c r="F12" i="232"/>
  <c r="BH11" i="232"/>
  <c r="BJ11" i="232" s="1"/>
  <c r="BM11" i="232" s="1"/>
  <c r="BC11" i="232"/>
  <c r="AH11" i="232"/>
  <c r="O11" i="232" s="1"/>
  <c r="T11" i="232"/>
  <c r="L11" i="232"/>
  <c r="K11" i="232"/>
  <c r="F11" i="232"/>
  <c r="BH10" i="232"/>
  <c r="BJ10" i="232" s="1"/>
  <c r="BM10" i="232" s="1"/>
  <c r="BC10" i="232"/>
  <c r="AH10" i="232"/>
  <c r="O10" i="232" s="1"/>
  <c r="T10" i="232"/>
  <c r="K10" i="232"/>
  <c r="L10" i="232" s="1"/>
  <c r="F10" i="232"/>
  <c r="BH9" i="232"/>
  <c r="BJ9" i="232" s="1"/>
  <c r="BM9" i="232" s="1"/>
  <c r="BC9" i="232"/>
  <c r="BA9" i="232"/>
  <c r="BA27" i="232" s="1"/>
  <c r="AZ9" i="232"/>
  <c r="AZ27" i="232" s="1"/>
  <c r="AY9" i="232"/>
  <c r="AY27" i="232" s="1"/>
  <c r="AQ9" i="232"/>
  <c r="AQ27" i="232" s="1"/>
  <c r="AH9" i="232"/>
  <c r="O9" i="232" s="1"/>
  <c r="T9" i="232"/>
  <c r="K9" i="232"/>
  <c r="F9" i="232"/>
  <c r="BH8" i="232"/>
  <c r="BJ8" i="232" s="1"/>
  <c r="BM8" i="232" s="1"/>
  <c r="AO8" i="232"/>
  <c r="AO27" i="232" s="1"/>
  <c r="AH8" i="232"/>
  <c r="O8" i="232" s="1"/>
  <c r="T8" i="232"/>
  <c r="K8" i="232"/>
  <c r="L8" i="232" s="1"/>
  <c r="F8" i="232"/>
  <c r="BH7" i="232"/>
  <c r="BJ7" i="232" s="1"/>
  <c r="BM7" i="232" s="1"/>
  <c r="BC7" i="232"/>
  <c r="AH7" i="232"/>
  <c r="O7" i="232" s="1"/>
  <c r="T7" i="232"/>
  <c r="K7" i="232"/>
  <c r="L7" i="232" s="1"/>
  <c r="Q7" i="232" s="1"/>
  <c r="M7" i="232" s="1"/>
  <c r="F7" i="232"/>
  <c r="BH6" i="232"/>
  <c r="BJ6" i="232" s="1"/>
  <c r="BC6" i="232"/>
  <c r="AH6" i="232"/>
  <c r="O6" i="232" s="1"/>
  <c r="T6" i="232"/>
  <c r="K6" i="232"/>
  <c r="L6" i="232" s="1"/>
  <c r="F6" i="232"/>
  <c r="F27" i="232" s="1"/>
  <c r="BP17" i="231"/>
  <c r="BM12" i="237" s="1"/>
  <c r="BO17" i="231"/>
  <c r="BL12" i="237" s="1"/>
  <c r="BN17" i="231"/>
  <c r="BK12" i="237" s="1"/>
  <c r="BL17" i="231"/>
  <c r="BI12" i="237" s="1"/>
  <c r="BI17" i="231"/>
  <c r="BF12" i="237" s="1"/>
  <c r="BG17" i="231"/>
  <c r="BD12" i="237" s="1"/>
  <c r="BF17" i="231"/>
  <c r="BC12" i="237" s="1"/>
  <c r="BE17" i="231"/>
  <c r="BB12" i="237" s="1"/>
  <c r="BD17" i="231"/>
  <c r="BA12" i="237" s="1"/>
  <c r="BA17" i="231"/>
  <c r="AZ17" i="231"/>
  <c r="AY17" i="231"/>
  <c r="AW17" i="231"/>
  <c r="AR17" i="231"/>
  <c r="AP17" i="231"/>
  <c r="AO17" i="231"/>
  <c r="AN17" i="231"/>
  <c r="AM17" i="231"/>
  <c r="AL17" i="231"/>
  <c r="AJ17" i="231"/>
  <c r="AG17" i="231"/>
  <c r="AF17" i="231"/>
  <c r="AE17" i="231"/>
  <c r="AD17" i="231"/>
  <c r="AC17" i="231"/>
  <c r="AB17" i="231"/>
  <c r="Z17" i="231"/>
  <c r="Y17" i="231"/>
  <c r="S17" i="231"/>
  <c r="R17" i="231"/>
  <c r="J17" i="231"/>
  <c r="I17" i="231"/>
  <c r="G17" i="231"/>
  <c r="E17" i="231"/>
  <c r="D17" i="231"/>
  <c r="BH16" i="231"/>
  <c r="BJ16" i="231" s="1"/>
  <c r="BM16" i="231" s="1"/>
  <c r="BC16" i="231"/>
  <c r="AT16" i="231"/>
  <c r="AH16" i="231"/>
  <c r="T16" i="231"/>
  <c r="O16" i="231"/>
  <c r="K16" i="231"/>
  <c r="L16" i="231" s="1"/>
  <c r="F16" i="231"/>
  <c r="BH15" i="231"/>
  <c r="BJ15" i="231" s="1"/>
  <c r="BM15" i="231" s="1"/>
  <c r="BC15" i="231"/>
  <c r="AT15" i="231"/>
  <c r="AH15" i="231"/>
  <c r="T15" i="231"/>
  <c r="N15" i="231"/>
  <c r="O15" i="231" s="1"/>
  <c r="K15" i="231"/>
  <c r="L15" i="231" s="1"/>
  <c r="F15" i="231"/>
  <c r="BJ14" i="231"/>
  <c r="BM14" i="231" s="1"/>
  <c r="BH14" i="231"/>
  <c r="BC14" i="231"/>
  <c r="AT14" i="231"/>
  <c r="AH14" i="231"/>
  <c r="T14" i="231"/>
  <c r="O14" i="231"/>
  <c r="K14" i="231"/>
  <c r="L14" i="231" s="1"/>
  <c r="F14" i="231"/>
  <c r="BH13" i="231"/>
  <c r="BJ13" i="231" s="1"/>
  <c r="BM13" i="231" s="1"/>
  <c r="BC13" i="231"/>
  <c r="AT13" i="231"/>
  <c r="AH13" i="231"/>
  <c r="W13" i="231"/>
  <c r="T13" i="231"/>
  <c r="N13" i="231"/>
  <c r="O13" i="231" s="1"/>
  <c r="K13" i="231"/>
  <c r="L13" i="231" s="1"/>
  <c r="H13" i="231"/>
  <c r="H17" i="231" s="1"/>
  <c r="F13" i="231"/>
  <c r="BH12" i="231"/>
  <c r="BJ12" i="231" s="1"/>
  <c r="BM12" i="231" s="1"/>
  <c r="BC12" i="231"/>
  <c r="AS12" i="231"/>
  <c r="AT12" i="231" s="1"/>
  <c r="AH12" i="231"/>
  <c r="O12" i="231" s="1"/>
  <c r="V12" i="231"/>
  <c r="AI12" i="231" s="1"/>
  <c r="AK12" i="231" s="1"/>
  <c r="T12" i="231"/>
  <c r="K12" i="231"/>
  <c r="L12" i="231" s="1"/>
  <c r="F12" i="231"/>
  <c r="BH11" i="231"/>
  <c r="BC11" i="231"/>
  <c r="AT11" i="231"/>
  <c r="AH11" i="231"/>
  <c r="O11" i="231" s="1"/>
  <c r="V11" i="231"/>
  <c r="AI11" i="231" s="1"/>
  <c r="AK11" i="231" s="1"/>
  <c r="T11" i="231"/>
  <c r="K11" i="231"/>
  <c r="L11" i="231" s="1"/>
  <c r="F11" i="231"/>
  <c r="BH10" i="231"/>
  <c r="BJ10" i="231" s="1"/>
  <c r="BM10" i="231" s="1"/>
  <c r="BC10" i="231"/>
  <c r="AT10" i="231"/>
  <c r="AH10" i="231"/>
  <c r="T10" i="231"/>
  <c r="K10" i="231"/>
  <c r="L10" i="231" s="1"/>
  <c r="F10" i="231"/>
  <c r="BH9" i="231"/>
  <c r="BJ9" i="231" s="1"/>
  <c r="BM9" i="231" s="1"/>
  <c r="BC9" i="231"/>
  <c r="AT9" i="231"/>
  <c r="AQ9" i="231"/>
  <c r="AQ17" i="231" s="1"/>
  <c r="AH9" i="231"/>
  <c r="O9" i="231" s="1"/>
  <c r="T9" i="231"/>
  <c r="K9" i="231"/>
  <c r="L9" i="231" s="1"/>
  <c r="AU9" i="231" s="1"/>
  <c r="F9" i="231"/>
  <c r="BH8" i="231"/>
  <c r="BJ8" i="231" s="1"/>
  <c r="BM8" i="231" s="1"/>
  <c r="BC8" i="231"/>
  <c r="AS8" i="231"/>
  <c r="AT8" i="231" s="1"/>
  <c r="AH8" i="231"/>
  <c r="O8" i="231" s="1"/>
  <c r="T8" i="231"/>
  <c r="K8" i="231"/>
  <c r="L8" i="231" s="1"/>
  <c r="F8" i="231"/>
  <c r="BJ7" i="231"/>
  <c r="BM7" i="231" s="1"/>
  <c r="BH7" i="231"/>
  <c r="BC7" i="231"/>
  <c r="AS7" i="231"/>
  <c r="AH7" i="231"/>
  <c r="T7" i="231"/>
  <c r="N7" i="231"/>
  <c r="O7" i="231" s="1"/>
  <c r="K7" i="231"/>
  <c r="L7" i="231" s="1"/>
  <c r="F7" i="231"/>
  <c r="BH6" i="231"/>
  <c r="BH17" i="231" s="1"/>
  <c r="BE12" i="237" s="1"/>
  <c r="BC6" i="231"/>
  <c r="BC17" i="231" s="1"/>
  <c r="AI6" i="231"/>
  <c r="AK6" i="231" s="1"/>
  <c r="AH6" i="231"/>
  <c r="O6" i="231" s="1"/>
  <c r="V6" i="231"/>
  <c r="X6" i="231" s="1"/>
  <c r="T6" i="231"/>
  <c r="T17" i="231" s="1"/>
  <c r="K6" i="231"/>
  <c r="K17" i="231" s="1"/>
  <c r="F6" i="231"/>
  <c r="BP46" i="230"/>
  <c r="BM13" i="237" s="1"/>
  <c r="BO46" i="230"/>
  <c r="BN46" i="230"/>
  <c r="BL46" i="230"/>
  <c r="BI13" i="237" s="1"/>
  <c r="BI46" i="230"/>
  <c r="BG46" i="230"/>
  <c r="BD13" i="237" s="1"/>
  <c r="BF46" i="230"/>
  <c r="BE46" i="230"/>
  <c r="AW46" i="230"/>
  <c r="AO46" i="230"/>
  <c r="AM46" i="230"/>
  <c r="AL46" i="230"/>
  <c r="AG46" i="230"/>
  <c r="AE46" i="230"/>
  <c r="AD46" i="230"/>
  <c r="AC46" i="230"/>
  <c r="AB46" i="230"/>
  <c r="Z46" i="230"/>
  <c r="Y46" i="230"/>
  <c r="S46" i="230"/>
  <c r="R46" i="230"/>
  <c r="J46" i="230"/>
  <c r="I46" i="230"/>
  <c r="H46" i="230"/>
  <c r="G46" i="230"/>
  <c r="E46" i="230"/>
  <c r="D46" i="230"/>
  <c r="BJ45" i="230"/>
  <c r="BM45" i="230" s="1"/>
  <c r="BC45" i="230"/>
  <c r="AH45" i="230"/>
  <c r="T45" i="230"/>
  <c r="Q45" i="230"/>
  <c r="U45" i="230" s="1"/>
  <c r="V45" i="230" s="1"/>
  <c r="M45" i="230"/>
  <c r="AS45" i="230" s="1"/>
  <c r="L45" i="230"/>
  <c r="K45" i="230"/>
  <c r="F45" i="230"/>
  <c r="BJ44" i="230"/>
  <c r="BM44" i="230" s="1"/>
  <c r="BC44" i="230"/>
  <c r="AH44" i="230"/>
  <c r="T44" i="230"/>
  <c r="O44" i="230"/>
  <c r="K44" i="230"/>
  <c r="L44" i="230" s="1"/>
  <c r="F44" i="230"/>
  <c r="BJ43" i="230"/>
  <c r="BM43" i="230" s="1"/>
  <c r="BC43" i="230"/>
  <c r="AH43" i="230"/>
  <c r="T43" i="230"/>
  <c r="Q43" i="230"/>
  <c r="M43" i="230" s="1"/>
  <c r="O43" i="230"/>
  <c r="N43" i="230"/>
  <c r="K43" i="230"/>
  <c r="L43" i="230" s="1"/>
  <c r="F43" i="230"/>
  <c r="BJ42" i="230"/>
  <c r="BM42" i="230" s="1"/>
  <c r="BC42" i="230"/>
  <c r="AH42" i="230"/>
  <c r="T42" i="230"/>
  <c r="O42" i="230"/>
  <c r="N42" i="230"/>
  <c r="K42" i="230"/>
  <c r="L42" i="230" s="1"/>
  <c r="F42" i="230"/>
  <c r="BM41" i="230"/>
  <c r="BJ41" i="230"/>
  <c r="BC41" i="230"/>
  <c r="AH41" i="230"/>
  <c r="T41" i="230"/>
  <c r="O41" i="230"/>
  <c r="N41" i="230"/>
  <c r="K41" i="230"/>
  <c r="L41" i="230" s="1"/>
  <c r="F41" i="230"/>
  <c r="BJ40" i="230"/>
  <c r="BM40" i="230" s="1"/>
  <c r="BC40" i="230"/>
  <c r="AH40" i="230"/>
  <c r="T40" i="230"/>
  <c r="N40" i="230"/>
  <c r="K40" i="230"/>
  <c r="L40" i="230" s="1"/>
  <c r="F40" i="230"/>
  <c r="BJ39" i="230"/>
  <c r="BM39" i="230" s="1"/>
  <c r="BC39" i="230"/>
  <c r="AH39" i="230"/>
  <c r="T39" i="230"/>
  <c r="O39" i="230"/>
  <c r="L39" i="230"/>
  <c r="K39" i="230"/>
  <c r="F39" i="230"/>
  <c r="BJ38" i="230"/>
  <c r="BM38" i="230" s="1"/>
  <c r="BC38" i="230"/>
  <c r="AH38" i="230"/>
  <c r="O38" i="230" s="1"/>
  <c r="T38" i="230"/>
  <c r="Q38" i="230"/>
  <c r="M38" i="230" s="1"/>
  <c r="K38" i="230"/>
  <c r="L38" i="230" s="1"/>
  <c r="F38" i="230"/>
  <c r="BJ37" i="230"/>
  <c r="BM37" i="230" s="1"/>
  <c r="BC37" i="230"/>
  <c r="AH37" i="230"/>
  <c r="T37" i="230"/>
  <c r="O37" i="230"/>
  <c r="L37" i="230"/>
  <c r="K37" i="230"/>
  <c r="F37" i="230"/>
  <c r="BJ36" i="230"/>
  <c r="BM36" i="230" s="1"/>
  <c r="BC36" i="230"/>
  <c r="AH36" i="230"/>
  <c r="O36" i="230" s="1"/>
  <c r="T36" i="230"/>
  <c r="K36" i="230"/>
  <c r="L36" i="230" s="1"/>
  <c r="Q36" i="230" s="1"/>
  <c r="F36" i="230"/>
  <c r="BJ35" i="230"/>
  <c r="BM35" i="230" s="1"/>
  <c r="BC35" i="230"/>
  <c r="AH35" i="230"/>
  <c r="T35" i="230"/>
  <c r="Q35" i="230"/>
  <c r="M35" i="230" s="1"/>
  <c r="AS35" i="230" s="1"/>
  <c r="O35" i="230"/>
  <c r="L35" i="230"/>
  <c r="K35" i="230"/>
  <c r="F35" i="230"/>
  <c r="BJ34" i="230"/>
  <c r="BM34" i="230" s="1"/>
  <c r="BC34" i="230"/>
  <c r="AG34" i="230"/>
  <c r="AH34" i="230" s="1"/>
  <c r="AF34" i="230"/>
  <c r="AF46" i="230" s="1"/>
  <c r="T34" i="230"/>
  <c r="N34" i="230"/>
  <c r="L34" i="230"/>
  <c r="K34" i="230"/>
  <c r="F34" i="230"/>
  <c r="BJ33" i="230"/>
  <c r="BM33" i="230" s="1"/>
  <c r="BC33" i="230"/>
  <c r="AH33" i="230"/>
  <c r="O33" i="230" s="1"/>
  <c r="T33" i="230"/>
  <c r="K33" i="230"/>
  <c r="L33" i="230" s="1"/>
  <c r="F33" i="230"/>
  <c r="BJ32" i="230"/>
  <c r="BM32" i="230" s="1"/>
  <c r="BC32" i="230"/>
  <c r="AH32" i="230"/>
  <c r="T32" i="230"/>
  <c r="M32" i="230" s="1"/>
  <c r="Q32" i="230"/>
  <c r="O32" i="230"/>
  <c r="N32" i="230"/>
  <c r="K32" i="230"/>
  <c r="L32" i="230" s="1"/>
  <c r="F32" i="230"/>
  <c r="BJ31" i="230"/>
  <c r="BM31" i="230" s="1"/>
  <c r="BC31" i="230"/>
  <c r="AH31" i="230"/>
  <c r="T31" i="230"/>
  <c r="O31" i="230"/>
  <c r="K31" i="230"/>
  <c r="L31" i="230" s="1"/>
  <c r="F31" i="230"/>
  <c r="BJ30" i="230"/>
  <c r="BM30" i="230" s="1"/>
  <c r="BC30" i="230"/>
  <c r="AH30" i="230"/>
  <c r="O30" i="230" s="1"/>
  <c r="T30" i="230"/>
  <c r="L30" i="230"/>
  <c r="K30" i="230"/>
  <c r="F30" i="230"/>
  <c r="BJ29" i="230"/>
  <c r="BM29" i="230" s="1"/>
  <c r="BC29" i="230"/>
  <c r="AS29" i="230"/>
  <c r="BB29" i="230" s="1"/>
  <c r="AH29" i="230"/>
  <c r="O29" i="230" s="1"/>
  <c r="T29" i="230"/>
  <c r="Q29" i="230"/>
  <c r="U29" i="230" s="1"/>
  <c r="V29" i="230" s="1"/>
  <c r="M29" i="230"/>
  <c r="L29" i="230"/>
  <c r="K29" i="230"/>
  <c r="F29" i="230"/>
  <c r="BJ28" i="230"/>
  <c r="BM28" i="230" s="1"/>
  <c r="BC28" i="230"/>
  <c r="AH28" i="230"/>
  <c r="T28" i="230"/>
  <c r="O28" i="230"/>
  <c r="K28" i="230"/>
  <c r="L28" i="230" s="1"/>
  <c r="F28" i="230"/>
  <c r="BJ27" i="230"/>
  <c r="BM27" i="230" s="1"/>
  <c r="BC27" i="230"/>
  <c r="AH27" i="230"/>
  <c r="T27" i="230"/>
  <c r="O27" i="230"/>
  <c r="N27" i="230"/>
  <c r="K27" i="230"/>
  <c r="L27" i="230" s="1"/>
  <c r="F27" i="230"/>
  <c r="BM26" i="230"/>
  <c r="BJ26" i="230"/>
  <c r="BC26" i="230"/>
  <c r="AH26" i="230"/>
  <c r="T26" i="230"/>
  <c r="O26" i="230"/>
  <c r="L26" i="230"/>
  <c r="K26" i="230"/>
  <c r="F26" i="230"/>
  <c r="BJ25" i="230"/>
  <c r="BM25" i="230" s="1"/>
  <c r="BC25" i="230"/>
  <c r="AH25" i="230"/>
  <c r="O25" i="230" s="1"/>
  <c r="T25" i="230"/>
  <c r="K25" i="230"/>
  <c r="L25" i="230" s="1"/>
  <c r="Q25" i="230" s="1"/>
  <c r="M25" i="230" s="1"/>
  <c r="F25" i="230"/>
  <c r="BJ24" i="230"/>
  <c r="BM24" i="230" s="1"/>
  <c r="BC24" i="230"/>
  <c r="AH24" i="230"/>
  <c r="T24" i="230"/>
  <c r="O24" i="230"/>
  <c r="N24" i="230"/>
  <c r="L24" i="230"/>
  <c r="K24" i="230"/>
  <c r="F24" i="230"/>
  <c r="BJ23" i="230"/>
  <c r="BM23" i="230" s="1"/>
  <c r="BC23" i="230"/>
  <c r="AH23" i="230"/>
  <c r="O23" i="230" s="1"/>
  <c r="T23" i="230"/>
  <c r="Q23" i="230"/>
  <c r="U23" i="230" s="1"/>
  <c r="V23" i="230" s="1"/>
  <c r="M23" i="230"/>
  <c r="AS23" i="230" s="1"/>
  <c r="L23" i="230"/>
  <c r="K23" i="230"/>
  <c r="F23" i="230"/>
  <c r="BJ22" i="230"/>
  <c r="BM22" i="230" s="1"/>
  <c r="BC22" i="230"/>
  <c r="AH22" i="230"/>
  <c r="T22" i="230"/>
  <c r="O22" i="230"/>
  <c r="K22" i="230"/>
  <c r="L22" i="230" s="1"/>
  <c r="F22" i="230"/>
  <c r="BJ21" i="230"/>
  <c r="BM21" i="230" s="1"/>
  <c r="BC21" i="230"/>
  <c r="AX21" i="230"/>
  <c r="AS21" i="230"/>
  <c r="AH21" i="230"/>
  <c r="T21" i="230"/>
  <c r="Q21" i="230"/>
  <c r="M21" i="230" s="1"/>
  <c r="P21" i="230"/>
  <c r="O21" i="230"/>
  <c r="L21" i="230"/>
  <c r="K21" i="230"/>
  <c r="F21" i="230"/>
  <c r="BJ20" i="230"/>
  <c r="BM20" i="230" s="1"/>
  <c r="BC20" i="230"/>
  <c r="AH20" i="230"/>
  <c r="O20" i="230" s="1"/>
  <c r="T20" i="230"/>
  <c r="K20" i="230"/>
  <c r="L20" i="230" s="1"/>
  <c r="F20" i="230"/>
  <c r="BD19" i="230"/>
  <c r="BC19" i="230"/>
  <c r="AH19" i="230"/>
  <c r="O19" i="230" s="1"/>
  <c r="T19" i="230"/>
  <c r="K19" i="230"/>
  <c r="L19" i="230" s="1"/>
  <c r="Q19" i="230" s="1"/>
  <c r="F19" i="230"/>
  <c r="BM18" i="230"/>
  <c r="BJ18" i="230"/>
  <c r="BC18" i="230"/>
  <c r="AH18" i="230"/>
  <c r="T18" i="230"/>
  <c r="O18" i="230"/>
  <c r="K18" i="230"/>
  <c r="L18" i="230" s="1"/>
  <c r="F18" i="230"/>
  <c r="BJ17" i="230"/>
  <c r="BM17" i="230" s="1"/>
  <c r="BC17" i="230"/>
  <c r="AH17" i="230"/>
  <c r="T17" i="230"/>
  <c r="N17" i="230"/>
  <c r="K17" i="230"/>
  <c r="L17" i="230" s="1"/>
  <c r="F17" i="230"/>
  <c r="BJ16" i="230"/>
  <c r="BM16" i="230" s="1"/>
  <c r="BC16" i="230"/>
  <c r="AH16" i="230"/>
  <c r="T16" i="230"/>
  <c r="O16" i="230"/>
  <c r="K16" i="230"/>
  <c r="L16" i="230" s="1"/>
  <c r="F16" i="230"/>
  <c r="BJ15" i="230"/>
  <c r="BM15" i="230" s="1"/>
  <c r="BC15" i="230"/>
  <c r="AH15" i="230"/>
  <c r="W15" i="230"/>
  <c r="T15" i="230"/>
  <c r="Q15" i="230"/>
  <c r="U15" i="230" s="1"/>
  <c r="O15" i="230"/>
  <c r="N15" i="230"/>
  <c r="M15" i="230"/>
  <c r="AS15" i="230" s="1"/>
  <c r="K15" i="230"/>
  <c r="L15" i="230" s="1"/>
  <c r="F15" i="230"/>
  <c r="BJ14" i="230"/>
  <c r="BM14" i="230" s="1"/>
  <c r="BC14" i="230"/>
  <c r="AH14" i="230"/>
  <c r="T14" i="230"/>
  <c r="O14" i="230"/>
  <c r="K14" i="230"/>
  <c r="L14" i="230" s="1"/>
  <c r="F14" i="230"/>
  <c r="BJ13" i="230"/>
  <c r="BM13" i="230" s="1"/>
  <c r="BC13" i="230"/>
  <c r="AH13" i="230"/>
  <c r="T13" i="230"/>
  <c r="N13" i="230"/>
  <c r="L13" i="230"/>
  <c r="K13" i="230"/>
  <c r="F13" i="230"/>
  <c r="BC12" i="230"/>
  <c r="AH12" i="230"/>
  <c r="O12" i="230" s="1"/>
  <c r="T12" i="230"/>
  <c r="K12" i="230"/>
  <c r="L12" i="230" s="1"/>
  <c r="F12" i="230"/>
  <c r="BJ11" i="230"/>
  <c r="BM11" i="230" s="1"/>
  <c r="BC11" i="230"/>
  <c r="AH11" i="230"/>
  <c r="T11" i="230"/>
  <c r="N11" i="230"/>
  <c r="L11" i="230"/>
  <c r="Q11" i="230" s="1"/>
  <c r="K11" i="230"/>
  <c r="F11" i="230"/>
  <c r="BD10" i="230"/>
  <c r="BC10" i="230"/>
  <c r="AH10" i="230"/>
  <c r="T10" i="230"/>
  <c r="O10" i="230"/>
  <c r="L10" i="230"/>
  <c r="K10" i="230"/>
  <c r="F10" i="230"/>
  <c r="BJ9" i="230"/>
  <c r="BM9" i="230" s="1"/>
  <c r="BA9" i="230"/>
  <c r="BA46" i="230" s="1"/>
  <c r="AZ9" i="230"/>
  <c r="AZ46" i="230" s="1"/>
  <c r="AY9" i="230"/>
  <c r="AY46" i="230" s="1"/>
  <c r="AR9" i="230"/>
  <c r="AR46" i="230" s="1"/>
  <c r="AQ9" i="230"/>
  <c r="AQ46" i="230" s="1"/>
  <c r="AH9" i="230"/>
  <c r="O9" i="230" s="1"/>
  <c r="T9" i="230"/>
  <c r="K9" i="230"/>
  <c r="L9" i="230" s="1"/>
  <c r="F9" i="230"/>
  <c r="BJ8" i="230"/>
  <c r="BM8" i="230" s="1"/>
  <c r="BC8" i="230"/>
  <c r="AH8" i="230"/>
  <c r="O8" i="230" s="1"/>
  <c r="T8" i="230"/>
  <c r="K8" i="230"/>
  <c r="L8" i="230" s="1"/>
  <c r="F8" i="230"/>
  <c r="BJ7" i="230"/>
  <c r="BM7" i="230" s="1"/>
  <c r="BC7" i="230"/>
  <c r="AH7" i="230"/>
  <c r="O7" i="230" s="1"/>
  <c r="T7" i="230"/>
  <c r="L7" i="230"/>
  <c r="K7" i="230"/>
  <c r="F7" i="230"/>
  <c r="BJ6" i="230"/>
  <c r="BM6" i="230" s="1"/>
  <c r="BC6" i="230"/>
  <c r="AH6" i="230"/>
  <c r="T6" i="230"/>
  <c r="O6" i="230"/>
  <c r="K6" i="230"/>
  <c r="K46" i="230" s="1"/>
  <c r="L47" i="230" s="1"/>
  <c r="F6" i="230"/>
  <c r="BP23" i="229"/>
  <c r="BM14" i="237" s="1"/>
  <c r="BO23" i="229"/>
  <c r="BL14" i="237" s="1"/>
  <c r="BN23" i="229"/>
  <c r="BK14" i="237" s="1"/>
  <c r="BL23" i="229"/>
  <c r="BI14" i="237" s="1"/>
  <c r="BI23" i="229"/>
  <c r="BF14" i="237" s="1"/>
  <c r="BG23" i="229"/>
  <c r="BD14" i="237" s="1"/>
  <c r="BF23" i="229"/>
  <c r="BC14" i="237" s="1"/>
  <c r="BE23" i="229"/>
  <c r="BB14" i="237" s="1"/>
  <c r="BD23" i="229"/>
  <c r="BA14" i="237" s="1"/>
  <c r="AW23" i="229"/>
  <c r="AP23" i="229"/>
  <c r="AO23" i="229"/>
  <c r="AM23" i="229"/>
  <c r="AL23" i="229"/>
  <c r="AJ23" i="229"/>
  <c r="AG23" i="229"/>
  <c r="AF23" i="229"/>
  <c r="AE23" i="229"/>
  <c r="AD23" i="229"/>
  <c r="AC23" i="229"/>
  <c r="AB23" i="229"/>
  <c r="AA23" i="229"/>
  <c r="Z23" i="229"/>
  <c r="Y23" i="229"/>
  <c r="S23" i="229"/>
  <c r="R23" i="229"/>
  <c r="J23" i="229"/>
  <c r="I23" i="229"/>
  <c r="H23" i="229"/>
  <c r="G23" i="229"/>
  <c r="E23" i="229"/>
  <c r="D23" i="229"/>
  <c r="BH22" i="229"/>
  <c r="BJ22" i="229" s="1"/>
  <c r="BM22" i="229" s="1"/>
  <c r="BC22" i="229"/>
  <c r="AS22" i="229"/>
  <c r="AH22" i="229"/>
  <c r="O22" i="229" s="1"/>
  <c r="T22" i="229"/>
  <c r="L22" i="229"/>
  <c r="K22" i="229"/>
  <c r="F22" i="229"/>
  <c r="BH21" i="229"/>
  <c r="BJ21" i="229" s="1"/>
  <c r="BM21" i="229" s="1"/>
  <c r="BC21" i="229"/>
  <c r="AS21" i="229"/>
  <c r="AH21" i="229"/>
  <c r="O21" i="229" s="1"/>
  <c r="T21" i="229"/>
  <c r="K21" i="229"/>
  <c r="L21" i="229" s="1"/>
  <c r="F21" i="229"/>
  <c r="BH20" i="229"/>
  <c r="BJ20" i="229" s="1"/>
  <c r="BM20" i="229" s="1"/>
  <c r="BC20" i="229"/>
  <c r="AS20" i="229"/>
  <c r="AH20" i="229"/>
  <c r="O20" i="229" s="1"/>
  <c r="T20" i="229"/>
  <c r="K20" i="229"/>
  <c r="L20" i="229" s="1"/>
  <c r="Q20" i="229" s="1"/>
  <c r="M20" i="229" s="1"/>
  <c r="F20" i="229"/>
  <c r="BH19" i="229"/>
  <c r="BJ19" i="229" s="1"/>
  <c r="BM19" i="229" s="1"/>
  <c r="BC19" i="229"/>
  <c r="AS19" i="229"/>
  <c r="AH19" i="229"/>
  <c r="O19" i="229" s="1"/>
  <c r="T19" i="229"/>
  <c r="K19" i="229"/>
  <c r="L19" i="229" s="1"/>
  <c r="Q19" i="229" s="1"/>
  <c r="M19" i="229" s="1"/>
  <c r="F19" i="229"/>
  <c r="BJ18" i="229"/>
  <c r="BM18" i="229" s="1"/>
  <c r="BH18" i="229"/>
  <c r="BC18" i="229"/>
  <c r="AS18" i="229"/>
  <c r="AT18" i="229" s="1"/>
  <c r="AH18" i="229"/>
  <c r="T18" i="229"/>
  <c r="O18" i="229"/>
  <c r="K18" i="229"/>
  <c r="L18" i="229" s="1"/>
  <c r="F18" i="229"/>
  <c r="BH17" i="229"/>
  <c r="BJ17" i="229" s="1"/>
  <c r="BM17" i="229" s="1"/>
  <c r="BC17" i="229"/>
  <c r="AT17" i="229"/>
  <c r="AS17" i="229"/>
  <c r="AH17" i="229"/>
  <c r="O17" i="229" s="1"/>
  <c r="T17" i="229"/>
  <c r="K17" i="229"/>
  <c r="L17" i="229" s="1"/>
  <c r="F17" i="229"/>
  <c r="BJ16" i="229"/>
  <c r="BM16" i="229" s="1"/>
  <c r="BH16" i="229"/>
  <c r="BC16" i="229"/>
  <c r="AS16" i="229"/>
  <c r="AT16" i="229" s="1"/>
  <c r="AH16" i="229"/>
  <c r="O16" i="229" s="1"/>
  <c r="T16" i="229"/>
  <c r="L16" i="229"/>
  <c r="AU16" i="229" s="1"/>
  <c r="K16" i="229"/>
  <c r="F16" i="229"/>
  <c r="BH15" i="229"/>
  <c r="BJ15" i="229" s="1"/>
  <c r="BM15" i="229" s="1"/>
  <c r="BC15" i="229"/>
  <c r="AS15" i="229"/>
  <c r="AT15" i="229" s="1"/>
  <c r="AH15" i="229"/>
  <c r="O15" i="229" s="1"/>
  <c r="T15" i="229"/>
  <c r="K15" i="229"/>
  <c r="L15" i="229" s="1"/>
  <c r="F15" i="229"/>
  <c r="BH14" i="229"/>
  <c r="BJ14" i="229" s="1"/>
  <c r="BM14" i="229" s="1"/>
  <c r="BC14" i="229"/>
  <c r="AS14" i="229"/>
  <c r="AT14" i="229" s="1"/>
  <c r="AH14" i="229"/>
  <c r="O14" i="229" s="1"/>
  <c r="T14" i="229"/>
  <c r="K14" i="229"/>
  <c r="L14" i="229" s="1"/>
  <c r="AU14" i="229" s="1"/>
  <c r="F14" i="229"/>
  <c r="BH13" i="229"/>
  <c r="BJ13" i="229" s="1"/>
  <c r="BM13" i="229" s="1"/>
  <c r="BC13" i="229"/>
  <c r="AS13" i="229"/>
  <c r="AH13" i="229"/>
  <c r="O13" i="229" s="1"/>
  <c r="T13" i="229"/>
  <c r="K13" i="229"/>
  <c r="L13" i="229" s="1"/>
  <c r="F13" i="229"/>
  <c r="BH12" i="229"/>
  <c r="BJ12" i="229" s="1"/>
  <c r="BM12" i="229" s="1"/>
  <c r="BC12" i="229"/>
  <c r="AS12" i="229"/>
  <c r="AH12" i="229"/>
  <c r="T12" i="229"/>
  <c r="O12" i="229"/>
  <c r="K12" i="229"/>
  <c r="L12" i="229" s="1"/>
  <c r="Q12" i="229" s="1"/>
  <c r="M12" i="229" s="1"/>
  <c r="P12" i="229" s="1"/>
  <c r="F12" i="229"/>
  <c r="BH11" i="229"/>
  <c r="BJ11" i="229" s="1"/>
  <c r="BM11" i="229" s="1"/>
  <c r="BC11" i="229"/>
  <c r="AT11" i="229"/>
  <c r="AS11" i="229"/>
  <c r="AH11" i="229"/>
  <c r="O11" i="229" s="1"/>
  <c r="T11" i="229"/>
  <c r="K11" i="229"/>
  <c r="L11" i="229" s="1"/>
  <c r="F11" i="229"/>
  <c r="BH10" i="229"/>
  <c r="BJ10" i="229" s="1"/>
  <c r="BM10" i="229" s="1"/>
  <c r="BC10" i="229"/>
  <c r="AS10" i="229"/>
  <c r="AT10" i="229" s="1"/>
  <c r="AH10" i="229"/>
  <c r="T10" i="229"/>
  <c r="O10" i="229"/>
  <c r="K10" i="229"/>
  <c r="L10" i="229" s="1"/>
  <c r="F10" i="229"/>
  <c r="BH9" i="229"/>
  <c r="BJ9" i="229" s="1"/>
  <c r="BM9" i="229" s="1"/>
  <c r="BA9" i="229"/>
  <c r="BA23" i="229" s="1"/>
  <c r="AZ9" i="229"/>
  <c r="AZ23" i="229" s="1"/>
  <c r="AY9" i="229"/>
  <c r="AY23" i="229" s="1"/>
  <c r="AS9" i="229"/>
  <c r="AR9" i="229"/>
  <c r="AQ9" i="229"/>
  <c r="AQ23" i="229" s="1"/>
  <c r="AH9" i="229"/>
  <c r="T9" i="229"/>
  <c r="N9" i="229"/>
  <c r="O9" i="229" s="1"/>
  <c r="K9" i="229"/>
  <c r="L9" i="229" s="1"/>
  <c r="F9" i="229"/>
  <c r="BJ8" i="229"/>
  <c r="BM8" i="229" s="1"/>
  <c r="BH8" i="229"/>
  <c r="BC8" i="229"/>
  <c r="AS8" i="229"/>
  <c r="AT8" i="229" s="1"/>
  <c r="AH8" i="229"/>
  <c r="O8" i="229" s="1"/>
  <c r="T8" i="229"/>
  <c r="K8" i="229"/>
  <c r="L8" i="229" s="1"/>
  <c r="F8" i="229"/>
  <c r="BH7" i="229"/>
  <c r="BJ7" i="229" s="1"/>
  <c r="BM7" i="229" s="1"/>
  <c r="BC7" i="229"/>
  <c r="AS7" i="229"/>
  <c r="AT7" i="229" s="1"/>
  <c r="AH7" i="229"/>
  <c r="O7" i="229" s="1"/>
  <c r="T7" i="229"/>
  <c r="K7" i="229"/>
  <c r="L7" i="229" s="1"/>
  <c r="F7" i="229"/>
  <c r="BH6" i="229"/>
  <c r="BH23" i="229" s="1"/>
  <c r="BE14" i="237" s="1"/>
  <c r="BC6" i="229"/>
  <c r="AS6" i="229"/>
  <c r="AS23" i="229" s="1"/>
  <c r="AH6" i="229"/>
  <c r="AH23" i="229" s="1"/>
  <c r="T6" i="229"/>
  <c r="T23" i="229" s="1"/>
  <c r="K6" i="229"/>
  <c r="F6" i="229"/>
  <c r="BO27" i="228"/>
  <c r="BM27" i="228"/>
  <c r="BG27" i="228"/>
  <c r="BE27" i="228"/>
  <c r="BP25" i="228"/>
  <c r="BP27" i="228" s="1"/>
  <c r="BO25" i="228"/>
  <c r="BN25" i="228"/>
  <c r="BN27" i="228" s="1"/>
  <c r="BM25" i="228"/>
  <c r="BG25" i="228"/>
  <c r="BF25" i="228"/>
  <c r="BF27" i="228" s="1"/>
  <c r="BE25" i="228"/>
  <c r="BD25" i="228"/>
  <c r="BD27" i="228" s="1"/>
  <c r="N20" i="228"/>
  <c r="BP15" i="228"/>
  <c r="BO15" i="228"/>
  <c r="BN15" i="228"/>
  <c r="BM15" i="228"/>
  <c r="BI15" i="228"/>
  <c r="BG15" i="228"/>
  <c r="BF15" i="228"/>
  <c r="BE15" i="228"/>
  <c r="BD15" i="228"/>
  <c r="AZ15" i="228"/>
  <c r="AY15" i="228"/>
  <c r="AX15" i="228"/>
  <c r="AX23" i="228" s="1"/>
  <c r="AR15" i="228"/>
  <c r="AR21" i="228" s="1"/>
  <c r="AP15" i="228"/>
  <c r="AO15" i="228"/>
  <c r="AM15" i="228"/>
  <c r="AL15" i="228"/>
  <c r="AG15" i="228"/>
  <c r="AF15" i="228"/>
  <c r="AE15" i="228"/>
  <c r="AD15" i="228"/>
  <c r="AC15" i="228"/>
  <c r="AB15" i="228"/>
  <c r="AA15" i="228"/>
  <c r="Z15" i="228"/>
  <c r="Y15" i="228"/>
  <c r="S15" i="228"/>
  <c r="R15" i="228"/>
  <c r="N15" i="228"/>
  <c r="J15" i="228"/>
  <c r="I15" i="228"/>
  <c r="H15" i="228"/>
  <c r="G15" i="228"/>
  <c r="E15" i="228"/>
  <c r="D15" i="228"/>
  <c r="BL14" i="228"/>
  <c r="BJ14" i="228"/>
  <c r="BH14" i="228"/>
  <c r="BC14" i="228"/>
  <c r="AH14" i="228"/>
  <c r="T14" i="228"/>
  <c r="O14" i="228"/>
  <c r="L14" i="228"/>
  <c r="K14" i="228"/>
  <c r="F14" i="228"/>
  <c r="BH13" i="228"/>
  <c r="BJ13" i="228" s="1"/>
  <c r="BL13" i="228" s="1"/>
  <c r="BC13" i="228"/>
  <c r="AH13" i="228"/>
  <c r="O13" i="228" s="1"/>
  <c r="L13" i="228"/>
  <c r="K13" i="228"/>
  <c r="F13" i="228"/>
  <c r="BH12" i="228"/>
  <c r="BJ12" i="228" s="1"/>
  <c r="BL12" i="228" s="1"/>
  <c r="BC12" i="228"/>
  <c r="AH12" i="228"/>
  <c r="O12" i="228" s="1"/>
  <c r="T12" i="228"/>
  <c r="K12" i="228"/>
  <c r="L12" i="228" s="1"/>
  <c r="F12" i="228"/>
  <c r="BL11" i="228"/>
  <c r="BJ11" i="228"/>
  <c r="BH11" i="228"/>
  <c r="BC11" i="228"/>
  <c r="AH11" i="228"/>
  <c r="T11" i="228"/>
  <c r="O11" i="228"/>
  <c r="L11" i="228"/>
  <c r="K11" i="228"/>
  <c r="F11" i="228"/>
  <c r="BH10" i="228"/>
  <c r="BJ10" i="228" s="1"/>
  <c r="BL10" i="228" s="1"/>
  <c r="BC10" i="228"/>
  <c r="AH10" i="228"/>
  <c r="O10" i="228" s="1"/>
  <c r="T10" i="228"/>
  <c r="K10" i="228"/>
  <c r="L10" i="228" s="1"/>
  <c r="F10" i="228"/>
  <c r="BJ9" i="228"/>
  <c r="BL9" i="228" s="1"/>
  <c r="BH9" i="228"/>
  <c r="BC9" i="228"/>
  <c r="BA9" i="228"/>
  <c r="BA15" i="228" s="1"/>
  <c r="AZ9" i="228"/>
  <c r="AY9" i="228"/>
  <c r="AQ9" i="228"/>
  <c r="AQ15" i="228" s="1"/>
  <c r="AH9" i="228"/>
  <c r="T9" i="228"/>
  <c r="O9" i="228"/>
  <c r="L9" i="228"/>
  <c r="K9" i="228"/>
  <c r="F9" i="228"/>
  <c r="BH8" i="228"/>
  <c r="BH25" i="228" s="1"/>
  <c r="BH27" i="228" s="1"/>
  <c r="BC8" i="228"/>
  <c r="AH8" i="228"/>
  <c r="O8" i="228" s="1"/>
  <c r="T8" i="228"/>
  <c r="K8" i="228"/>
  <c r="L8" i="228" s="1"/>
  <c r="F8" i="228"/>
  <c r="BL7" i="228"/>
  <c r="BJ7" i="228"/>
  <c r="BH7" i="228"/>
  <c r="BC7" i="228"/>
  <c r="AH7" i="228"/>
  <c r="T7" i="228"/>
  <c r="O7" i="228"/>
  <c r="L7" i="228"/>
  <c r="K7" i="228"/>
  <c r="F7" i="228"/>
  <c r="BH6" i="228"/>
  <c r="BH15" i="228" s="1"/>
  <c r="BC6" i="228"/>
  <c r="BC15" i="228" s="1"/>
  <c r="AH6" i="228"/>
  <c r="AH15" i="228" s="1"/>
  <c r="AA6" i="228"/>
  <c r="T6" i="228"/>
  <c r="T15" i="228" s="1"/>
  <c r="K6" i="228"/>
  <c r="L6" i="228" s="1"/>
  <c r="F6" i="228"/>
  <c r="F15" i="228" s="1"/>
  <c r="BP27" i="227"/>
  <c r="BO27" i="227"/>
  <c r="BN27" i="227"/>
  <c r="BF27" i="227"/>
  <c r="BE27" i="227"/>
  <c r="BD27" i="227"/>
  <c r="BP25" i="227"/>
  <c r="BO25" i="227"/>
  <c r="BN25" i="227"/>
  <c r="BL25" i="227"/>
  <c r="BL27" i="227" s="1"/>
  <c r="BG25" i="227"/>
  <c r="BG27" i="227" s="1"/>
  <c r="BF25" i="227"/>
  <c r="BE25" i="227"/>
  <c r="BD25" i="227"/>
  <c r="AW20" i="227"/>
  <c r="AR18" i="227"/>
  <c r="BP15" i="227"/>
  <c r="BO15" i="227"/>
  <c r="BN15" i="227"/>
  <c r="BL15" i="227"/>
  <c r="BI15" i="227"/>
  <c r="BG15" i="227"/>
  <c r="BF15" i="227"/>
  <c r="BE15" i="227"/>
  <c r="BD15" i="227"/>
  <c r="AW15" i="227"/>
  <c r="AR15" i="227"/>
  <c r="AP15" i="227"/>
  <c r="AO15" i="227"/>
  <c r="AN15" i="227"/>
  <c r="AM15" i="227"/>
  <c r="AL15" i="227"/>
  <c r="AG15" i="227"/>
  <c r="AF15" i="227"/>
  <c r="AE15" i="227"/>
  <c r="AD15" i="227"/>
  <c r="AC15" i="227"/>
  <c r="AB15" i="227"/>
  <c r="AA15" i="227"/>
  <c r="Z15" i="227"/>
  <c r="Y15" i="227"/>
  <c r="S15" i="227"/>
  <c r="R15" i="227"/>
  <c r="N15" i="227"/>
  <c r="J15" i="227"/>
  <c r="I15" i="227"/>
  <c r="H15" i="227"/>
  <c r="G15" i="227"/>
  <c r="F15" i="227"/>
  <c r="E15" i="227"/>
  <c r="D15" i="227"/>
  <c r="BH14" i="227"/>
  <c r="BJ14" i="227" s="1"/>
  <c r="BM14" i="227" s="1"/>
  <c r="BC14" i="227"/>
  <c r="AH14" i="227"/>
  <c r="O14" i="227" s="1"/>
  <c r="L14" i="227"/>
  <c r="Q14" i="227" s="1"/>
  <c r="K14" i="227"/>
  <c r="F14" i="227"/>
  <c r="BH13" i="227"/>
  <c r="BJ13" i="227" s="1"/>
  <c r="BM13" i="227" s="1"/>
  <c r="BC13" i="227"/>
  <c r="AH13" i="227"/>
  <c r="O13" i="227" s="1"/>
  <c r="T13" i="227"/>
  <c r="L13" i="227"/>
  <c r="K13" i="227"/>
  <c r="F13" i="227"/>
  <c r="BJ12" i="227"/>
  <c r="BM12" i="227" s="1"/>
  <c r="BH12" i="227"/>
  <c r="BC12" i="227"/>
  <c r="AH12" i="227"/>
  <c r="T12" i="227"/>
  <c r="Q12" i="227"/>
  <c r="U12" i="227" s="1"/>
  <c r="V12" i="227" s="1"/>
  <c r="O12" i="227"/>
  <c r="M12" i="227"/>
  <c r="P12" i="227" s="1"/>
  <c r="L12" i="227"/>
  <c r="K12" i="227"/>
  <c r="F12" i="227"/>
  <c r="BH11" i="227"/>
  <c r="BJ11" i="227" s="1"/>
  <c r="BM11" i="227" s="1"/>
  <c r="BC11" i="227"/>
  <c r="AH11" i="227"/>
  <c r="T11" i="227"/>
  <c r="O11" i="227"/>
  <c r="K11" i="227"/>
  <c r="L11" i="227" s="1"/>
  <c r="F11" i="227"/>
  <c r="BH10" i="227"/>
  <c r="BJ10" i="227" s="1"/>
  <c r="BM10" i="227" s="1"/>
  <c r="BC10" i="227"/>
  <c r="AH10" i="227"/>
  <c r="T10" i="227"/>
  <c r="O10" i="227"/>
  <c r="K10" i="227"/>
  <c r="L10" i="227" s="1"/>
  <c r="F10" i="227"/>
  <c r="BM9" i="227"/>
  <c r="BJ9" i="227"/>
  <c r="BH9" i="227"/>
  <c r="BC9" i="227"/>
  <c r="BA9" i="227"/>
  <c r="BA15" i="227" s="1"/>
  <c r="BA20" i="227" s="1"/>
  <c r="AZ9" i="227"/>
  <c r="AZ15" i="227" s="1"/>
  <c r="AZ20" i="227" s="1"/>
  <c r="AY9" i="227"/>
  <c r="AY15" i="227" s="1"/>
  <c r="AY20" i="227" s="1"/>
  <c r="AQ9" i="227"/>
  <c r="AQ15" i="227" s="1"/>
  <c r="AH9" i="227"/>
  <c r="O9" i="227" s="1"/>
  <c r="V9" i="227"/>
  <c r="W9" i="227" s="1"/>
  <c r="T9" i="227"/>
  <c r="L9" i="227"/>
  <c r="K9" i="227"/>
  <c r="F9" i="227"/>
  <c r="BJ8" i="227"/>
  <c r="BM8" i="227" s="1"/>
  <c r="BH8" i="227"/>
  <c r="BC8" i="227"/>
  <c r="AH8" i="227"/>
  <c r="AH15" i="227" s="1"/>
  <c r="T8" i="227"/>
  <c r="Q8" i="227"/>
  <c r="U8" i="227" s="1"/>
  <c r="V8" i="227" s="1"/>
  <c r="M8" i="227"/>
  <c r="L8" i="227"/>
  <c r="K8" i="227"/>
  <c r="F8" i="227"/>
  <c r="BH7" i="227"/>
  <c r="BJ7" i="227" s="1"/>
  <c r="BM7" i="227" s="1"/>
  <c r="BC7" i="227"/>
  <c r="BC15" i="227" s="1"/>
  <c r="AH7" i="227"/>
  <c r="T7" i="227"/>
  <c r="O7" i="227"/>
  <c r="K7" i="227"/>
  <c r="L7" i="227" s="1"/>
  <c r="F7" i="227"/>
  <c r="BH6" i="227"/>
  <c r="BH15" i="227" s="1"/>
  <c r="BC6" i="227"/>
  <c r="AH6" i="227"/>
  <c r="T6" i="227"/>
  <c r="T15" i="227" s="1"/>
  <c r="O6" i="227"/>
  <c r="K6" i="227"/>
  <c r="K15" i="227" s="1"/>
  <c r="L16" i="227" s="1"/>
  <c r="F6" i="227"/>
  <c r="BP23" i="226"/>
  <c r="BO23" i="226"/>
  <c r="BN23" i="226"/>
  <c r="BM23" i="226"/>
  <c r="BI23" i="226"/>
  <c r="BG23" i="226"/>
  <c r="BF23" i="226"/>
  <c r="BE23" i="226"/>
  <c r="BD23" i="226"/>
  <c r="AY23" i="226"/>
  <c r="AX23" i="226"/>
  <c r="AQ23" i="226"/>
  <c r="AP23" i="226"/>
  <c r="AO23" i="226"/>
  <c r="AN23" i="226"/>
  <c r="AM23" i="226"/>
  <c r="AL23" i="226"/>
  <c r="AK23" i="226"/>
  <c r="AG23" i="226"/>
  <c r="AF23" i="226"/>
  <c r="AE23" i="226"/>
  <c r="AD23" i="226"/>
  <c r="AC23" i="226"/>
  <c r="AB23" i="226"/>
  <c r="AA23" i="226"/>
  <c r="Z23" i="226"/>
  <c r="Y23" i="226"/>
  <c r="X23" i="226"/>
  <c r="S23" i="226"/>
  <c r="R23" i="226"/>
  <c r="N23" i="226"/>
  <c r="K23" i="226"/>
  <c r="L24" i="226" s="1"/>
  <c r="J23" i="226"/>
  <c r="I23" i="226"/>
  <c r="H23" i="226"/>
  <c r="G23" i="226"/>
  <c r="E23" i="226"/>
  <c r="D23" i="226"/>
  <c r="BL22" i="226"/>
  <c r="BJ22" i="226"/>
  <c r="BH22" i="226"/>
  <c r="AH22" i="226"/>
  <c r="O22" i="226" s="1"/>
  <c r="T22" i="226"/>
  <c r="K22" i="226"/>
  <c r="L22" i="226" s="1"/>
  <c r="F22" i="226"/>
  <c r="BL21" i="226"/>
  <c r="BJ21" i="226"/>
  <c r="BH21" i="226"/>
  <c r="AH21" i="226"/>
  <c r="O21" i="226" s="1"/>
  <c r="T21" i="226"/>
  <c r="K21" i="226"/>
  <c r="L21" i="226" s="1"/>
  <c r="F21" i="226"/>
  <c r="BJ20" i="226"/>
  <c r="BL20" i="226" s="1"/>
  <c r="BH20" i="226"/>
  <c r="AH20" i="226"/>
  <c r="O20" i="226" s="1"/>
  <c r="T20" i="226"/>
  <c r="K20" i="226"/>
  <c r="L20" i="226" s="1"/>
  <c r="F20" i="226"/>
  <c r="BJ19" i="226"/>
  <c r="BL19" i="226" s="1"/>
  <c r="BH19" i="226"/>
  <c r="AH19" i="226"/>
  <c r="O19" i="226" s="1"/>
  <c r="T19" i="226"/>
  <c r="K19" i="226"/>
  <c r="L19" i="226" s="1"/>
  <c r="F19" i="226"/>
  <c r="BL18" i="226"/>
  <c r="BJ18" i="226"/>
  <c r="BH18" i="226"/>
  <c r="AH18" i="226"/>
  <c r="O18" i="226" s="1"/>
  <c r="T18" i="226"/>
  <c r="K18" i="226"/>
  <c r="L18" i="226" s="1"/>
  <c r="F18" i="226"/>
  <c r="BL17" i="226"/>
  <c r="BJ17" i="226"/>
  <c r="BH17" i="226"/>
  <c r="AH17" i="226"/>
  <c r="O17" i="226" s="1"/>
  <c r="T17" i="226"/>
  <c r="K17" i="226"/>
  <c r="L17" i="226" s="1"/>
  <c r="F17" i="226"/>
  <c r="BJ16" i="226"/>
  <c r="BL16" i="226" s="1"/>
  <c r="BH16" i="226"/>
  <c r="AH16" i="226"/>
  <c r="O16" i="226" s="1"/>
  <c r="T16" i="226"/>
  <c r="K16" i="226"/>
  <c r="L16" i="226" s="1"/>
  <c r="F16" i="226"/>
  <c r="BJ15" i="226"/>
  <c r="BL15" i="226" s="1"/>
  <c r="BH15" i="226"/>
  <c r="AH15" i="226"/>
  <c r="O15" i="226" s="1"/>
  <c r="T15" i="226"/>
  <c r="K15" i="226"/>
  <c r="L15" i="226" s="1"/>
  <c r="F15" i="226"/>
  <c r="BL14" i="226"/>
  <c r="BJ14" i="226"/>
  <c r="BH14" i="226"/>
  <c r="AH14" i="226"/>
  <c r="O14" i="226" s="1"/>
  <c r="T14" i="226"/>
  <c r="K14" i="226"/>
  <c r="L14" i="226" s="1"/>
  <c r="F14" i="226"/>
  <c r="BL13" i="226"/>
  <c r="BJ13" i="226"/>
  <c r="BH13" i="226"/>
  <c r="AH13" i="226"/>
  <c r="O13" i="226" s="1"/>
  <c r="T13" i="226"/>
  <c r="K13" i="226"/>
  <c r="L13" i="226" s="1"/>
  <c r="F13" i="226"/>
  <c r="BJ12" i="226"/>
  <c r="BL12" i="226" s="1"/>
  <c r="BH12" i="226"/>
  <c r="AH12" i="226"/>
  <c r="O12" i="226" s="1"/>
  <c r="T12" i="226"/>
  <c r="K12" i="226"/>
  <c r="L12" i="226" s="1"/>
  <c r="F12" i="226"/>
  <c r="BJ11" i="226"/>
  <c r="BL11" i="226" s="1"/>
  <c r="BH11" i="226"/>
  <c r="AH11" i="226"/>
  <c r="O11" i="226" s="1"/>
  <c r="T11" i="226"/>
  <c r="K11" i="226"/>
  <c r="L11" i="226" s="1"/>
  <c r="F11" i="226"/>
  <c r="BL10" i="226"/>
  <c r="BJ10" i="226"/>
  <c r="BH10" i="226"/>
  <c r="AH10" i="226"/>
  <c r="O10" i="226" s="1"/>
  <c r="T10" i="226"/>
  <c r="K10" i="226"/>
  <c r="L10" i="226" s="1"/>
  <c r="F10" i="226"/>
  <c r="BL9" i="226"/>
  <c r="BJ9" i="226"/>
  <c r="BH9" i="226"/>
  <c r="BA9" i="226"/>
  <c r="BA23" i="226" s="1"/>
  <c r="AZ9" i="226"/>
  <c r="AZ23" i="226" s="1"/>
  <c r="AY9" i="226"/>
  <c r="AQ9" i="226"/>
  <c r="AH9" i="226"/>
  <c r="O9" i="226" s="1"/>
  <c r="T9" i="226"/>
  <c r="K9" i="226"/>
  <c r="L9" i="226" s="1"/>
  <c r="F9" i="226"/>
  <c r="BL8" i="226"/>
  <c r="BJ8" i="226"/>
  <c r="BH8" i="226"/>
  <c r="AH8" i="226"/>
  <c r="O8" i="226" s="1"/>
  <c r="T8" i="226"/>
  <c r="K8" i="226"/>
  <c r="L8" i="226" s="1"/>
  <c r="F8" i="226"/>
  <c r="BL7" i="226"/>
  <c r="BJ7" i="226"/>
  <c r="BH7" i="226"/>
  <c r="AH7" i="226"/>
  <c r="O7" i="226" s="1"/>
  <c r="T7" i="226"/>
  <c r="K7" i="226"/>
  <c r="L7" i="226" s="1"/>
  <c r="F7" i="226"/>
  <c r="BJ6" i="226"/>
  <c r="BL6" i="226" s="1"/>
  <c r="BH6" i="226"/>
  <c r="BH23" i="226" s="1"/>
  <c r="AH6" i="226"/>
  <c r="AH23" i="226" s="1"/>
  <c r="T6" i="226"/>
  <c r="T23" i="226" s="1"/>
  <c r="K6" i="226"/>
  <c r="L6" i="226" s="1"/>
  <c r="F6" i="226"/>
  <c r="F23" i="226" s="1"/>
  <c r="BQ15" i="225"/>
  <c r="BM18" i="237" s="1"/>
  <c r="BP15" i="225"/>
  <c r="BL18" i="237" s="1"/>
  <c r="BO15" i="225"/>
  <c r="BK18" i="237" s="1"/>
  <c r="BN15" i="225"/>
  <c r="BJ18" i="237" s="1"/>
  <c r="BJ15" i="225"/>
  <c r="BF18" i="237" s="1"/>
  <c r="BH15" i="225"/>
  <c r="BD18" i="237" s="1"/>
  <c r="BG15" i="225"/>
  <c r="BC18" i="237" s="1"/>
  <c r="BF15" i="225"/>
  <c r="BB18" i="237" s="1"/>
  <c r="BA15" i="225"/>
  <c r="AZ15" i="225"/>
  <c r="AY15" i="225"/>
  <c r="AX15" i="225"/>
  <c r="AR15" i="225"/>
  <c r="AP15" i="225"/>
  <c r="AO15" i="225"/>
  <c r="AN15" i="225"/>
  <c r="AM15" i="225"/>
  <c r="AL15" i="225"/>
  <c r="AG15" i="225"/>
  <c r="AF15" i="225"/>
  <c r="AE15" i="225"/>
  <c r="AD15" i="225"/>
  <c r="AB15" i="225"/>
  <c r="AA15" i="225"/>
  <c r="Z15" i="225"/>
  <c r="Y15" i="225"/>
  <c r="S15" i="225"/>
  <c r="R15" i="225"/>
  <c r="J15" i="225"/>
  <c r="I15" i="225"/>
  <c r="H15" i="225"/>
  <c r="G15" i="225"/>
  <c r="E15" i="225"/>
  <c r="D15" i="225"/>
  <c r="BI14" i="225"/>
  <c r="BK14" i="225" s="1"/>
  <c r="BM14" i="225" s="1"/>
  <c r="BC14" i="225"/>
  <c r="AH14" i="225"/>
  <c r="O14" i="225" s="1"/>
  <c r="X14" i="225"/>
  <c r="T14" i="225"/>
  <c r="K14" i="225"/>
  <c r="L14" i="225" s="1"/>
  <c r="F14" i="225"/>
  <c r="BI13" i="225"/>
  <c r="BK13" i="225" s="1"/>
  <c r="BM13" i="225" s="1"/>
  <c r="BC13" i="225"/>
  <c r="AH13" i="225"/>
  <c r="O13" i="225" s="1"/>
  <c r="T13" i="225"/>
  <c r="K13" i="225"/>
  <c r="L13" i="225" s="1"/>
  <c r="F13" i="225"/>
  <c r="BI12" i="225"/>
  <c r="BK12" i="225" s="1"/>
  <c r="BM12" i="225" s="1"/>
  <c r="BC12" i="225"/>
  <c r="AH12" i="225"/>
  <c r="O12" i="225" s="1"/>
  <c r="T12" i="225"/>
  <c r="K12" i="225"/>
  <c r="L12" i="225" s="1"/>
  <c r="Q12" i="225" s="1"/>
  <c r="F12" i="225"/>
  <c r="BI11" i="225"/>
  <c r="BK11" i="225" s="1"/>
  <c r="BM11" i="225" s="1"/>
  <c r="BC11" i="225"/>
  <c r="AH11" i="225"/>
  <c r="O11" i="225" s="1"/>
  <c r="T11" i="225"/>
  <c r="K11" i="225"/>
  <c r="L11" i="225" s="1"/>
  <c r="F11" i="225"/>
  <c r="BE10" i="225"/>
  <c r="BI10" i="225" s="1"/>
  <c r="BC10" i="225"/>
  <c r="AH10" i="225"/>
  <c r="O10" i="225" s="1"/>
  <c r="X10" i="225"/>
  <c r="T10" i="225"/>
  <c r="K10" i="225"/>
  <c r="L10" i="225" s="1"/>
  <c r="F10" i="225"/>
  <c r="BI9" i="225"/>
  <c r="BK9" i="225" s="1"/>
  <c r="BM9" i="225" s="1"/>
  <c r="BD9" i="225"/>
  <c r="BD15" i="225" s="1"/>
  <c r="BC9" i="225"/>
  <c r="AQ9" i="225"/>
  <c r="AH9" i="225"/>
  <c r="X9" i="225"/>
  <c r="T9" i="225"/>
  <c r="N9" i="225"/>
  <c r="K9" i="225"/>
  <c r="L9" i="225" s="1"/>
  <c r="F9" i="225"/>
  <c r="BE8" i="225"/>
  <c r="BC8" i="225"/>
  <c r="AT8" i="225"/>
  <c r="AH8" i="225"/>
  <c r="X8" i="225"/>
  <c r="T8" i="225"/>
  <c r="O8" i="225"/>
  <c r="K8" i="225"/>
  <c r="L8" i="225" s="1"/>
  <c r="F8" i="225"/>
  <c r="BI7" i="225"/>
  <c r="BK7" i="225" s="1"/>
  <c r="BM7" i="225" s="1"/>
  <c r="BC7" i="225"/>
  <c r="AT7" i="225"/>
  <c r="AH7" i="225"/>
  <c r="X7" i="225"/>
  <c r="X15" i="225" s="1"/>
  <c r="T7" i="225"/>
  <c r="N7" i="225"/>
  <c r="K7" i="225"/>
  <c r="L7" i="225" s="1"/>
  <c r="Q7" i="225" s="1"/>
  <c r="F7" i="225"/>
  <c r="BI6" i="225"/>
  <c r="BK6" i="225" s="1"/>
  <c r="BC6" i="225"/>
  <c r="AH6" i="225"/>
  <c r="AH15" i="225" s="1"/>
  <c r="T6" i="225"/>
  <c r="K6" i="225"/>
  <c r="L6" i="225" s="1"/>
  <c r="F6" i="225"/>
  <c r="BC15" i="225" l="1"/>
  <c r="F15" i="225"/>
  <c r="O7" i="225"/>
  <c r="BE15" i="225"/>
  <c r="BA18" i="237" s="1"/>
  <c r="BA19" i="237" s="1"/>
  <c r="T15" i="225"/>
  <c r="BI8" i="225"/>
  <c r="BK8" i="225" s="1"/>
  <c r="BM8" i="225" s="1"/>
  <c r="P20" i="229"/>
  <c r="K23" i="229"/>
  <c r="N23" i="229"/>
  <c r="L6" i="229"/>
  <c r="BB12" i="229"/>
  <c r="BB19" i="229"/>
  <c r="AT19" i="229"/>
  <c r="AU19" i="229" s="1"/>
  <c r="L24" i="229"/>
  <c r="F23" i="229"/>
  <c r="BJ6" i="229"/>
  <c r="BM6" i="229" s="1"/>
  <c r="Q7" i="231"/>
  <c r="M7" i="231" s="1"/>
  <c r="P7" i="231" s="1"/>
  <c r="L18" i="231"/>
  <c r="BJ6" i="231"/>
  <c r="BM6" i="231" s="1"/>
  <c r="L6" i="231"/>
  <c r="Q6" i="231" s="1"/>
  <c r="AH17" i="231"/>
  <c r="X11" i="231"/>
  <c r="F17" i="231"/>
  <c r="N17" i="231"/>
  <c r="AU17" i="232"/>
  <c r="Q17" i="232"/>
  <c r="M17" i="232" s="1"/>
  <c r="AU16" i="232"/>
  <c r="Q16" i="232"/>
  <c r="M16" i="232" s="1"/>
  <c r="K27" i="232"/>
  <c r="L28" i="232" s="1"/>
  <c r="Q28" i="232" s="1"/>
  <c r="T27" i="232"/>
  <c r="O27" i="232"/>
  <c r="AU19" i="232"/>
  <c r="AT26" i="232"/>
  <c r="BJ6" i="233"/>
  <c r="AH6" i="233"/>
  <c r="AF9" i="233"/>
  <c r="L10" i="233"/>
  <c r="AU16" i="234"/>
  <c r="Q16" i="234"/>
  <c r="M16" i="234" s="1"/>
  <c r="O14" i="234"/>
  <c r="BC39" i="234"/>
  <c r="AT48" i="234"/>
  <c r="BC52" i="234"/>
  <c r="BF19" i="237"/>
  <c r="AU12" i="234"/>
  <c r="M30" i="234"/>
  <c r="M43" i="234"/>
  <c r="U43" i="234" s="1"/>
  <c r="AX56" i="234"/>
  <c r="AT13" i="234"/>
  <c r="AU13" i="234" s="1"/>
  <c r="AT51" i="234"/>
  <c r="AT10" i="234"/>
  <c r="AU10" i="234" s="1"/>
  <c r="N61" i="234"/>
  <c r="U12" i="234"/>
  <c r="O35" i="234"/>
  <c r="AT19" i="234"/>
  <c r="AT37" i="234"/>
  <c r="AU37" i="234" s="1"/>
  <c r="F61" i="234"/>
  <c r="AR61" i="234"/>
  <c r="AT24" i="234"/>
  <c r="AT31" i="234"/>
  <c r="AU31" i="234" s="1"/>
  <c r="AV56" i="234"/>
  <c r="BK56" i="234" s="1"/>
  <c r="O57" i="234"/>
  <c r="B19" i="237"/>
  <c r="J19" i="237"/>
  <c r="R19" i="237"/>
  <c r="AH19" i="237"/>
  <c r="AP19" i="237"/>
  <c r="AX19" i="237"/>
  <c r="E19" i="237"/>
  <c r="M19" i="237"/>
  <c r="U19" i="237"/>
  <c r="AC19" i="237"/>
  <c r="AK19" i="237"/>
  <c r="AS19" i="237"/>
  <c r="AZ19" i="237"/>
  <c r="F19" i="237"/>
  <c r="N19" i="237"/>
  <c r="V19" i="237"/>
  <c r="AD19" i="237"/>
  <c r="AL19" i="237"/>
  <c r="AT19" i="237"/>
  <c r="H19" i="237"/>
  <c r="P19" i="237"/>
  <c r="X19" i="237"/>
  <c r="AF19" i="237"/>
  <c r="AN19" i="237"/>
  <c r="AV19" i="237"/>
  <c r="AG19" i="237"/>
  <c r="AO19" i="237"/>
  <c r="AW19" i="237"/>
  <c r="C19" i="237"/>
  <c r="K19" i="237"/>
  <c r="S19" i="237"/>
  <c r="AA19" i="237"/>
  <c r="AI19" i="237"/>
  <c r="AQ19" i="237"/>
  <c r="AY19" i="237"/>
  <c r="D19" i="237"/>
  <c r="L19" i="237"/>
  <c r="T19" i="237"/>
  <c r="AB19" i="237"/>
  <c r="AJ19" i="237"/>
  <c r="AR19" i="237"/>
  <c r="I19" i="237"/>
  <c r="Q19" i="237"/>
  <c r="Y19" i="237"/>
  <c r="G19" i="237"/>
  <c r="O19" i="237"/>
  <c r="W19" i="237"/>
  <c r="AE19" i="237"/>
  <c r="AM19" i="237"/>
  <c r="AU19" i="237"/>
  <c r="Q42" i="236"/>
  <c r="M42" i="236"/>
  <c r="AO11" i="236"/>
  <c r="AJ11" i="236"/>
  <c r="BB14" i="236"/>
  <c r="AW14" i="236"/>
  <c r="AV14" i="236"/>
  <c r="BK14" i="236" s="1"/>
  <c r="AT14" i="236"/>
  <c r="AU14" i="236" s="1"/>
  <c r="P7" i="236"/>
  <c r="M7" i="236"/>
  <c r="AS7" i="236" s="1"/>
  <c r="Q7" i="236"/>
  <c r="U7" i="236" s="1"/>
  <c r="V7" i="236" s="1"/>
  <c r="AI22" i="236"/>
  <c r="AJ22" i="236" s="1"/>
  <c r="W22" i="236"/>
  <c r="Q24" i="236"/>
  <c r="M24" i="236"/>
  <c r="AS24" i="236" s="1"/>
  <c r="M6" i="236"/>
  <c r="P6" i="236" s="1"/>
  <c r="M10" i="236"/>
  <c r="Q14" i="236"/>
  <c r="U14" i="236" s="1"/>
  <c r="AS22" i="236"/>
  <c r="AS23" i="236"/>
  <c r="AP23" i="236"/>
  <c r="U27" i="236"/>
  <c r="V27" i="236" s="1"/>
  <c r="Q34" i="236"/>
  <c r="U34" i="236" s="1"/>
  <c r="V34" i="236" s="1"/>
  <c r="M34" i="236"/>
  <c r="Q71" i="236"/>
  <c r="M71" i="236"/>
  <c r="AS71" i="236" s="1"/>
  <c r="AJ54" i="236"/>
  <c r="AO54" i="236"/>
  <c r="AI13" i="236"/>
  <c r="AJ13" i="236" s="1"/>
  <c r="Q21" i="236"/>
  <c r="U21" i="236" s="1"/>
  <c r="V21" i="236" s="1"/>
  <c r="P21" i="236"/>
  <c r="M21" i="236"/>
  <c r="AP27" i="236"/>
  <c r="AS27" i="236"/>
  <c r="Q36" i="236"/>
  <c r="U36" i="236" s="1"/>
  <c r="V36" i="236" s="1"/>
  <c r="P36" i="236"/>
  <c r="M36" i="236"/>
  <c r="Q39" i="236"/>
  <c r="AS15" i="236"/>
  <c r="AP15" i="236"/>
  <c r="O6" i="236"/>
  <c r="Q10" i="236"/>
  <c r="U10" i="236" s="1"/>
  <c r="V10" i="236" s="1"/>
  <c r="M18" i="236"/>
  <c r="U18" i="236" s="1"/>
  <c r="V18" i="236" s="1"/>
  <c r="O23" i="236"/>
  <c r="P27" i="236"/>
  <c r="M39" i="236"/>
  <c r="AI45" i="236"/>
  <c r="AJ45" i="236" s="1"/>
  <c r="W45" i="236"/>
  <c r="P70" i="236"/>
  <c r="Q70" i="236"/>
  <c r="M70" i="236"/>
  <c r="AS70" i="236" s="1"/>
  <c r="AW19" i="236"/>
  <c r="AV19" i="236"/>
  <c r="BK19" i="236" s="1"/>
  <c r="AT19" i="236"/>
  <c r="AU19" i="236" s="1"/>
  <c r="AS13" i="236"/>
  <c r="P14" i="236"/>
  <c r="P18" i="236"/>
  <c r="Q20" i="236"/>
  <c r="U20" i="236" s="1"/>
  <c r="V20" i="236" s="1"/>
  <c r="P20" i="236"/>
  <c r="P23" i="236"/>
  <c r="AS30" i="236"/>
  <c r="P8" i="236"/>
  <c r="M8" i="236"/>
  <c r="U8" i="236" s="1"/>
  <c r="V8" i="236" s="1"/>
  <c r="Q9" i="236"/>
  <c r="Q12" i="236"/>
  <c r="M12" i="236"/>
  <c r="P12" i="236" s="1"/>
  <c r="Q17" i="236"/>
  <c r="U17" i="236" s="1"/>
  <c r="V17" i="236" s="1"/>
  <c r="P17" i="236"/>
  <c r="M17" i="236"/>
  <c r="AS20" i="236"/>
  <c r="AP20" i="236"/>
  <c r="U29" i="236"/>
  <c r="V29" i="236" s="1"/>
  <c r="Q33" i="236"/>
  <c r="U33" i="236" s="1"/>
  <c r="V33" i="236" s="1"/>
  <c r="M33" i="236"/>
  <c r="Q43" i="236"/>
  <c r="U43" i="236" s="1"/>
  <c r="M43" i="236"/>
  <c r="AS43" i="236" s="1"/>
  <c r="P44" i="236"/>
  <c r="Q44" i="236"/>
  <c r="U44" i="236" s="1"/>
  <c r="V44" i="236" s="1"/>
  <c r="M44" i="236"/>
  <c r="AS44" i="236" s="1"/>
  <c r="AI49" i="236"/>
  <c r="AJ49" i="236" s="1"/>
  <c r="W49" i="236"/>
  <c r="Q52" i="236"/>
  <c r="M52" i="236"/>
  <c r="AS16" i="236"/>
  <c r="AP16" i="236"/>
  <c r="M9" i="236"/>
  <c r="Q11" i="236"/>
  <c r="P11" i="236"/>
  <c r="Q28" i="236"/>
  <c r="U28" i="236" s="1"/>
  <c r="V28" i="236" s="1"/>
  <c r="P28" i="236"/>
  <c r="O33" i="236"/>
  <c r="Q38" i="236"/>
  <c r="U38" i="236" s="1"/>
  <c r="V38" i="236" s="1"/>
  <c r="P38" i="236"/>
  <c r="U75" i="236"/>
  <c r="V75" i="236" s="1"/>
  <c r="L87" i="236"/>
  <c r="Q6" i="236"/>
  <c r="K87" i="236"/>
  <c r="L88" i="236" s="1"/>
  <c r="Q88" i="236" s="1"/>
  <c r="AS11" i="236"/>
  <c r="AP11" i="236"/>
  <c r="Q15" i="236"/>
  <c r="U15" i="236" s="1"/>
  <c r="V15" i="236" s="1"/>
  <c r="Q16" i="236"/>
  <c r="U16" i="236" s="1"/>
  <c r="V16" i="236" s="1"/>
  <c r="P16" i="236"/>
  <c r="Q19" i="236"/>
  <c r="U19" i="236" s="1"/>
  <c r="V19" i="236" s="1"/>
  <c r="BB19" i="236"/>
  <c r="AS28" i="236"/>
  <c r="AP28" i="236"/>
  <c r="Q30" i="236"/>
  <c r="U30" i="236" s="1"/>
  <c r="V30" i="236" s="1"/>
  <c r="P30" i="236"/>
  <c r="AP38" i="236"/>
  <c r="AS38" i="236"/>
  <c r="U40" i="236"/>
  <c r="V40" i="236" s="1"/>
  <c r="BB50" i="236"/>
  <c r="AW50" i="236"/>
  <c r="AV50" i="236"/>
  <c r="BK50" i="236" s="1"/>
  <c r="AT50" i="236"/>
  <c r="AU50" i="236" s="1"/>
  <c r="AW65" i="236"/>
  <c r="BB65" i="236"/>
  <c r="AV65" i="236"/>
  <c r="BK65" i="236" s="1"/>
  <c r="AT65" i="236"/>
  <c r="AV86" i="236"/>
  <c r="BK86" i="236" s="1"/>
  <c r="AT86" i="236"/>
  <c r="AU86" i="236" s="1"/>
  <c r="BB86" i="236"/>
  <c r="AW86" i="236"/>
  <c r="Q23" i="236"/>
  <c r="U23" i="236" s="1"/>
  <c r="V23" i="236" s="1"/>
  <c r="M35" i="236"/>
  <c r="P35" i="236" s="1"/>
  <c r="V43" i="236"/>
  <c r="O43" i="236"/>
  <c r="AR87" i="236"/>
  <c r="BC45" i="236"/>
  <c r="BC87" i="236" s="1"/>
  <c r="Q47" i="236"/>
  <c r="U47" i="236" s="1"/>
  <c r="V47" i="236" s="1"/>
  <c r="AV54" i="236"/>
  <c r="BK54" i="236" s="1"/>
  <c r="AT54" i="236"/>
  <c r="BB54" i="236"/>
  <c r="AW54" i="236"/>
  <c r="AP67" i="236"/>
  <c r="AS67" i="236"/>
  <c r="AS74" i="236"/>
  <c r="M79" i="236"/>
  <c r="AS79" i="236" s="1"/>
  <c r="Q79" i="236"/>
  <c r="O83" i="236"/>
  <c r="BH87" i="236"/>
  <c r="U25" i="236"/>
  <c r="V25" i="236" s="1"/>
  <c r="M31" i="236"/>
  <c r="Q32" i="236"/>
  <c r="AS45" i="236"/>
  <c r="BB45" i="236" s="1"/>
  <c r="M46" i="236"/>
  <c r="Q46" i="236"/>
  <c r="M47" i="236"/>
  <c r="BB49" i="236"/>
  <c r="AW49" i="236"/>
  <c r="AV49" i="236"/>
  <c r="BK49" i="236" s="1"/>
  <c r="U77" i="236"/>
  <c r="V77" i="236" s="1"/>
  <c r="P78" i="236"/>
  <c r="Q78" i="236"/>
  <c r="U78" i="236" s="1"/>
  <c r="V78" i="236" s="1"/>
  <c r="M78" i="236"/>
  <c r="Q84" i="236"/>
  <c r="M84" i="236"/>
  <c r="AS84" i="236" s="1"/>
  <c r="F87" i="236"/>
  <c r="T87" i="236"/>
  <c r="BJ6" i="236"/>
  <c r="M25" i="236"/>
  <c r="P31" i="236"/>
  <c r="M32" i="236"/>
  <c r="AP40" i="236"/>
  <c r="M53" i="236"/>
  <c r="M62" i="236"/>
  <c r="Q62" i="236"/>
  <c r="U62" i="236" s="1"/>
  <c r="V62" i="236" s="1"/>
  <c r="AS85" i="236"/>
  <c r="AP85" i="236"/>
  <c r="U31" i="236"/>
  <c r="V31" i="236" s="1"/>
  <c r="AS40" i="236"/>
  <c r="U41" i="236"/>
  <c r="V41" i="236" s="1"/>
  <c r="P48" i="236"/>
  <c r="Q48" i="236"/>
  <c r="Q55" i="236"/>
  <c r="AI58" i="236"/>
  <c r="AJ58" i="236" s="1"/>
  <c r="W58" i="236"/>
  <c r="AS59" i="236"/>
  <c r="M26" i="236"/>
  <c r="U26" i="236" s="1"/>
  <c r="V26" i="236" s="1"/>
  <c r="M29" i="236"/>
  <c r="P29" i="236" s="1"/>
  <c r="M37" i="236"/>
  <c r="M41" i="236"/>
  <c r="M48" i="236"/>
  <c r="M55" i="236"/>
  <c r="BB72" i="236"/>
  <c r="AV72" i="236"/>
  <c r="BK72" i="236" s="1"/>
  <c r="AT72" i="236"/>
  <c r="AV51" i="236"/>
  <c r="BK51" i="236" s="1"/>
  <c r="AT51" i="236"/>
  <c r="AU51" i="236" s="1"/>
  <c r="AP51" i="236"/>
  <c r="AU54" i="236"/>
  <c r="AU72" i="236"/>
  <c r="U50" i="236"/>
  <c r="V50" i="236" s="1"/>
  <c r="BB51" i="236"/>
  <c r="Q56" i="236"/>
  <c r="U56" i="236" s="1"/>
  <c r="V56" i="236" s="1"/>
  <c r="P56" i="236"/>
  <c r="M56" i="236"/>
  <c r="BB68" i="236"/>
  <c r="AV68" i="236"/>
  <c r="BK68" i="236" s="1"/>
  <c r="AW68" i="236"/>
  <c r="AT68" i="236"/>
  <c r="AU68" i="236" s="1"/>
  <c r="U72" i="236"/>
  <c r="V72" i="236" s="1"/>
  <c r="Q73" i="236"/>
  <c r="P73" i="236"/>
  <c r="M73" i="236"/>
  <c r="AS73" i="236" s="1"/>
  <c r="U76" i="236"/>
  <c r="V76" i="236" s="1"/>
  <c r="M80" i="236"/>
  <c r="AS80" i="236" s="1"/>
  <c r="P49" i="236"/>
  <c r="AW57" i="236"/>
  <c r="BB57" i="236"/>
  <c r="AV57" i="236"/>
  <c r="BK57" i="236" s="1"/>
  <c r="AT57" i="236"/>
  <c r="AU57" i="236" s="1"/>
  <c r="Q80" i="236"/>
  <c r="Q83" i="236"/>
  <c r="U83" i="236" s="1"/>
  <c r="V83" i="236" s="1"/>
  <c r="M83" i="236"/>
  <c r="AS83" i="236" s="1"/>
  <c r="U59" i="236"/>
  <c r="V65" i="236"/>
  <c r="P68" i="236"/>
  <c r="P72" i="236"/>
  <c r="U74" i="236"/>
  <c r="AV82" i="236"/>
  <c r="BK82" i="236" s="1"/>
  <c r="P85" i="236"/>
  <c r="O59" i="236"/>
  <c r="P59" i="236" s="1"/>
  <c r="V68" i="236"/>
  <c r="O74" i="236"/>
  <c r="P74" i="236" s="1"/>
  <c r="M81" i="236"/>
  <c r="AS81" i="236" s="1"/>
  <c r="U82" i="236"/>
  <c r="V82" i="236" s="1"/>
  <c r="P57" i="236"/>
  <c r="M60" i="236"/>
  <c r="AS60" i="236" s="1"/>
  <c r="M63" i="236"/>
  <c r="AS63" i="236" s="1"/>
  <c r="M66" i="236"/>
  <c r="M75" i="236"/>
  <c r="AS75" i="236" s="1"/>
  <c r="Q57" i="236"/>
  <c r="U57" i="236" s="1"/>
  <c r="V57" i="236" s="1"/>
  <c r="AU58" i="236"/>
  <c r="P61" i="236"/>
  <c r="M61" i="236"/>
  <c r="Q68" i="236"/>
  <c r="U68" i="236" s="1"/>
  <c r="AU69" i="236"/>
  <c r="BC69" i="236"/>
  <c r="M76" i="236"/>
  <c r="P81" i="236"/>
  <c r="Q86" i="236"/>
  <c r="U86" i="236" s="1"/>
  <c r="V86" i="236" s="1"/>
  <c r="P86" i="236"/>
  <c r="V59" i="236"/>
  <c r="Q63" i="236"/>
  <c r="U64" i="236"/>
  <c r="V64" i="236" s="1"/>
  <c r="AS64" i="236"/>
  <c r="P66" i="236"/>
  <c r="O71" i="236"/>
  <c r="V74" i="236"/>
  <c r="O76" i="236"/>
  <c r="BC79" i="236"/>
  <c r="AW79" i="236"/>
  <c r="Q81" i="236"/>
  <c r="U81" i="236" s="1"/>
  <c r="V81" i="236" s="1"/>
  <c r="AU82" i="236"/>
  <c r="P82" i="236"/>
  <c r="P65" i="236"/>
  <c r="AU65" i="236"/>
  <c r="U67" i="236"/>
  <c r="V67" i="236" s="1"/>
  <c r="V69" i="236"/>
  <c r="M77" i="236"/>
  <c r="P77" i="236" s="1"/>
  <c r="U85" i="236"/>
  <c r="V85" i="236" s="1"/>
  <c r="M32" i="235"/>
  <c r="AS32" i="235" s="1"/>
  <c r="U32" i="235"/>
  <c r="V32" i="235" s="1"/>
  <c r="M13" i="235"/>
  <c r="AS13" i="235" s="1"/>
  <c r="BB13" i="235" s="1"/>
  <c r="AT24" i="235"/>
  <c r="U34" i="235"/>
  <c r="V34" i="235" s="1"/>
  <c r="M34" i="235"/>
  <c r="Q18" i="235"/>
  <c r="AV12" i="235"/>
  <c r="BK12" i="235" s="1"/>
  <c r="Q9" i="235"/>
  <c r="Q15" i="235"/>
  <c r="U11" i="235"/>
  <c r="V11" i="235" s="1"/>
  <c r="M11" i="235"/>
  <c r="Q10" i="235"/>
  <c r="M24" i="235"/>
  <c r="AS24" i="235" s="1"/>
  <c r="BB24" i="235" s="1"/>
  <c r="U24" i="235"/>
  <c r="V24" i="235" s="1"/>
  <c r="Q7" i="235"/>
  <c r="Q8" i="235"/>
  <c r="M12" i="235"/>
  <c r="AS12" i="235" s="1"/>
  <c r="U12" i="235"/>
  <c r="V12" i="235" s="1"/>
  <c r="AS27" i="235"/>
  <c r="BB27" i="235" s="1"/>
  <c r="Q33" i="235"/>
  <c r="Q40" i="235"/>
  <c r="Q51" i="235"/>
  <c r="Q57" i="235"/>
  <c r="AI61" i="235"/>
  <c r="AJ61" i="235" s="1"/>
  <c r="W61" i="235"/>
  <c r="O6" i="235"/>
  <c r="BJ8" i="235"/>
  <c r="BL8" i="235" s="1"/>
  <c r="AS17" i="235"/>
  <c r="AW38" i="235"/>
  <c r="AV38" i="235"/>
  <c r="BK38" i="235" s="1"/>
  <c r="AT38" i="235"/>
  <c r="AU38" i="235" s="1"/>
  <c r="BB38" i="235"/>
  <c r="AW41" i="235"/>
  <c r="Q52" i="235"/>
  <c r="BC16" i="235"/>
  <c r="Q23" i="235"/>
  <c r="Q6" i="235"/>
  <c r="BH108" i="235"/>
  <c r="BH145" i="235" s="1"/>
  <c r="P11" i="235"/>
  <c r="BC18" i="235"/>
  <c r="AW22" i="235"/>
  <c r="AV22" i="235"/>
  <c r="BK22" i="235" s="1"/>
  <c r="BC22" i="235"/>
  <c r="Q29" i="235"/>
  <c r="Q46" i="235"/>
  <c r="M54" i="235"/>
  <c r="U59" i="235"/>
  <c r="V59" i="235" s="1"/>
  <c r="M59" i="235"/>
  <c r="T108" i="235"/>
  <c r="BH143" i="235"/>
  <c r="BC9" i="235"/>
  <c r="P12" i="235"/>
  <c r="U17" i="235"/>
  <c r="V17" i="235" s="1"/>
  <c r="AU24" i="235"/>
  <c r="M25" i="235"/>
  <c r="P25" i="235" s="1"/>
  <c r="U25" i="235"/>
  <c r="V25" i="235" s="1"/>
  <c r="Q35" i="235"/>
  <c r="Q37" i="235"/>
  <c r="BC41" i="235"/>
  <c r="Q43" i="235"/>
  <c r="M64" i="235"/>
  <c r="AS64" i="235" s="1"/>
  <c r="BB64" i="235" s="1"/>
  <c r="U16" i="235"/>
  <c r="V16" i="235" s="1"/>
  <c r="P32" i="235"/>
  <c r="F108" i="235"/>
  <c r="AW12" i="235"/>
  <c r="Q14" i="235"/>
  <c r="M19" i="235"/>
  <c r="BC21" i="235"/>
  <c r="U27" i="235"/>
  <c r="V27" i="235" s="1"/>
  <c r="O29" i="235"/>
  <c r="Q31" i="235"/>
  <c r="O37" i="235"/>
  <c r="U38" i="235"/>
  <c r="V38" i="235" s="1"/>
  <c r="Q56" i="235"/>
  <c r="Q71" i="235"/>
  <c r="K108" i="235"/>
  <c r="BL6" i="235"/>
  <c r="M16" i="235"/>
  <c r="Q26" i="235"/>
  <c r="Q30" i="235"/>
  <c r="O39" i="235"/>
  <c r="AS61" i="235"/>
  <c r="AP61" i="235"/>
  <c r="Q21" i="235"/>
  <c r="AV27" i="235"/>
  <c r="BK27" i="235" s="1"/>
  <c r="AT27" i="235"/>
  <c r="AU27" i="235" s="1"/>
  <c r="BC27" i="235"/>
  <c r="Q36" i="235"/>
  <c r="P17" i="235"/>
  <c r="BC24" i="235"/>
  <c r="AW24" i="235"/>
  <c r="AV24" i="235"/>
  <c r="BK24" i="235" s="1"/>
  <c r="L108" i="235"/>
  <c r="Q20" i="235"/>
  <c r="M22" i="235"/>
  <c r="AS22" i="235" s="1"/>
  <c r="BB22" i="235" s="1"/>
  <c r="U22" i="235"/>
  <c r="V22" i="235" s="1"/>
  <c r="P27" i="235"/>
  <c r="Q28" i="235"/>
  <c r="BC34" i="235"/>
  <c r="M41" i="235"/>
  <c r="AS41" i="235" s="1"/>
  <c r="BB41" i="235" s="1"/>
  <c r="Q42" i="235"/>
  <c r="P22" i="235"/>
  <c r="M50" i="235"/>
  <c r="U50" i="235" s="1"/>
  <c r="V50" i="235" s="1"/>
  <c r="BC63" i="235"/>
  <c r="M70" i="235"/>
  <c r="AS70" i="235" s="1"/>
  <c r="BB70" i="235" s="1"/>
  <c r="U70" i="235"/>
  <c r="BC73" i="235"/>
  <c r="AI76" i="235"/>
  <c r="AJ76" i="235" s="1"/>
  <c r="W76" i="235"/>
  <c r="BC99" i="235"/>
  <c r="BC105" i="235"/>
  <c r="AY129" i="235"/>
  <c r="M94" i="235"/>
  <c r="AS94" i="235" s="1"/>
  <c r="U94" i="235"/>
  <c r="V94" i="235" s="1"/>
  <c r="Q96" i="235"/>
  <c r="Q99" i="235"/>
  <c r="M99" i="235" s="1"/>
  <c r="P99" i="235"/>
  <c r="BB107" i="235"/>
  <c r="AW107" i="235"/>
  <c r="AV107" i="235"/>
  <c r="BK107" i="235" s="1"/>
  <c r="AT107" i="235"/>
  <c r="AU107" i="235" s="1"/>
  <c r="BC44" i="235"/>
  <c r="O46" i="235"/>
  <c r="M47" i="235"/>
  <c r="Q55" i="235"/>
  <c r="Q60" i="235"/>
  <c r="Q67" i="235"/>
  <c r="AI93" i="235"/>
  <c r="AJ93" i="235" s="1"/>
  <c r="W93" i="235"/>
  <c r="BP108" i="235"/>
  <c r="P38" i="235"/>
  <c r="Q39" i="235"/>
  <c r="Q63" i="235"/>
  <c r="Q69" i="235"/>
  <c r="Q44" i="235"/>
  <c r="BC45" i="235"/>
  <c r="Q49" i="235"/>
  <c r="BC57" i="235"/>
  <c r="Q75" i="235"/>
  <c r="Q77" i="235"/>
  <c r="M78" i="235"/>
  <c r="BH142" i="235"/>
  <c r="P24" i="235"/>
  <c r="M45" i="235"/>
  <c r="U45" i="235"/>
  <c r="V45" i="235" s="1"/>
  <c r="Q48" i="235"/>
  <c r="BC50" i="235"/>
  <c r="Q53" i="235"/>
  <c r="Q65" i="235"/>
  <c r="M74" i="235"/>
  <c r="U74" i="235"/>
  <c r="V74" i="235" s="1"/>
  <c r="O77" i="235"/>
  <c r="Q58" i="235"/>
  <c r="BC76" i="235"/>
  <c r="AI103" i="235"/>
  <c r="AJ103" i="235" s="1"/>
  <c r="W103" i="235"/>
  <c r="BC43" i="235"/>
  <c r="BC48" i="235"/>
  <c r="BC52" i="235"/>
  <c r="U62" i="235"/>
  <c r="V62" i="235" s="1"/>
  <c r="AV64" i="235"/>
  <c r="BK64" i="235" s="1"/>
  <c r="BC64" i="235"/>
  <c r="Q83" i="235"/>
  <c r="M83" i="235" s="1"/>
  <c r="P83" i="235" s="1"/>
  <c r="L117" i="235"/>
  <c r="L127" i="235" s="1"/>
  <c r="L129" i="235" s="1"/>
  <c r="K127" i="235"/>
  <c r="AV61" i="235"/>
  <c r="BK61" i="235" s="1"/>
  <c r="AS62" i="235"/>
  <c r="BB62" i="235" s="1"/>
  <c r="AP62" i="235"/>
  <c r="AW70" i="235"/>
  <c r="AV70" i="235"/>
  <c r="BK70" i="235" s="1"/>
  <c r="AT70" i="235"/>
  <c r="BC70" i="235"/>
  <c r="Q73" i="235"/>
  <c r="W82" i="235"/>
  <c r="AI82" i="235"/>
  <c r="AJ82" i="235" s="1"/>
  <c r="P61" i="235"/>
  <c r="Q66" i="235"/>
  <c r="AU70" i="235"/>
  <c r="P70" i="235"/>
  <c r="P74" i="235"/>
  <c r="P76" i="235"/>
  <c r="O84" i="235"/>
  <c r="F91" i="235"/>
  <c r="P94" i="235"/>
  <c r="F97" i="235"/>
  <c r="P97" i="235"/>
  <c r="O127" i="235"/>
  <c r="V70" i="235"/>
  <c r="Q72" i="235"/>
  <c r="Q76" i="235"/>
  <c r="M76" i="235" s="1"/>
  <c r="AI81" i="235"/>
  <c r="O81" i="235"/>
  <c r="Q87" i="235"/>
  <c r="AS97" i="235"/>
  <c r="BB97" i="235" s="1"/>
  <c r="AP97" i="235"/>
  <c r="Q100" i="235"/>
  <c r="M100" i="235" s="1"/>
  <c r="AS100" i="235" s="1"/>
  <c r="P100" i="235"/>
  <c r="P64" i="235"/>
  <c r="BC77" i="235"/>
  <c r="BC83" i="235"/>
  <c r="U88" i="235"/>
  <c r="V88" i="235" s="1"/>
  <c r="P89" i="235"/>
  <c r="M91" i="235"/>
  <c r="U91" i="235"/>
  <c r="V91" i="235" s="1"/>
  <c r="AO97" i="235"/>
  <c r="AR97" i="235" s="1"/>
  <c r="Q112" i="235"/>
  <c r="BE129" i="235"/>
  <c r="BB8" i="237" s="1"/>
  <c r="BB19" i="237" s="1"/>
  <c r="P62" i="235"/>
  <c r="Q68" i="235"/>
  <c r="AV82" i="235"/>
  <c r="BK82" i="235" s="1"/>
  <c r="AT82" i="235"/>
  <c r="Q85" i="235"/>
  <c r="AO86" i="235"/>
  <c r="AR86" i="235" s="1"/>
  <c r="AJ86" i="235"/>
  <c r="BC88" i="235"/>
  <c r="AW88" i="235"/>
  <c r="AV88" i="235"/>
  <c r="BK88" i="235" s="1"/>
  <c r="AI89" i="235"/>
  <c r="AJ89" i="235" s="1"/>
  <c r="W89" i="235"/>
  <c r="Q92" i="235"/>
  <c r="U92" i="235" s="1"/>
  <c r="V92" i="235" s="1"/>
  <c r="P92" i="235"/>
  <c r="M92" i="235"/>
  <c r="AS92" i="235" s="1"/>
  <c r="Q101" i="235"/>
  <c r="M101" i="235" s="1"/>
  <c r="P101" i="235"/>
  <c r="AO102" i="235"/>
  <c r="AR102" i="235" s="1"/>
  <c r="AJ102" i="235"/>
  <c r="BB125" i="235"/>
  <c r="AZ125" i="235"/>
  <c r="BC80" i="235"/>
  <c r="AU82" i="235"/>
  <c r="O83" i="235"/>
  <c r="AT88" i="235"/>
  <c r="Q90" i="235"/>
  <c r="O92" i="235"/>
  <c r="Q106" i="235"/>
  <c r="M106" i="235" s="1"/>
  <c r="AS106" i="235" s="1"/>
  <c r="AA127" i="235"/>
  <c r="AA129" i="235" s="1"/>
  <c r="M121" i="235"/>
  <c r="Q79" i="235"/>
  <c r="P81" i="235"/>
  <c r="AW82" i="235"/>
  <c r="P88" i="235"/>
  <c r="AU88" i="235"/>
  <c r="AV98" i="235"/>
  <c r="BK98" i="235" s="1"/>
  <c r="BC98" i="235"/>
  <c r="BB115" i="235"/>
  <c r="AZ115" i="235"/>
  <c r="AT115" i="235"/>
  <c r="BB126" i="235"/>
  <c r="BG129" i="235"/>
  <c r="BD8" i="237" s="1"/>
  <c r="BD19" i="237" s="1"/>
  <c r="Q80" i="235"/>
  <c r="P82" i="235"/>
  <c r="BC82" i="235"/>
  <c r="M86" i="235"/>
  <c r="AS86" i="235" s="1"/>
  <c r="BB86" i="235" s="1"/>
  <c r="AV89" i="235"/>
  <c r="BK89" i="235" s="1"/>
  <c r="BC94" i="235"/>
  <c r="AW94" i="235"/>
  <c r="AV94" i="235"/>
  <c r="BK94" i="235" s="1"/>
  <c r="M95" i="235"/>
  <c r="U95" i="235"/>
  <c r="V95" i="235" s="1"/>
  <c r="AV125" i="235"/>
  <c r="BK125" i="235" s="1"/>
  <c r="BP129" i="235"/>
  <c r="BM8" i="237" s="1"/>
  <c r="BM19" i="237" s="1"/>
  <c r="H24" i="40" s="1"/>
  <c r="M81" i="235"/>
  <c r="AS81" i="235" s="1"/>
  <c r="BB81" i="235" s="1"/>
  <c r="AI83" i="235"/>
  <c r="AK83" i="235" s="1"/>
  <c r="X83" i="235"/>
  <c r="X108" i="235" s="1"/>
  <c r="X129" i="235" s="1"/>
  <c r="Q84" i="235"/>
  <c r="BB89" i="235"/>
  <c r="AW89" i="235"/>
  <c r="AT89" i="235"/>
  <c r="AU89" i="235" s="1"/>
  <c r="Q93" i="235"/>
  <c r="M93" i="235" s="1"/>
  <c r="P93" i="235" s="1"/>
  <c r="Q98" i="235"/>
  <c r="M98" i="235" s="1"/>
  <c r="AS98" i="235" s="1"/>
  <c r="BB98" i="235" s="1"/>
  <c r="Q102" i="235"/>
  <c r="M102" i="235" s="1"/>
  <c r="P102" i="235" s="1"/>
  <c r="AW104" i="235"/>
  <c r="AV104" i="235"/>
  <c r="BK104" i="235" s="1"/>
  <c r="AT104" i="235"/>
  <c r="AU104" i="235" s="1"/>
  <c r="M113" i="235"/>
  <c r="AU115" i="235"/>
  <c r="N129" i="235"/>
  <c r="AS119" i="235"/>
  <c r="AP119" i="235"/>
  <c r="Q122" i="235"/>
  <c r="P125" i="235"/>
  <c r="AU125" i="235"/>
  <c r="J129" i="235"/>
  <c r="BA129" i="235"/>
  <c r="Q114" i="235"/>
  <c r="AI115" i="235"/>
  <c r="AM115" i="235" s="1"/>
  <c r="Z115" i="235"/>
  <c r="M118" i="235"/>
  <c r="U118" i="235"/>
  <c r="V118" i="235" s="1"/>
  <c r="AI119" i="235"/>
  <c r="AM119" i="235" s="1"/>
  <c r="Z119" i="235"/>
  <c r="W119" i="235" s="1"/>
  <c r="Q120" i="235"/>
  <c r="U126" i="235"/>
  <c r="V126" i="235" s="1"/>
  <c r="BM129" i="235"/>
  <c r="BJ8" i="237" s="1"/>
  <c r="W97" i="235"/>
  <c r="BC103" i="235"/>
  <c r="AK105" i="235"/>
  <c r="T127" i="235"/>
  <c r="T129" i="235" s="1"/>
  <c r="BH127" i="235"/>
  <c r="BH129" i="235" s="1"/>
  <c r="BE8" i="237" s="1"/>
  <c r="BJ112" i="235"/>
  <c r="BC113" i="235"/>
  <c r="Q124" i="235"/>
  <c r="D129" i="235"/>
  <c r="R129" i="235"/>
  <c r="AI101" i="235"/>
  <c r="W101" i="235"/>
  <c r="Q116" i="235"/>
  <c r="U125" i="235"/>
  <c r="V125" i="235" s="1"/>
  <c r="S129" i="235"/>
  <c r="AH127" i="235"/>
  <c r="AH129" i="235" s="1"/>
  <c r="AV119" i="235"/>
  <c r="BK119" i="235" s="1"/>
  <c r="BC119" i="235"/>
  <c r="Q123" i="235"/>
  <c r="AI100" i="235"/>
  <c r="AJ100" i="235" s="1"/>
  <c r="Q105" i="235"/>
  <c r="M105" i="235" s="1"/>
  <c r="F127" i="235"/>
  <c r="F129" i="235" s="1"/>
  <c r="AV115" i="235"/>
  <c r="BK115" i="235" s="1"/>
  <c r="P119" i="235"/>
  <c r="Q103" i="235"/>
  <c r="M103" i="235" s="1"/>
  <c r="P104" i="235"/>
  <c r="O105" i="235"/>
  <c r="BF129" i="235"/>
  <c r="BC8" i="237" s="1"/>
  <c r="BC19" i="237" s="1"/>
  <c r="BN129" i="235"/>
  <c r="BK8" i="237" s="1"/>
  <c r="BK19" i="237" s="1"/>
  <c r="F24" i="40" s="1"/>
  <c r="AT125" i="235"/>
  <c r="AX16" i="234"/>
  <c r="AV16" i="234"/>
  <c r="BK16" i="234" s="1"/>
  <c r="BB16" i="234"/>
  <c r="BB7" i="234"/>
  <c r="M11" i="234"/>
  <c r="BB11" i="234" s="1"/>
  <c r="Q14" i="234"/>
  <c r="AU23" i="234"/>
  <c r="Q23" i="234"/>
  <c r="Q24" i="234"/>
  <c r="AU24" i="234"/>
  <c r="U6" i="234"/>
  <c r="Q20" i="234"/>
  <c r="AU20" i="234"/>
  <c r="AU19" i="234"/>
  <c r="Q19" i="234"/>
  <c r="P7" i="234"/>
  <c r="AU8" i="234"/>
  <c r="Q8" i="234"/>
  <c r="AU32" i="234"/>
  <c r="Q32" i="234"/>
  <c r="Q29" i="234"/>
  <c r="AU29" i="234"/>
  <c r="M15" i="234"/>
  <c r="AX17" i="234"/>
  <c r="AV17" i="234"/>
  <c r="BK17" i="234" s="1"/>
  <c r="BB17" i="234"/>
  <c r="Q18" i="234"/>
  <c r="AU18" i="234"/>
  <c r="U7" i="234"/>
  <c r="V7" i="234" s="1"/>
  <c r="AH12" i="234"/>
  <c r="O12" i="234" s="1"/>
  <c r="P12" i="234" s="1"/>
  <c r="AV15" i="234"/>
  <c r="BK15" i="234" s="1"/>
  <c r="AU45" i="234"/>
  <c r="Q45" i="234"/>
  <c r="O56" i="234"/>
  <c r="AV12" i="234"/>
  <c r="BK12" i="234" s="1"/>
  <c r="P30" i="234"/>
  <c r="BB30" i="234"/>
  <c r="AX30" i="234"/>
  <c r="Q40" i="234"/>
  <c r="T61" i="234"/>
  <c r="BJ7" i="234"/>
  <c r="BM7" i="234" s="1"/>
  <c r="AX12" i="234"/>
  <c r="V33" i="234"/>
  <c r="AT7" i="234"/>
  <c r="M22" i="234"/>
  <c r="U22" i="234" s="1"/>
  <c r="V22" i="234" s="1"/>
  <c r="U30" i="234"/>
  <c r="V30" i="234" s="1"/>
  <c r="K61" i="234"/>
  <c r="L62" i="234" s="1"/>
  <c r="AV6" i="234"/>
  <c r="AU7" i="234"/>
  <c r="BJ9" i="234"/>
  <c r="BM9" i="234" s="1"/>
  <c r="Q10" i="234"/>
  <c r="P11" i="234"/>
  <c r="AV11" i="234"/>
  <c r="BK11" i="234" s="1"/>
  <c r="P15" i="234"/>
  <c r="AT15" i="234"/>
  <c r="AU15" i="234" s="1"/>
  <c r="BC16" i="234"/>
  <c r="P17" i="234"/>
  <c r="AU25" i="234"/>
  <c r="M26" i="234"/>
  <c r="U26" i="234"/>
  <c r="V26" i="234" s="1"/>
  <c r="M34" i="234"/>
  <c r="U34" i="234" s="1"/>
  <c r="V34" i="234" s="1"/>
  <c r="J61" i="234"/>
  <c r="BC36" i="234"/>
  <c r="AT36" i="234"/>
  <c r="AT41" i="234"/>
  <c r="AU41" i="234" s="1"/>
  <c r="BC41" i="234"/>
  <c r="AU48" i="234"/>
  <c r="Q48" i="234"/>
  <c r="L61" i="234"/>
  <c r="Q9" i="234"/>
  <c r="Q61" i="234" s="1"/>
  <c r="BC30" i="234"/>
  <c r="AV30" i="234"/>
  <c r="BK30" i="234" s="1"/>
  <c r="Q35" i="234"/>
  <c r="BB37" i="234"/>
  <c r="P37" i="234"/>
  <c r="AU39" i="234"/>
  <c r="Q39" i="234"/>
  <c r="BB41" i="234"/>
  <c r="Q38" i="234"/>
  <c r="AT6" i="234"/>
  <c r="Q42" i="234"/>
  <c r="AU42" i="234"/>
  <c r="M55" i="234"/>
  <c r="AX55" i="234" s="1"/>
  <c r="AX6" i="234"/>
  <c r="AH61" i="234"/>
  <c r="BB6" i="234"/>
  <c r="AX7" i="234"/>
  <c r="AU11" i="234"/>
  <c r="U17" i="234"/>
  <c r="V17" i="234" s="1"/>
  <c r="AU17" i="234"/>
  <c r="M25" i="234"/>
  <c r="U25" i="234" s="1"/>
  <c r="V25" i="234" s="1"/>
  <c r="AT30" i="234"/>
  <c r="AU30" i="234" s="1"/>
  <c r="BB31" i="234"/>
  <c r="AX31" i="234"/>
  <c r="AX43" i="234"/>
  <c r="BB43" i="234"/>
  <c r="AT44" i="234"/>
  <c r="BC44" i="234"/>
  <c r="Q46" i="234"/>
  <c r="M54" i="234"/>
  <c r="AX54" i="234" s="1"/>
  <c r="U54" i="234"/>
  <c r="V54" i="234" s="1"/>
  <c r="Q13" i="234"/>
  <c r="U16" i="234"/>
  <c r="V16" i="234" s="1"/>
  <c r="AV26" i="234"/>
  <c r="BK26" i="234" s="1"/>
  <c r="AT26" i="234"/>
  <c r="AU26" i="234" s="1"/>
  <c r="BM6" i="234"/>
  <c r="Q21" i="234"/>
  <c r="BC33" i="234"/>
  <c r="AV33" i="234"/>
  <c r="BK33" i="234" s="1"/>
  <c r="AT33" i="234"/>
  <c r="O6" i="234"/>
  <c r="AX11" i="234"/>
  <c r="AT14" i="234"/>
  <c r="AU14" i="234" s="1"/>
  <c r="BC15" i="234"/>
  <c r="AI19" i="234"/>
  <c r="AK19" i="234" s="1"/>
  <c r="AV31" i="234"/>
  <c r="BK31" i="234" s="1"/>
  <c r="AT34" i="234"/>
  <c r="AU34" i="234" s="1"/>
  <c r="BC34" i="234"/>
  <c r="AU35" i="234"/>
  <c r="AU36" i="234"/>
  <c r="Q36" i="234"/>
  <c r="U37" i="234"/>
  <c r="V37" i="234" s="1"/>
  <c r="AT58" i="234"/>
  <c r="M41" i="234"/>
  <c r="P41" i="234" s="1"/>
  <c r="AV59" i="234"/>
  <c r="BK59" i="234" s="1"/>
  <c r="AT59" i="234"/>
  <c r="AU59" i="234" s="1"/>
  <c r="AT21" i="234"/>
  <c r="AU21" i="234" s="1"/>
  <c r="BC25" i="234"/>
  <c r="AV7" i="234"/>
  <c r="BK7" i="234" s="1"/>
  <c r="BH61" i="234"/>
  <c r="BE9" i="237" s="1"/>
  <c r="BC7" i="234"/>
  <c r="V12" i="234"/>
  <c r="P16" i="234"/>
  <c r="BC21" i="234"/>
  <c r="AV22" i="234"/>
  <c r="BK22" i="234" s="1"/>
  <c r="AT22" i="234"/>
  <c r="AU22" i="234" s="1"/>
  <c r="AU27" i="234"/>
  <c r="Q27" i="234"/>
  <c r="AU28" i="234"/>
  <c r="Q28" i="234"/>
  <c r="U31" i="234"/>
  <c r="V31" i="234" s="1"/>
  <c r="M50" i="234"/>
  <c r="P50" i="234" s="1"/>
  <c r="BC28" i="234"/>
  <c r="AX33" i="234"/>
  <c r="AT38" i="234"/>
  <c r="AU38" i="234" s="1"/>
  <c r="BC43" i="234"/>
  <c r="AV43" i="234"/>
  <c r="BK43" i="234" s="1"/>
  <c r="AT43" i="234"/>
  <c r="AU43" i="234" s="1"/>
  <c r="AU44" i="234"/>
  <c r="Q44" i="234"/>
  <c r="BC55" i="234"/>
  <c r="AV55" i="234"/>
  <c r="BK55" i="234" s="1"/>
  <c r="AT55" i="234"/>
  <c r="AU55" i="234" s="1"/>
  <c r="Q62" i="234"/>
  <c r="BC20" i="234"/>
  <c r="P31" i="234"/>
  <c r="O43" i="234"/>
  <c r="P43" i="234" s="1"/>
  <c r="V43" i="234"/>
  <c r="AU51" i="234"/>
  <c r="Q53" i="234"/>
  <c r="BB55" i="234"/>
  <c r="M59" i="234"/>
  <c r="U59" i="234"/>
  <c r="V59" i="234" s="1"/>
  <c r="AU52" i="234"/>
  <c r="Q52" i="234"/>
  <c r="AU58" i="234"/>
  <c r="Q60" i="234"/>
  <c r="AU33" i="234"/>
  <c r="BB33" i="234"/>
  <c r="AT40" i="234"/>
  <c r="AU40" i="234" s="1"/>
  <c r="BC46" i="234"/>
  <c r="AT46" i="234"/>
  <c r="AU46" i="234" s="1"/>
  <c r="AU50" i="234"/>
  <c r="AX51" i="234"/>
  <c r="BB54" i="234"/>
  <c r="P55" i="234"/>
  <c r="AV37" i="234"/>
  <c r="BK37" i="234" s="1"/>
  <c r="Q49" i="234"/>
  <c r="M51" i="234"/>
  <c r="AV51" i="234" s="1"/>
  <c r="BK51" i="234" s="1"/>
  <c r="Q57" i="234"/>
  <c r="M58" i="234"/>
  <c r="BB58" i="234" s="1"/>
  <c r="Q47" i="234"/>
  <c r="AV54" i="234"/>
  <c r="BK54" i="234" s="1"/>
  <c r="P56" i="234"/>
  <c r="BC56" i="234"/>
  <c r="BC60" i="234"/>
  <c r="BC53" i="234"/>
  <c r="BJ60" i="234"/>
  <c r="BM60" i="234" s="1"/>
  <c r="U56" i="234"/>
  <c r="V56" i="234" s="1"/>
  <c r="AT56" i="234"/>
  <c r="AU56" i="234" s="1"/>
  <c r="AT60" i="234"/>
  <c r="AU60" i="234" s="1"/>
  <c r="P54" i="234"/>
  <c r="BJ9" i="233"/>
  <c r="BG10" i="237" s="1"/>
  <c r="M6" i="233"/>
  <c r="U6" i="233"/>
  <c r="AU7" i="233"/>
  <c r="Q7" i="233"/>
  <c r="AU8" i="233"/>
  <c r="Q8" i="233"/>
  <c r="O6" i="233"/>
  <c r="O9" i="233" s="1"/>
  <c r="AH9" i="233"/>
  <c r="AT6" i="233"/>
  <c r="AT9" i="233" s="1"/>
  <c r="BJ8" i="233"/>
  <c r="BM8" i="233" s="1"/>
  <c r="AU6" i="233"/>
  <c r="AU9" i="233" s="1"/>
  <c r="BM6" i="233"/>
  <c r="BM9" i="233" s="1"/>
  <c r="BJ10" i="237" s="1"/>
  <c r="AV6" i="233"/>
  <c r="AX6" i="233"/>
  <c r="L9" i="233"/>
  <c r="BB6" i="233"/>
  <c r="Q13" i="232"/>
  <c r="Q14" i="232"/>
  <c r="BB16" i="232"/>
  <c r="P16" i="232"/>
  <c r="AX16" i="232"/>
  <c r="AV16" i="232"/>
  <c r="BK16" i="232" s="1"/>
  <c r="BJ27" i="232"/>
  <c r="BG11" i="237" s="1"/>
  <c r="BM6" i="232"/>
  <c r="BM27" i="232" s="1"/>
  <c r="BJ11" i="237" s="1"/>
  <c r="Q12" i="232"/>
  <c r="BB17" i="232"/>
  <c r="AX17" i="232"/>
  <c r="P17" i="232"/>
  <c r="AV17" i="232"/>
  <c r="BK17" i="232" s="1"/>
  <c r="BB18" i="232"/>
  <c r="AX18" i="232"/>
  <c r="AV18" i="232"/>
  <c r="BK18" i="232" s="1"/>
  <c r="P18" i="232"/>
  <c r="Q8" i="232"/>
  <c r="Q10" i="232"/>
  <c r="AU25" i="232"/>
  <c r="Q25" i="232"/>
  <c r="Q26" i="232"/>
  <c r="AU26" i="232"/>
  <c r="Q6" i="232"/>
  <c r="Q15" i="232"/>
  <c r="P19" i="232"/>
  <c r="BB19" i="232"/>
  <c r="AX19" i="232"/>
  <c r="AV19" i="232"/>
  <c r="BK19" i="232" s="1"/>
  <c r="AU20" i="232"/>
  <c r="Q20" i="232"/>
  <c r="Q21" i="232"/>
  <c r="AU21" i="232"/>
  <c r="Q22" i="232"/>
  <c r="AU24" i="232"/>
  <c r="Q24" i="232"/>
  <c r="AS7" i="232"/>
  <c r="P7" i="232"/>
  <c r="AT22" i="232"/>
  <c r="AU22" i="232" s="1"/>
  <c r="Q23" i="232"/>
  <c r="BH27" i="232"/>
  <c r="BE11" i="237" s="1"/>
  <c r="U16" i="232"/>
  <c r="V16" i="232" s="1"/>
  <c r="U17" i="232"/>
  <c r="V17" i="232" s="1"/>
  <c r="U18" i="232"/>
  <c r="V18" i="232" s="1"/>
  <c r="U7" i="232"/>
  <c r="V7" i="232" s="1"/>
  <c r="Q11" i="232"/>
  <c r="X19" i="232"/>
  <c r="L9" i="232"/>
  <c r="L27" i="232" s="1"/>
  <c r="AH27" i="232"/>
  <c r="AU11" i="231"/>
  <c r="Q11" i="231"/>
  <c r="M11" i="231" s="1"/>
  <c r="P11" i="231" s="1"/>
  <c r="AU15" i="231"/>
  <c r="Q15" i="231"/>
  <c r="AU10" i="231"/>
  <c r="Q10" i="231"/>
  <c r="Q16" i="231"/>
  <c r="AU16" i="231"/>
  <c r="AU14" i="231"/>
  <c r="Q14" i="231"/>
  <c r="AU8" i="231"/>
  <c r="Q8" i="231"/>
  <c r="M6" i="231"/>
  <c r="Q18" i="231"/>
  <c r="BB7" i="231"/>
  <c r="AU12" i="231"/>
  <c r="AU13" i="231"/>
  <c r="Q13" i="231"/>
  <c r="AT7" i="231"/>
  <c r="AU7" i="231" s="1"/>
  <c r="O10" i="231"/>
  <c r="O17" i="231" s="1"/>
  <c r="BJ11" i="231"/>
  <c r="BM11" i="231" s="1"/>
  <c r="U7" i="231"/>
  <c r="Q9" i="231"/>
  <c r="Q12" i="231"/>
  <c r="M12" i="231" s="1"/>
  <c r="P12" i="231" s="1"/>
  <c r="L17" i="231"/>
  <c r="AV7" i="231"/>
  <c r="BK7" i="231" s="1"/>
  <c r="AX7" i="231"/>
  <c r="X12" i="231"/>
  <c r="Q12" i="230"/>
  <c r="AV15" i="230"/>
  <c r="BK15" i="230" s="1"/>
  <c r="AT15" i="230"/>
  <c r="AU15" i="230" s="1"/>
  <c r="BB15" i="230"/>
  <c r="AX15" i="230"/>
  <c r="Q18" i="230"/>
  <c r="BB45" i="230"/>
  <c r="AV45" i="230"/>
  <c r="BK45" i="230" s="1"/>
  <c r="AT45" i="230"/>
  <c r="AU45" i="230" s="1"/>
  <c r="AX45" i="230"/>
  <c r="Q17" i="230"/>
  <c r="O34" i="230"/>
  <c r="U43" i="230"/>
  <c r="V43" i="230" s="1"/>
  <c r="AS43" i="230"/>
  <c r="P43" i="230"/>
  <c r="W45" i="230"/>
  <c r="AI45" i="230"/>
  <c r="AK45" i="230" s="1"/>
  <c r="M11" i="230"/>
  <c r="U11" i="230"/>
  <c r="V11" i="230" s="1"/>
  <c r="AI29" i="230"/>
  <c r="AK29" i="230" s="1"/>
  <c r="X29" i="230"/>
  <c r="Q16" i="230"/>
  <c r="AS32" i="230"/>
  <c r="U32" i="230"/>
  <c r="Q9" i="230"/>
  <c r="AV23" i="230"/>
  <c r="BK23" i="230" s="1"/>
  <c r="AT23" i="230"/>
  <c r="AU23" i="230" s="1"/>
  <c r="BB23" i="230"/>
  <c r="AX23" i="230"/>
  <c r="AT35" i="230"/>
  <c r="AU35" i="230" s="1"/>
  <c r="BB35" i="230"/>
  <c r="AX35" i="230"/>
  <c r="AV35" i="230"/>
  <c r="BK35" i="230" s="1"/>
  <c r="U36" i="230"/>
  <c r="V36" i="230" s="1"/>
  <c r="Q41" i="230"/>
  <c r="Q31" i="230"/>
  <c r="AI23" i="230"/>
  <c r="AK23" i="230" s="1"/>
  <c r="X23" i="230"/>
  <c r="P38" i="230"/>
  <c r="AS38" i="230"/>
  <c r="Q8" i="230"/>
  <c r="Q14" i="230"/>
  <c r="AS25" i="230"/>
  <c r="U25" i="230"/>
  <c r="V25" i="230" s="1"/>
  <c r="P25" i="230"/>
  <c r="Q44" i="230"/>
  <c r="T46" i="230"/>
  <c r="Q7" i="230"/>
  <c r="BC9" i="230"/>
  <c r="BJ12" i="230"/>
  <c r="BM12" i="230" s="1"/>
  <c r="O13" i="230"/>
  <c r="P15" i="230"/>
  <c r="AP15" i="230"/>
  <c r="O17" i="230"/>
  <c r="M19" i="230"/>
  <c r="AS19" i="230" s="1"/>
  <c r="U21" i="230"/>
  <c r="V21" i="230" s="1"/>
  <c r="M36" i="230"/>
  <c r="AS36" i="230" s="1"/>
  <c r="Q39" i="230"/>
  <c r="P19" i="230"/>
  <c r="Q26" i="230"/>
  <c r="AX29" i="230"/>
  <c r="Q30" i="230"/>
  <c r="U35" i="230"/>
  <c r="V35" i="230" s="1"/>
  <c r="P36" i="230"/>
  <c r="BD46" i="230"/>
  <c r="Q13" i="230"/>
  <c r="Q34" i="230"/>
  <c r="O40" i="230"/>
  <c r="Q47" i="230"/>
  <c r="L6" i="230"/>
  <c r="Q10" i="230"/>
  <c r="N46" i="230"/>
  <c r="Q33" i="230"/>
  <c r="Q37" i="230"/>
  <c r="Q40" i="230"/>
  <c r="Q42" i="230"/>
  <c r="F46" i="230"/>
  <c r="AH46" i="230"/>
  <c r="O11" i="230"/>
  <c r="O46" i="230" s="1"/>
  <c r="BJ19" i="230"/>
  <c r="BM19" i="230" s="1"/>
  <c r="Q20" i="230"/>
  <c r="P32" i="230"/>
  <c r="BB21" i="230"/>
  <c r="AV21" i="230"/>
  <c r="BK21" i="230" s="1"/>
  <c r="AT21" i="230"/>
  <c r="AU21" i="230" s="1"/>
  <c r="Q22" i="230"/>
  <c r="Q24" i="230"/>
  <c r="Q28" i="230"/>
  <c r="P35" i="230"/>
  <c r="AV29" i="230"/>
  <c r="BK29" i="230" s="1"/>
  <c r="AT29" i="230"/>
  <c r="AU29" i="230" s="1"/>
  <c r="BC46" i="230"/>
  <c r="BH46" i="230"/>
  <c r="BE13" i="237" s="1"/>
  <c r="V15" i="230"/>
  <c r="P23" i="230"/>
  <c r="Q27" i="230"/>
  <c r="P29" i="230"/>
  <c r="V32" i="230"/>
  <c r="U38" i="230"/>
  <c r="V38" i="230" s="1"/>
  <c r="AU7" i="229"/>
  <c r="Q7" i="229"/>
  <c r="Q10" i="229"/>
  <c r="AU10" i="229"/>
  <c r="Q8" i="229"/>
  <c r="AU8" i="229"/>
  <c r="AU17" i="229"/>
  <c r="Q17" i="229"/>
  <c r="Q21" i="229"/>
  <c r="Q11" i="229"/>
  <c r="AU11" i="229"/>
  <c r="Q18" i="229"/>
  <c r="AU18" i="229"/>
  <c r="Q24" i="229"/>
  <c r="BB20" i="229"/>
  <c r="BJ23" i="229"/>
  <c r="BG14" i="237" s="1"/>
  <c r="Q13" i="229"/>
  <c r="Q9" i="229"/>
  <c r="BM23" i="229"/>
  <c r="BJ14" i="237" s="1"/>
  <c r="AU15" i="229"/>
  <c r="Q15" i="229"/>
  <c r="P19" i="229"/>
  <c r="U19" i="229"/>
  <c r="V19" i="229" s="1"/>
  <c r="O6" i="229"/>
  <c r="O23" i="229" s="1"/>
  <c r="U12" i="229"/>
  <c r="V12" i="229" s="1"/>
  <c r="AT13" i="229"/>
  <c r="AU13" i="229" s="1"/>
  <c r="Q14" i="229"/>
  <c r="AV19" i="229"/>
  <c r="BK19" i="229" s="1"/>
  <c r="U20" i="229"/>
  <c r="V20" i="229" s="1"/>
  <c r="AT21" i="229"/>
  <c r="AU21" i="229" s="1"/>
  <c r="Q22" i="229"/>
  <c r="AT12" i="229"/>
  <c r="AU12" i="229" s="1"/>
  <c r="AT9" i="229"/>
  <c r="AU9" i="229" s="1"/>
  <c r="BC9" i="229"/>
  <c r="BC23" i="229" s="1"/>
  <c r="AV12" i="229"/>
  <c r="BK12" i="229" s="1"/>
  <c r="AX19" i="229"/>
  <c r="AV20" i="229"/>
  <c r="BK20" i="229" s="1"/>
  <c r="AT22" i="229"/>
  <c r="AU22" i="229" s="1"/>
  <c r="Q6" i="229"/>
  <c r="AX12" i="229"/>
  <c r="Q16" i="229"/>
  <c r="AX20" i="229"/>
  <c r="AT20" i="229"/>
  <c r="AU20" i="229" s="1"/>
  <c r="AT6" i="229"/>
  <c r="L23" i="229"/>
  <c r="AR23" i="229"/>
  <c r="L15" i="228"/>
  <c r="Q16" i="228" s="1"/>
  <c r="Q6" i="228"/>
  <c r="Q8" i="228"/>
  <c r="Q12" i="228"/>
  <c r="Q10" i="228"/>
  <c r="BJ6" i="228"/>
  <c r="Q7" i="228"/>
  <c r="Q11" i="228"/>
  <c r="BJ8" i="228"/>
  <c r="BL8" i="228" s="1"/>
  <c r="Q13" i="228"/>
  <c r="Q14" i="228"/>
  <c r="Q9" i="228"/>
  <c r="O6" i="228"/>
  <c r="O15" i="228" s="1"/>
  <c r="K15" i="228"/>
  <c r="Q10" i="227"/>
  <c r="Q16" i="227"/>
  <c r="Q7" i="227"/>
  <c r="M14" i="227"/>
  <c r="AS14" i="227" s="1"/>
  <c r="BM25" i="227"/>
  <c r="BM27" i="227" s="1"/>
  <c r="AI12" i="227"/>
  <c r="AK12" i="227" s="1"/>
  <c r="W12" i="227"/>
  <c r="X8" i="227"/>
  <c r="AI8" i="227"/>
  <c r="AK8" i="227" s="1"/>
  <c r="Q11" i="227"/>
  <c r="BH25" i="227"/>
  <c r="BH27" i="227" s="1"/>
  <c r="AS12" i="227"/>
  <c r="Q9" i="227"/>
  <c r="M9" i="227" s="1"/>
  <c r="AS9" i="227" s="1"/>
  <c r="Q13" i="227"/>
  <c r="BJ6" i="227"/>
  <c r="O8" i="227"/>
  <c r="O15" i="227" s="1"/>
  <c r="P9" i="227"/>
  <c r="L6" i="227"/>
  <c r="AI9" i="227"/>
  <c r="AJ9" i="227" s="1"/>
  <c r="AJ15" i="227" s="1"/>
  <c r="AS8" i="227"/>
  <c r="Q19" i="226"/>
  <c r="Q18" i="226"/>
  <c r="Q13" i="226"/>
  <c r="BL23" i="226"/>
  <c r="Q9" i="226"/>
  <c r="Q12" i="226"/>
  <c r="Q17" i="226"/>
  <c r="Q8" i="226"/>
  <c r="Q22" i="226"/>
  <c r="Q24" i="226"/>
  <c r="Q14" i="226"/>
  <c r="Q7" i="226"/>
  <c r="Q11" i="226"/>
  <c r="Q16" i="226"/>
  <c r="Q21" i="226"/>
  <c r="Q10" i="226"/>
  <c r="L23" i="226"/>
  <c r="Q6" i="226"/>
  <c r="Q15" i="226"/>
  <c r="Q20" i="226"/>
  <c r="BJ23" i="226"/>
  <c r="O6" i="226"/>
  <c r="O23" i="226" s="1"/>
  <c r="M12" i="225"/>
  <c r="Q9" i="225"/>
  <c r="BM6" i="225"/>
  <c r="BM15" i="225" s="1"/>
  <c r="BI18" i="237" s="1"/>
  <c r="BK15" i="225"/>
  <c r="BG18" i="237" s="1"/>
  <c r="Q10" i="225"/>
  <c r="Q14" i="225"/>
  <c r="M7" i="225"/>
  <c r="Q6" i="225"/>
  <c r="L15" i="225"/>
  <c r="Q11" i="225"/>
  <c r="Q8" i="225"/>
  <c r="K15" i="225"/>
  <c r="L16" i="225" s="1"/>
  <c r="Q16" i="225" s="1"/>
  <c r="BI15" i="225"/>
  <c r="BE18" i="237" s="1"/>
  <c r="AU7" i="225"/>
  <c r="O9" i="225"/>
  <c r="BK10" i="225"/>
  <c r="BM10" i="225" s="1"/>
  <c r="AU8" i="225"/>
  <c r="O6" i="225"/>
  <c r="N15" i="225"/>
  <c r="Q13" i="225"/>
  <c r="BE19" i="237" l="1"/>
  <c r="Q17" i="231"/>
  <c r="Q9" i="233"/>
  <c r="U51" i="234"/>
  <c r="V51" i="234" s="1"/>
  <c r="U55" i="234"/>
  <c r="V55" i="234" s="1"/>
  <c r="BC61" i="234"/>
  <c r="AV34" i="234"/>
  <c r="BK34" i="234" s="1"/>
  <c r="W8" i="236"/>
  <c r="AI8" i="236"/>
  <c r="AI83" i="236"/>
  <c r="W83" i="236"/>
  <c r="W23" i="236"/>
  <c r="AI23" i="236"/>
  <c r="AJ23" i="236" s="1"/>
  <c r="AI67" i="236"/>
  <c r="AJ67" i="236" s="1"/>
  <c r="W67" i="236"/>
  <c r="AI26" i="236"/>
  <c r="AJ26" i="236" s="1"/>
  <c r="W26" i="236"/>
  <c r="AI18" i="236"/>
  <c r="AJ18" i="236" s="1"/>
  <c r="W18" i="236"/>
  <c r="AI33" i="236"/>
  <c r="AJ33" i="236" s="1"/>
  <c r="W33" i="236"/>
  <c r="AI10" i="236"/>
  <c r="W10" i="236"/>
  <c r="W57" i="236"/>
  <c r="AI57" i="236"/>
  <c r="AJ57" i="236" s="1"/>
  <c r="AI68" i="236"/>
  <c r="AJ68" i="236" s="1"/>
  <c r="W68" i="236"/>
  <c r="U80" i="236"/>
  <c r="V80" i="236" s="1"/>
  <c r="P80" i="236"/>
  <c r="W50" i="236"/>
  <c r="AI50" i="236"/>
  <c r="AJ50" i="236" s="1"/>
  <c r="AT59" i="236"/>
  <c r="AU59" i="236" s="1"/>
  <c r="BB59" i="236"/>
  <c r="AW59" i="236"/>
  <c r="AV59" i="236"/>
  <c r="BK59" i="236" s="1"/>
  <c r="BB40" i="236"/>
  <c r="AV40" i="236"/>
  <c r="BK40" i="236" s="1"/>
  <c r="AT40" i="236"/>
  <c r="AU40" i="236" s="1"/>
  <c r="AW40" i="236"/>
  <c r="BB84" i="236"/>
  <c r="AV84" i="236"/>
  <c r="BK84" i="236" s="1"/>
  <c r="AT84" i="236"/>
  <c r="AU84" i="236" s="1"/>
  <c r="AW84" i="236"/>
  <c r="AI77" i="236"/>
  <c r="AJ77" i="236" s="1"/>
  <c r="W77" i="236"/>
  <c r="U60" i="236"/>
  <c r="V60" i="236" s="1"/>
  <c r="AT45" i="236"/>
  <c r="AU45" i="236" s="1"/>
  <c r="AI29" i="236"/>
  <c r="W29" i="236"/>
  <c r="BB30" i="236"/>
  <c r="AV30" i="236"/>
  <c r="BK30" i="236" s="1"/>
  <c r="AW30" i="236"/>
  <c r="AT30" i="236"/>
  <c r="AU30" i="236" s="1"/>
  <c r="O87" i="236"/>
  <c r="AI21" i="236"/>
  <c r="AJ21" i="236" s="1"/>
  <c r="W21" i="236"/>
  <c r="U71" i="236"/>
  <c r="V71" i="236" s="1"/>
  <c r="AV23" i="236"/>
  <c r="BK23" i="236" s="1"/>
  <c r="AT23" i="236"/>
  <c r="AU23" i="236" s="1"/>
  <c r="BB23" i="236"/>
  <c r="AW23" i="236"/>
  <c r="P24" i="236"/>
  <c r="AT7" i="236"/>
  <c r="AU7" i="236" s="1"/>
  <c r="BB7" i="236"/>
  <c r="AW7" i="236"/>
  <c r="AV7" i="236"/>
  <c r="BK7" i="236" s="1"/>
  <c r="AW80" i="236"/>
  <c r="BB80" i="236"/>
  <c r="AV80" i="236"/>
  <c r="BK80" i="236" s="1"/>
  <c r="AT80" i="236"/>
  <c r="AU80" i="236" s="1"/>
  <c r="W41" i="236"/>
  <c r="AI41" i="236"/>
  <c r="AJ41" i="236" s="1"/>
  <c r="W15" i="236"/>
  <c r="AI15" i="236"/>
  <c r="AJ15" i="236" s="1"/>
  <c r="AW24" i="236"/>
  <c r="BB24" i="236"/>
  <c r="AV24" i="236"/>
  <c r="BK24" i="236" s="1"/>
  <c r="AT24" i="236"/>
  <c r="AU24" i="236" s="1"/>
  <c r="AI74" i="236"/>
  <c r="AJ74" i="236" s="1"/>
  <c r="W74" i="236"/>
  <c r="W86" i="236"/>
  <c r="AI86" i="236"/>
  <c r="AW60" i="236"/>
  <c r="BB60" i="236"/>
  <c r="AV60" i="236"/>
  <c r="BK60" i="236" s="1"/>
  <c r="AT60" i="236"/>
  <c r="AU60" i="236" s="1"/>
  <c r="P63" i="236"/>
  <c r="W65" i="236"/>
  <c r="AI65" i="236"/>
  <c r="AJ65" i="236" s="1"/>
  <c r="AI76" i="236"/>
  <c r="AJ76" i="236" s="1"/>
  <c r="W76" i="236"/>
  <c r="AS55" i="236"/>
  <c r="AP55" i="236"/>
  <c r="AI31" i="236"/>
  <c r="AJ31" i="236" s="1"/>
  <c r="W31" i="236"/>
  <c r="AS62" i="236"/>
  <c r="P62" i="236"/>
  <c r="AP62" i="236"/>
  <c r="AS32" i="236"/>
  <c r="P32" i="236"/>
  <c r="AP32" i="236"/>
  <c r="P84" i="236"/>
  <c r="AV45" i="236"/>
  <c r="BK45" i="236" s="1"/>
  <c r="AW28" i="236"/>
  <c r="AV28" i="236"/>
  <c r="BK28" i="236" s="1"/>
  <c r="AT28" i="236"/>
  <c r="AU28" i="236" s="1"/>
  <c r="BB28" i="236"/>
  <c r="AI38" i="236"/>
  <c r="W38" i="236"/>
  <c r="AS52" i="236"/>
  <c r="AP52" i="236"/>
  <c r="AP39" i="236"/>
  <c r="AS39" i="236"/>
  <c r="AI36" i="236"/>
  <c r="AJ36" i="236" s="1"/>
  <c r="W36" i="236"/>
  <c r="BB22" i="236"/>
  <c r="AW22" i="236"/>
  <c r="AV22" i="236"/>
  <c r="BK22" i="236" s="1"/>
  <c r="AT22" i="236"/>
  <c r="AU22" i="236" s="1"/>
  <c r="U24" i="236"/>
  <c r="V24" i="236" s="1"/>
  <c r="AS42" i="236"/>
  <c r="AP42" i="236"/>
  <c r="AP35" i="236"/>
  <c r="AS35" i="236"/>
  <c r="W44" i="236"/>
  <c r="AI44" i="236"/>
  <c r="AJ44" i="236" s="1"/>
  <c r="BB13" i="236"/>
  <c r="AW13" i="236"/>
  <c r="AV13" i="236"/>
  <c r="BK13" i="236" s="1"/>
  <c r="AT13" i="236"/>
  <c r="AU13" i="236" s="1"/>
  <c r="AW75" i="236"/>
  <c r="BB75" i="236"/>
  <c r="AV75" i="236"/>
  <c r="BK75" i="236" s="1"/>
  <c r="AT75" i="236"/>
  <c r="AU75" i="236" s="1"/>
  <c r="AW73" i="236"/>
  <c r="BB73" i="236"/>
  <c r="AT73" i="236"/>
  <c r="AU73" i="236" s="1"/>
  <c r="AV73" i="236"/>
  <c r="BK73" i="236" s="1"/>
  <c r="AS48" i="236"/>
  <c r="AP48" i="236"/>
  <c r="U84" i="236"/>
  <c r="V84" i="236" s="1"/>
  <c r="U32" i="236"/>
  <c r="V32" i="236" s="1"/>
  <c r="U79" i="236"/>
  <c r="V79" i="236" s="1"/>
  <c r="AI40" i="236"/>
  <c r="AJ40" i="236" s="1"/>
  <c r="W40" i="236"/>
  <c r="AT11" i="236"/>
  <c r="AU11" i="236" s="1"/>
  <c r="AW11" i="236"/>
  <c r="AV11" i="236"/>
  <c r="BK11" i="236" s="1"/>
  <c r="BB11" i="236"/>
  <c r="P52" i="236"/>
  <c r="AW43" i="236"/>
  <c r="BB43" i="236"/>
  <c r="AV43" i="236"/>
  <c r="BK43" i="236" s="1"/>
  <c r="AT43" i="236"/>
  <c r="AU43" i="236" s="1"/>
  <c r="AT20" i="236"/>
  <c r="AU20" i="236" s="1"/>
  <c r="BB20" i="236"/>
  <c r="AW20" i="236"/>
  <c r="AV20" i="236"/>
  <c r="BK20" i="236" s="1"/>
  <c r="U12" i="236"/>
  <c r="V12" i="236" s="1"/>
  <c r="AV15" i="236"/>
  <c r="BK15" i="236" s="1"/>
  <c r="AT15" i="236"/>
  <c r="AU15" i="236" s="1"/>
  <c r="AW15" i="236"/>
  <c r="BB15" i="236"/>
  <c r="BB27" i="236"/>
  <c r="AV27" i="236"/>
  <c r="BK27" i="236" s="1"/>
  <c r="AW27" i="236"/>
  <c r="AT27" i="236"/>
  <c r="AU27" i="236" s="1"/>
  <c r="AS34" i="236"/>
  <c r="AP34" i="236"/>
  <c r="P42" i="236"/>
  <c r="AV63" i="236"/>
  <c r="BK63" i="236" s="1"/>
  <c r="AT63" i="236"/>
  <c r="AU63" i="236" s="1"/>
  <c r="BB63" i="236"/>
  <c r="AW63" i="236"/>
  <c r="BB71" i="236"/>
  <c r="AV71" i="236"/>
  <c r="BK71" i="236" s="1"/>
  <c r="AT71" i="236"/>
  <c r="AU71" i="236" s="1"/>
  <c r="AW71" i="236"/>
  <c r="AI85" i="236"/>
  <c r="AJ85" i="236" s="1"/>
  <c r="W85" i="236"/>
  <c r="AP41" i="236"/>
  <c r="AS41" i="236"/>
  <c r="P41" i="236"/>
  <c r="P55" i="236"/>
  <c r="AS53" i="236"/>
  <c r="AP53" i="236"/>
  <c r="U53" i="236"/>
  <c r="V53" i="236" s="1"/>
  <c r="AT79" i="236"/>
  <c r="AU79" i="236" s="1"/>
  <c r="AV79" i="236"/>
  <c r="BK79" i="236" s="1"/>
  <c r="BB79" i="236"/>
  <c r="AW45" i="236"/>
  <c r="AV38" i="236"/>
  <c r="BK38" i="236" s="1"/>
  <c r="AT38" i="236"/>
  <c r="AU38" i="236" s="1"/>
  <c r="AW38" i="236"/>
  <c r="BB38" i="236"/>
  <c r="W19" i="236"/>
  <c r="AI19" i="236"/>
  <c r="AJ19" i="236" s="1"/>
  <c r="AS9" i="236"/>
  <c r="AP9" i="236"/>
  <c r="P9" i="236"/>
  <c r="P87" i="236" s="1"/>
  <c r="U52" i="236"/>
  <c r="V52" i="236" s="1"/>
  <c r="P43" i="236"/>
  <c r="U9" i="236"/>
  <c r="V9" i="236" s="1"/>
  <c r="AI20" i="236"/>
  <c r="AJ20" i="236" s="1"/>
  <c r="W20" i="236"/>
  <c r="BB70" i="236"/>
  <c r="AW70" i="236"/>
  <c r="AV70" i="236"/>
  <c r="BK70" i="236" s="1"/>
  <c r="AT70" i="236"/>
  <c r="AU70" i="236" s="1"/>
  <c r="U39" i="236"/>
  <c r="V39" i="236" s="1"/>
  <c r="P34" i="236"/>
  <c r="U42" i="236"/>
  <c r="V42" i="236" s="1"/>
  <c r="AT64" i="236"/>
  <c r="AU64" i="236" s="1"/>
  <c r="BB64" i="236"/>
  <c r="AW64" i="236"/>
  <c r="AV64" i="236"/>
  <c r="BK64" i="236" s="1"/>
  <c r="P76" i="236"/>
  <c r="AS76" i="236"/>
  <c r="AS61" i="236"/>
  <c r="AP61" i="236"/>
  <c r="U61" i="236"/>
  <c r="V61" i="236" s="1"/>
  <c r="AI82" i="236"/>
  <c r="W82" i="236"/>
  <c r="P83" i="236"/>
  <c r="U73" i="236"/>
  <c r="V73" i="236" s="1"/>
  <c r="AS56" i="236"/>
  <c r="AP56" i="236"/>
  <c r="AP37" i="236"/>
  <c r="AS37" i="236"/>
  <c r="U37" i="236"/>
  <c r="V37" i="236" s="1"/>
  <c r="P37" i="236"/>
  <c r="U55" i="236"/>
  <c r="V55" i="236" s="1"/>
  <c r="P53" i="236"/>
  <c r="AP25" i="236"/>
  <c r="P25" i="236"/>
  <c r="AS25" i="236"/>
  <c r="AS78" i="236"/>
  <c r="AP78" i="236"/>
  <c r="AS47" i="236"/>
  <c r="AP47" i="236"/>
  <c r="P47" i="236"/>
  <c r="AS31" i="236"/>
  <c r="AP31" i="236"/>
  <c r="P79" i="236"/>
  <c r="AP17" i="236"/>
  <c r="AS17" i="236"/>
  <c r="U70" i="236"/>
  <c r="V70" i="236" s="1"/>
  <c r="AI59" i="236"/>
  <c r="AJ59" i="236" s="1"/>
  <c r="W59" i="236"/>
  <c r="AP26" i="236"/>
  <c r="AS26" i="236"/>
  <c r="P26" i="236"/>
  <c r="AI47" i="236"/>
  <c r="AJ47" i="236" s="1"/>
  <c r="W47" i="236"/>
  <c r="AI75" i="236"/>
  <c r="AJ75" i="236" s="1"/>
  <c r="W75" i="236"/>
  <c r="AS12" i="236"/>
  <c r="AP12" i="236"/>
  <c r="AS77" i="236"/>
  <c r="AP77" i="236"/>
  <c r="AI81" i="236"/>
  <c r="W81" i="236"/>
  <c r="AI64" i="236"/>
  <c r="AJ64" i="236" s="1"/>
  <c r="W64" i="236"/>
  <c r="P75" i="236"/>
  <c r="AP29" i="236"/>
  <c r="AS29" i="236"/>
  <c r="U48" i="236"/>
  <c r="V48" i="236" s="1"/>
  <c r="BJ87" i="236"/>
  <c r="BL6" i="236"/>
  <c r="BL87" i="236" s="1"/>
  <c r="AI78" i="236"/>
  <c r="AJ78" i="236" s="1"/>
  <c r="W78" i="236"/>
  <c r="U46" i="236"/>
  <c r="V46" i="236" s="1"/>
  <c r="W25" i="236"/>
  <c r="AI25" i="236"/>
  <c r="AJ25" i="236" s="1"/>
  <c r="AT74" i="236"/>
  <c r="AU74" i="236" s="1"/>
  <c r="BB74" i="236"/>
  <c r="AW74" i="236"/>
  <c r="AV74" i="236"/>
  <c r="BK74" i="236" s="1"/>
  <c r="U35" i="236"/>
  <c r="V35" i="236" s="1"/>
  <c r="Q87" i="236"/>
  <c r="U6" i="236"/>
  <c r="AS8" i="236"/>
  <c r="AP8" i="236"/>
  <c r="P39" i="236"/>
  <c r="P71" i="236"/>
  <c r="AI34" i="236"/>
  <c r="AJ34" i="236" s="1"/>
  <c r="W34" i="236"/>
  <c r="AS10" i="236"/>
  <c r="P10" i="236"/>
  <c r="AP10" i="236"/>
  <c r="W62" i="236"/>
  <c r="AI62" i="236"/>
  <c r="AJ62" i="236" s="1"/>
  <c r="AI30" i="236"/>
  <c r="AJ30" i="236" s="1"/>
  <c r="W30" i="236"/>
  <c r="AI7" i="236"/>
  <c r="AJ7" i="236" s="1"/>
  <c r="W7" i="236"/>
  <c r="AI69" i="236"/>
  <c r="AJ69" i="236" s="1"/>
  <c r="W69" i="236"/>
  <c r="U63" i="236"/>
  <c r="V63" i="236" s="1"/>
  <c r="P60" i="236"/>
  <c r="AS66" i="236"/>
  <c r="AP66" i="236"/>
  <c r="U66" i="236"/>
  <c r="V66" i="236" s="1"/>
  <c r="AW81" i="236"/>
  <c r="AV81" i="236"/>
  <c r="BK81" i="236" s="1"/>
  <c r="AT81" i="236"/>
  <c r="AU81" i="236" s="1"/>
  <c r="BB81" i="236"/>
  <c r="BB83" i="236"/>
  <c r="AW83" i="236"/>
  <c r="AV83" i="236"/>
  <c r="BK83" i="236" s="1"/>
  <c r="AT83" i="236"/>
  <c r="AU83" i="236" s="1"/>
  <c r="AI72" i="236"/>
  <c r="W72" i="236"/>
  <c r="AI56" i="236"/>
  <c r="AJ56" i="236" s="1"/>
  <c r="W56" i="236"/>
  <c r="BB85" i="236"/>
  <c r="AV85" i="236"/>
  <c r="BK85" i="236" s="1"/>
  <c r="AT85" i="236"/>
  <c r="AU85" i="236" s="1"/>
  <c r="AW85" i="236"/>
  <c r="P46" i="236"/>
  <c r="AS46" i="236"/>
  <c r="AT67" i="236"/>
  <c r="AU67" i="236" s="1"/>
  <c r="BB67" i="236"/>
  <c r="AW67" i="236"/>
  <c r="AV67" i="236"/>
  <c r="BK67" i="236" s="1"/>
  <c r="W43" i="236"/>
  <c r="AI43" i="236"/>
  <c r="AJ43" i="236" s="1"/>
  <c r="AI16" i="236"/>
  <c r="AJ16" i="236" s="1"/>
  <c r="W16" i="236"/>
  <c r="AI28" i="236"/>
  <c r="AJ28" i="236" s="1"/>
  <c r="W28" i="236"/>
  <c r="AT16" i="236"/>
  <c r="AU16" i="236" s="1"/>
  <c r="BB16" i="236"/>
  <c r="AW16" i="236"/>
  <c r="AV16" i="236"/>
  <c r="BK16" i="236" s="1"/>
  <c r="AW44" i="236"/>
  <c r="BB44" i="236"/>
  <c r="AV44" i="236"/>
  <c r="BK44" i="236" s="1"/>
  <c r="AT44" i="236"/>
  <c r="AU44" i="236" s="1"/>
  <c r="AP33" i="236"/>
  <c r="AS33" i="236"/>
  <c r="P33" i="236"/>
  <c r="AI17" i="236"/>
  <c r="AJ17" i="236" s="1"/>
  <c r="W17" i="236"/>
  <c r="AS18" i="236"/>
  <c r="AP18" i="236"/>
  <c r="AP36" i="236"/>
  <c r="AS36" i="236"/>
  <c r="AS21" i="236"/>
  <c r="AP21" i="236"/>
  <c r="AI27" i="236"/>
  <c r="AJ27" i="236" s="1"/>
  <c r="W27" i="236"/>
  <c r="M87" i="236"/>
  <c r="AS6" i="236"/>
  <c r="AP6" i="236"/>
  <c r="AI50" i="235"/>
  <c r="AJ50" i="235" s="1"/>
  <c r="W50" i="235"/>
  <c r="AI92" i="235"/>
  <c r="W92" i="235"/>
  <c r="Q130" i="235"/>
  <c r="AI16" i="235"/>
  <c r="AJ16" i="235" s="1"/>
  <c r="W16" i="235"/>
  <c r="AS121" i="235"/>
  <c r="AP121" i="235"/>
  <c r="AI62" i="235"/>
  <c r="W62" i="235"/>
  <c r="AS19" i="235"/>
  <c r="AP19" i="235"/>
  <c r="U37" i="235"/>
  <c r="V37" i="235" s="1"/>
  <c r="M37" i="235"/>
  <c r="AS54" i="235"/>
  <c r="P54" i="235"/>
  <c r="M51" i="235"/>
  <c r="W34" i="235"/>
  <c r="AI34" i="235"/>
  <c r="AJ34" i="235" s="1"/>
  <c r="AS105" i="235"/>
  <c r="P105" i="235"/>
  <c r="BJ127" i="235"/>
  <c r="BO112" i="235"/>
  <c r="BO127" i="235" s="1"/>
  <c r="BO129" i="235" s="1"/>
  <c r="BL8" i="237" s="1"/>
  <c r="BL19" i="237" s="1"/>
  <c r="G24" i="40" s="1"/>
  <c r="P86" i="235"/>
  <c r="P98" i="235"/>
  <c r="AW98" i="235"/>
  <c r="AT92" i="235"/>
  <c r="AU92" i="235" s="1"/>
  <c r="BB92" i="235"/>
  <c r="AV92" i="235"/>
  <c r="BK92" i="235" s="1"/>
  <c r="AW92" i="235"/>
  <c r="M68" i="235"/>
  <c r="AS91" i="235"/>
  <c r="BB91" i="235" s="1"/>
  <c r="P91" i="235"/>
  <c r="M66" i="235"/>
  <c r="U66" i="235"/>
  <c r="V66" i="235" s="1"/>
  <c r="M48" i="235"/>
  <c r="M63" i="235"/>
  <c r="U63" i="235"/>
  <c r="V63" i="235" s="1"/>
  <c r="M67" i="235"/>
  <c r="U67" i="235"/>
  <c r="V67" i="235" s="1"/>
  <c r="AW27" i="235"/>
  <c r="AI27" i="235"/>
  <c r="AJ27" i="235" s="1"/>
  <c r="W27" i="235"/>
  <c r="U64" i="235"/>
  <c r="V64" i="235" s="1"/>
  <c r="BJ108" i="235"/>
  <c r="AT22" i="235"/>
  <c r="AU22" i="235" s="1"/>
  <c r="O108" i="235"/>
  <c r="M7" i="235"/>
  <c r="AP11" i="235"/>
  <c r="AS11" i="235"/>
  <c r="BB11" i="235" s="1"/>
  <c r="AP103" i="235"/>
  <c r="AS103" i="235"/>
  <c r="P103" i="235"/>
  <c r="AI125" i="235"/>
  <c r="AM125" i="235" s="1"/>
  <c r="Z125" i="235"/>
  <c r="W125" i="235"/>
  <c r="Z118" i="235"/>
  <c r="AI118" i="235"/>
  <c r="M122" i="235"/>
  <c r="U122" i="235"/>
  <c r="V122" i="235" s="1"/>
  <c r="M84" i="235"/>
  <c r="U84" i="235"/>
  <c r="V84" i="235" s="1"/>
  <c r="BB106" i="235"/>
  <c r="AW106" i="235"/>
  <c r="AT106" i="235"/>
  <c r="AU106" i="235" s="1"/>
  <c r="AT86" i="235"/>
  <c r="AU86" i="235" s="1"/>
  <c r="BC86" i="235"/>
  <c r="AV86" i="235"/>
  <c r="BK86" i="235" s="1"/>
  <c r="AW86" i="235"/>
  <c r="M72" i="235"/>
  <c r="U72" i="235"/>
  <c r="V72" i="235" s="1"/>
  <c r="M73" i="235"/>
  <c r="U73" i="235"/>
  <c r="V73" i="235" s="1"/>
  <c r="M53" i="235"/>
  <c r="U53" i="235"/>
  <c r="V53" i="235" s="1"/>
  <c r="W45" i="235"/>
  <c r="AI45" i="235"/>
  <c r="AJ45" i="235" s="1"/>
  <c r="AS50" i="235"/>
  <c r="P50" i="235"/>
  <c r="AS16" i="235"/>
  <c r="P16" i="235"/>
  <c r="M71" i="235"/>
  <c r="M14" i="235"/>
  <c r="AI17" i="235"/>
  <c r="AJ17" i="235" s="1"/>
  <c r="W17" i="235"/>
  <c r="U46" i="235"/>
  <c r="V46" i="235" s="1"/>
  <c r="M46" i="235"/>
  <c r="M40" i="235"/>
  <c r="AI11" i="235"/>
  <c r="W11" i="235"/>
  <c r="AS83" i="235"/>
  <c r="AP83" i="235"/>
  <c r="AS47" i="235"/>
  <c r="P47" i="235"/>
  <c r="AP47" i="235"/>
  <c r="P121" i="235"/>
  <c r="M116" i="235"/>
  <c r="AI126" i="235"/>
  <c r="AM126" i="235" s="1"/>
  <c r="AO126" i="235" s="1"/>
  <c r="AR126" i="235" s="1"/>
  <c r="Z126" i="235"/>
  <c r="W126" i="235" s="1"/>
  <c r="AS118" i="235"/>
  <c r="P118" i="235"/>
  <c r="AS95" i="235"/>
  <c r="AP95" i="235"/>
  <c r="M85" i="235"/>
  <c r="AI88" i="235"/>
  <c r="AJ88" i="235" s="1"/>
  <c r="W88" i="235"/>
  <c r="W70" i="235"/>
  <c r="AI70" i="235"/>
  <c r="AJ70" i="235" s="1"/>
  <c r="W74" i="235"/>
  <c r="AI74" i="235"/>
  <c r="AJ74" i="235" s="1"/>
  <c r="AS45" i="235"/>
  <c r="P45" i="235"/>
  <c r="M96" i="235"/>
  <c r="P19" i="235"/>
  <c r="W22" i="235"/>
  <c r="AI22" i="235"/>
  <c r="AJ22" i="235" s="1"/>
  <c r="M21" i="235"/>
  <c r="U21" i="235"/>
  <c r="V21" i="235" s="1"/>
  <c r="M30" i="235"/>
  <c r="U30" i="235" s="1"/>
  <c r="V30" i="235" s="1"/>
  <c r="AV13" i="235"/>
  <c r="BK13" i="235" s="1"/>
  <c r="AT13" i="235"/>
  <c r="AU13" i="235" s="1"/>
  <c r="AT41" i="235"/>
  <c r="AU41" i="235" s="1"/>
  <c r="AI12" i="235"/>
  <c r="AJ12" i="235" s="1"/>
  <c r="W12" i="235"/>
  <c r="M15" i="235"/>
  <c r="U13" i="235"/>
  <c r="V13" i="235" s="1"/>
  <c r="M114" i="235"/>
  <c r="U114" i="235"/>
  <c r="V114" i="235" s="1"/>
  <c r="W95" i="235"/>
  <c r="AI95" i="235"/>
  <c r="AJ95" i="235" s="1"/>
  <c r="AZ119" i="235"/>
  <c r="BB119" i="235"/>
  <c r="U86" i="235"/>
  <c r="M87" i="235"/>
  <c r="AS74" i="235"/>
  <c r="AP74" i="235"/>
  <c r="M75" i="235"/>
  <c r="M60" i="235"/>
  <c r="U60" i="235" s="1"/>
  <c r="V60" i="235" s="1"/>
  <c r="AI94" i="235"/>
  <c r="AJ94" i="235" s="1"/>
  <c r="W94" i="235"/>
  <c r="M36" i="235"/>
  <c r="P13" i="235"/>
  <c r="M35" i="235"/>
  <c r="U35" i="235"/>
  <c r="V35" i="235" s="1"/>
  <c r="AW13" i="235"/>
  <c r="AT12" i="235"/>
  <c r="AU12" i="235" s="1"/>
  <c r="BB12" i="235"/>
  <c r="AI24" i="235"/>
  <c r="AJ24" i="235" s="1"/>
  <c r="W24" i="235"/>
  <c r="AI32" i="235"/>
  <c r="AJ32" i="235" s="1"/>
  <c r="W32" i="235"/>
  <c r="AI91" i="235"/>
  <c r="W91" i="235"/>
  <c r="M77" i="235"/>
  <c r="M69" i="235"/>
  <c r="U69" i="235"/>
  <c r="V69" i="235" s="1"/>
  <c r="AI38" i="235"/>
  <c r="AJ38" i="235" s="1"/>
  <c r="W38" i="235"/>
  <c r="AT119" i="235"/>
  <c r="AU119" i="235" s="1"/>
  <c r="M124" i="235"/>
  <c r="AK108" i="235"/>
  <c r="AK129" i="235" s="1"/>
  <c r="U79" i="235"/>
  <c r="V79" i="235" s="1"/>
  <c r="M79" i="235"/>
  <c r="BC102" i="235"/>
  <c r="AW102" i="235"/>
  <c r="AT102" i="235"/>
  <c r="AU102" i="235" s="1"/>
  <c r="AV102" i="235"/>
  <c r="BK102" i="235" s="1"/>
  <c r="AT64" i="235"/>
  <c r="AU64" i="235" s="1"/>
  <c r="M44" i="235"/>
  <c r="U44" i="235"/>
  <c r="V44" i="235" s="1"/>
  <c r="M55" i="235"/>
  <c r="AV106" i="235"/>
  <c r="BK106" i="235" s="1"/>
  <c r="BB94" i="235"/>
  <c r="AT94" i="235"/>
  <c r="AU94" i="235" s="1"/>
  <c r="M42" i="235"/>
  <c r="BB61" i="235"/>
  <c r="AW61" i="235"/>
  <c r="AT61" i="235"/>
  <c r="AU61" i="235" s="1"/>
  <c r="BL108" i="235"/>
  <c r="M56" i="235"/>
  <c r="M31" i="235"/>
  <c r="U43" i="235"/>
  <c r="V43" i="235" s="1"/>
  <c r="M43" i="235"/>
  <c r="AS59" i="235"/>
  <c r="AP59" i="235"/>
  <c r="P59" i="235"/>
  <c r="Q108" i="235"/>
  <c r="M6" i="235"/>
  <c r="U6" i="235"/>
  <c r="U57" i="235"/>
  <c r="V57" i="235" s="1"/>
  <c r="M57" i="235"/>
  <c r="M33" i="235"/>
  <c r="U33" i="235"/>
  <c r="V33" i="235" s="1"/>
  <c r="M18" i="235"/>
  <c r="U18" i="235"/>
  <c r="V18" i="235" s="1"/>
  <c r="BB32" i="235"/>
  <c r="AW32" i="235"/>
  <c r="AT32" i="235"/>
  <c r="AU32" i="235" s="1"/>
  <c r="AV32" i="235"/>
  <c r="BK32" i="235" s="1"/>
  <c r="M123" i="235"/>
  <c r="M120" i="235"/>
  <c r="AS102" i="235"/>
  <c r="BB102" i="235" s="1"/>
  <c r="AP102" i="235"/>
  <c r="AS93" i="235"/>
  <c r="AP93" i="235"/>
  <c r="M80" i="235"/>
  <c r="U80" i="235"/>
  <c r="V80" i="235" s="1"/>
  <c r="Q127" i="235"/>
  <c r="U112" i="235"/>
  <c r="M112" i="235"/>
  <c r="AO81" i="235"/>
  <c r="AR81" i="235" s="1"/>
  <c r="AJ81" i="235"/>
  <c r="K129" i="235"/>
  <c r="L130" i="235" s="1"/>
  <c r="L128" i="235"/>
  <c r="M128" i="235" s="1"/>
  <c r="M58" i="235"/>
  <c r="U58" i="235"/>
  <c r="V58" i="235" s="1"/>
  <c r="U65" i="235"/>
  <c r="V65" i="235" s="1"/>
  <c r="M65" i="235"/>
  <c r="AS78" i="235"/>
  <c r="P78" i="235"/>
  <c r="AP78" i="235"/>
  <c r="M49" i="235"/>
  <c r="U49" i="235"/>
  <c r="V49" i="235" s="1"/>
  <c r="W25" i="235"/>
  <c r="AI25" i="235"/>
  <c r="AJ25" i="235" s="1"/>
  <c r="AI59" i="235"/>
  <c r="AJ59" i="235" s="1"/>
  <c r="W59" i="235"/>
  <c r="U52" i="235"/>
  <c r="V52" i="235" s="1"/>
  <c r="M52" i="235"/>
  <c r="M9" i="235"/>
  <c r="U9" i="235"/>
  <c r="V9" i="235" s="1"/>
  <c r="AS113" i="235"/>
  <c r="AP113" i="235"/>
  <c r="M90" i="235"/>
  <c r="U20" i="235"/>
  <c r="V20" i="235" s="1"/>
  <c r="M20" i="235"/>
  <c r="M10" i="235"/>
  <c r="U10" i="235"/>
  <c r="V10" i="235" s="1"/>
  <c r="P113" i="235"/>
  <c r="AO101" i="235"/>
  <c r="AR101" i="235" s="1"/>
  <c r="AJ101" i="235"/>
  <c r="U113" i="235"/>
  <c r="V113" i="235" s="1"/>
  <c r="P95" i="235"/>
  <c r="AT98" i="235"/>
  <c r="AU98" i="235" s="1"/>
  <c r="U121" i="235"/>
  <c r="V121" i="235" s="1"/>
  <c r="AS101" i="235"/>
  <c r="BB101" i="235" s="1"/>
  <c r="AP101" i="235"/>
  <c r="AW97" i="235"/>
  <c r="AV97" i="235"/>
  <c r="BK97" i="235" s="1"/>
  <c r="AT97" i="235"/>
  <c r="AU97" i="235" s="1"/>
  <c r="BC97" i="235"/>
  <c r="BB100" i="235"/>
  <c r="AV100" i="235"/>
  <c r="BK100" i="235" s="1"/>
  <c r="AT100" i="235"/>
  <c r="AU100" i="235" s="1"/>
  <c r="AW100" i="235"/>
  <c r="AP76" i="235"/>
  <c r="AS76" i="235"/>
  <c r="O129" i="235"/>
  <c r="Q117" i="235"/>
  <c r="AW64" i="235"/>
  <c r="U78" i="235"/>
  <c r="V78" i="235" s="1"/>
  <c r="M39" i="235"/>
  <c r="U47" i="235"/>
  <c r="V47" i="235" s="1"/>
  <c r="AS99" i="235"/>
  <c r="AP99" i="235"/>
  <c r="U41" i="235"/>
  <c r="V41" i="235" s="1"/>
  <c r="M28" i="235"/>
  <c r="P41" i="235"/>
  <c r="M26" i="235"/>
  <c r="U19" i="235"/>
  <c r="V19" i="235" s="1"/>
  <c r="AS25" i="235"/>
  <c r="AP25" i="235"/>
  <c r="U54" i="235"/>
  <c r="V54" i="235" s="1"/>
  <c r="M29" i="235"/>
  <c r="U29" i="235" s="1"/>
  <c r="V29" i="235" s="1"/>
  <c r="M23" i="235"/>
  <c r="AV41" i="235"/>
  <c r="BK41" i="235" s="1"/>
  <c r="AT17" i="235"/>
  <c r="AU17" i="235" s="1"/>
  <c r="AV17" i="235"/>
  <c r="BK17" i="235" s="1"/>
  <c r="BB17" i="235"/>
  <c r="AW17" i="235"/>
  <c r="M8" i="235"/>
  <c r="AS34" i="235"/>
  <c r="P34" i="235"/>
  <c r="W56" i="234"/>
  <c r="AI56" i="234"/>
  <c r="AK56" i="234" s="1"/>
  <c r="M49" i="234"/>
  <c r="U49" i="234" s="1"/>
  <c r="V49" i="234" s="1"/>
  <c r="AI25" i="234"/>
  <c r="AK25" i="234" s="1"/>
  <c r="X25" i="234"/>
  <c r="U58" i="234"/>
  <c r="V58" i="234" s="1"/>
  <c r="P58" i="234"/>
  <c r="AI37" i="234"/>
  <c r="AK37" i="234" s="1"/>
  <c r="X37" i="234"/>
  <c r="M21" i="234"/>
  <c r="U21" i="234" s="1"/>
  <c r="V21" i="234" s="1"/>
  <c r="BB25" i="234"/>
  <c r="AX25" i="234"/>
  <c r="P25" i="234"/>
  <c r="AU6" i="234"/>
  <c r="AU61" i="234" s="1"/>
  <c r="AT61" i="234"/>
  <c r="AX41" i="234"/>
  <c r="AV41" i="234"/>
  <c r="BK41" i="234" s="1"/>
  <c r="BB34" i="234"/>
  <c r="AX34" i="234"/>
  <c r="P34" i="234"/>
  <c r="M32" i="234"/>
  <c r="U32" i="234"/>
  <c r="V32" i="234" s="1"/>
  <c r="U19" i="234"/>
  <c r="M19" i="234"/>
  <c r="O61" i="234"/>
  <c r="M53" i="234"/>
  <c r="U53" i="234"/>
  <c r="V53" i="234" s="1"/>
  <c r="AI31" i="234"/>
  <c r="AJ31" i="234" s="1"/>
  <c r="W31" i="234"/>
  <c r="AV58" i="234"/>
  <c r="BK58" i="234" s="1"/>
  <c r="BM61" i="234"/>
  <c r="BJ9" i="237" s="1"/>
  <c r="AI54" i="234"/>
  <c r="AK54" i="234" s="1"/>
  <c r="W54" i="234"/>
  <c r="AI55" i="234"/>
  <c r="AK55" i="234" s="1"/>
  <c r="W55" i="234"/>
  <c r="M39" i="234"/>
  <c r="X26" i="234"/>
  <c r="AI26" i="234"/>
  <c r="AK26" i="234" s="1"/>
  <c r="AI30" i="234"/>
  <c r="AK30" i="234" s="1"/>
  <c r="X30" i="234"/>
  <c r="M24" i="234"/>
  <c r="U11" i="234"/>
  <c r="V11" i="234" s="1"/>
  <c r="W33" i="234"/>
  <c r="AI33" i="234"/>
  <c r="AK33" i="234" s="1"/>
  <c r="M52" i="234"/>
  <c r="P6" i="234"/>
  <c r="AX58" i="234"/>
  <c r="M36" i="234"/>
  <c r="X17" i="234"/>
  <c r="AI17" i="234"/>
  <c r="AK17" i="234" s="1"/>
  <c r="M38" i="234"/>
  <c r="M9" i="234"/>
  <c r="BB26" i="234"/>
  <c r="AX26" i="234"/>
  <c r="P26" i="234"/>
  <c r="X22" i="234"/>
  <c r="AI22" i="234"/>
  <c r="AK22" i="234" s="1"/>
  <c r="BJ61" i="234"/>
  <c r="BG9" i="237" s="1"/>
  <c r="M57" i="234"/>
  <c r="U57" i="234"/>
  <c r="V57" i="234" s="1"/>
  <c r="M28" i="234"/>
  <c r="U41" i="234"/>
  <c r="V41" i="234" s="1"/>
  <c r="M10" i="234"/>
  <c r="U10" i="234" s="1"/>
  <c r="V10" i="234" s="1"/>
  <c r="P22" i="234"/>
  <c r="AX22" i="234"/>
  <c r="BB22" i="234"/>
  <c r="U40" i="234"/>
  <c r="V40" i="234" s="1"/>
  <c r="M40" i="234"/>
  <c r="AI7" i="234"/>
  <c r="AK7" i="234" s="1"/>
  <c r="X7" i="234"/>
  <c r="BB15" i="234"/>
  <c r="AX15" i="234"/>
  <c r="M8" i="234"/>
  <c r="U8" i="234"/>
  <c r="V8" i="234" s="1"/>
  <c r="U23" i="234"/>
  <c r="V23" i="234" s="1"/>
  <c r="M23" i="234"/>
  <c r="M13" i="234"/>
  <c r="U13" i="234"/>
  <c r="V13" i="234" s="1"/>
  <c r="M29" i="234"/>
  <c r="X51" i="234"/>
  <c r="AI51" i="234"/>
  <c r="AK51" i="234" s="1"/>
  <c r="AI59" i="234"/>
  <c r="AK59" i="234" s="1"/>
  <c r="W59" i="234"/>
  <c r="AI43" i="234"/>
  <c r="AK43" i="234" s="1"/>
  <c r="X43" i="234"/>
  <c r="AV25" i="234"/>
  <c r="BK25" i="234" s="1"/>
  <c r="U15" i="234"/>
  <c r="V15" i="234" s="1"/>
  <c r="M20" i="234"/>
  <c r="U20" i="234" s="1"/>
  <c r="V20" i="234" s="1"/>
  <c r="BB50" i="234"/>
  <c r="AX50" i="234"/>
  <c r="AV50" i="234"/>
  <c r="BK50" i="234" s="1"/>
  <c r="BB51" i="234"/>
  <c r="P51" i="234"/>
  <c r="M60" i="234"/>
  <c r="BB59" i="234"/>
  <c r="AX59" i="234"/>
  <c r="P59" i="234"/>
  <c r="M44" i="234"/>
  <c r="U44" i="234" s="1"/>
  <c r="V44" i="234" s="1"/>
  <c r="AI16" i="234"/>
  <c r="AK16" i="234" s="1"/>
  <c r="X16" i="234"/>
  <c r="M46" i="234"/>
  <c r="U46" i="234"/>
  <c r="V46" i="234" s="1"/>
  <c r="M42" i="234"/>
  <c r="U42" i="234" s="1"/>
  <c r="V42" i="234" s="1"/>
  <c r="V6" i="234"/>
  <c r="AI34" i="234"/>
  <c r="AK34" i="234" s="1"/>
  <c r="X34" i="234"/>
  <c r="M47" i="234"/>
  <c r="U47" i="234"/>
  <c r="V47" i="234" s="1"/>
  <c r="U50" i="234"/>
  <c r="V50" i="234" s="1"/>
  <c r="M27" i="234"/>
  <c r="U27" i="234" s="1"/>
  <c r="V27" i="234" s="1"/>
  <c r="W12" i="234"/>
  <c r="AI12" i="234"/>
  <c r="AK12" i="234" s="1"/>
  <c r="M35" i="234"/>
  <c r="U35" i="234" s="1"/>
  <c r="V35" i="234" s="1"/>
  <c r="M48" i="234"/>
  <c r="U48" i="234" s="1"/>
  <c r="V48" i="234" s="1"/>
  <c r="M45" i="234"/>
  <c r="M18" i="234"/>
  <c r="M14" i="234"/>
  <c r="U14" i="234"/>
  <c r="V14" i="234" s="1"/>
  <c r="BK6" i="233"/>
  <c r="V6" i="233"/>
  <c r="M8" i="233"/>
  <c r="U8" i="233" s="1"/>
  <c r="V8" i="233" s="1"/>
  <c r="M7" i="233"/>
  <c r="U7" i="233"/>
  <c r="V7" i="233" s="1"/>
  <c r="P6" i="233"/>
  <c r="Q10" i="233"/>
  <c r="Q9" i="232"/>
  <c r="Q27" i="232" s="1"/>
  <c r="M10" i="232"/>
  <c r="U10" i="232" s="1"/>
  <c r="V10" i="232" s="1"/>
  <c r="AI18" i="232"/>
  <c r="AK18" i="232" s="1"/>
  <c r="X18" i="232"/>
  <c r="M6" i="232"/>
  <c r="U6" i="232" s="1"/>
  <c r="BB7" i="232"/>
  <c r="AX7" i="232"/>
  <c r="AV7" i="232"/>
  <c r="BK7" i="232" s="1"/>
  <c r="AT7" i="232"/>
  <c r="AU7" i="232" s="1"/>
  <c r="M21" i="232"/>
  <c r="U21" i="232"/>
  <c r="V21" i="232" s="1"/>
  <c r="AI16" i="232"/>
  <c r="AK16" i="232" s="1"/>
  <c r="X16" i="232"/>
  <c r="M15" i="232"/>
  <c r="M14" i="232"/>
  <c r="U14" i="232"/>
  <c r="V14" i="232" s="1"/>
  <c r="AI17" i="232"/>
  <c r="AK17" i="232" s="1"/>
  <c r="X17" i="232"/>
  <c r="U24" i="232"/>
  <c r="V24" i="232" s="1"/>
  <c r="M24" i="232"/>
  <c r="M20" i="232"/>
  <c r="U20" i="232"/>
  <c r="V20" i="232" s="1"/>
  <c r="M26" i="232"/>
  <c r="U26" i="232"/>
  <c r="V26" i="232" s="1"/>
  <c r="M8" i="232"/>
  <c r="U8" i="232"/>
  <c r="V8" i="232" s="1"/>
  <c r="U11" i="232"/>
  <c r="V11" i="232" s="1"/>
  <c r="M11" i="232"/>
  <c r="M13" i="232"/>
  <c r="U13" i="232"/>
  <c r="V13" i="232" s="1"/>
  <c r="M25" i="232"/>
  <c r="U25" i="232" s="1"/>
  <c r="V25" i="232" s="1"/>
  <c r="AI7" i="232"/>
  <c r="AK7" i="232" s="1"/>
  <c r="X7" i="232"/>
  <c r="M22" i="232"/>
  <c r="M23" i="232"/>
  <c r="U23" i="232" s="1"/>
  <c r="V23" i="232" s="1"/>
  <c r="M12" i="232"/>
  <c r="U12" i="232" s="1"/>
  <c r="V12" i="232" s="1"/>
  <c r="BB12" i="231"/>
  <c r="AX12" i="231"/>
  <c r="AV12" i="231"/>
  <c r="BK12" i="231" s="1"/>
  <c r="M15" i="231"/>
  <c r="AS6" i="231"/>
  <c r="P6" i="231"/>
  <c r="M9" i="231"/>
  <c r="U9" i="231" s="1"/>
  <c r="V9" i="231" s="1"/>
  <c r="M16" i="231"/>
  <c r="U16" i="231" s="1"/>
  <c r="V16" i="231" s="1"/>
  <c r="M8" i="231"/>
  <c r="U8" i="231"/>
  <c r="V8" i="231" s="1"/>
  <c r="V7" i="231"/>
  <c r="M10" i="231"/>
  <c r="U10" i="231" s="1"/>
  <c r="V10" i="231" s="1"/>
  <c r="BB11" i="231"/>
  <c r="AX11" i="231"/>
  <c r="AV11" i="231"/>
  <c r="BK11" i="231" s="1"/>
  <c r="M14" i="231"/>
  <c r="U14" i="231" s="1"/>
  <c r="V14" i="231" s="1"/>
  <c r="U13" i="231"/>
  <c r="V13" i="231" s="1"/>
  <c r="M13" i="231"/>
  <c r="BM17" i="231"/>
  <c r="BJ12" i="237" s="1"/>
  <c r="BJ17" i="231"/>
  <c r="BG12" i="237" s="1"/>
  <c r="AI43" i="230"/>
  <c r="AK43" i="230" s="1"/>
  <c r="W43" i="230"/>
  <c r="M27" i="230"/>
  <c r="U27" i="230"/>
  <c r="V27" i="230" s="1"/>
  <c r="U30" i="230"/>
  <c r="V30" i="230" s="1"/>
  <c r="M30" i="230"/>
  <c r="AX19" i="230"/>
  <c r="AT19" i="230"/>
  <c r="AU19" i="230" s="1"/>
  <c r="BB19" i="230"/>
  <c r="AV19" i="230"/>
  <c r="BK19" i="230" s="1"/>
  <c r="M7" i="230"/>
  <c r="U7" i="230" s="1"/>
  <c r="V7" i="230" s="1"/>
  <c r="BB43" i="230"/>
  <c r="AV43" i="230"/>
  <c r="BK43" i="230" s="1"/>
  <c r="AT43" i="230"/>
  <c r="AU43" i="230" s="1"/>
  <c r="AX43" i="230"/>
  <c r="AI35" i="230"/>
  <c r="AK35" i="230" s="1"/>
  <c r="X35" i="230"/>
  <c r="M14" i="230"/>
  <c r="U14" i="230" s="1"/>
  <c r="V14" i="230" s="1"/>
  <c r="U24" i="230"/>
  <c r="V24" i="230" s="1"/>
  <c r="M24" i="230"/>
  <c r="M20" i="230"/>
  <c r="U42" i="230"/>
  <c r="V42" i="230" s="1"/>
  <c r="M42" i="230"/>
  <c r="AI36" i="230"/>
  <c r="AJ36" i="230" s="1"/>
  <c r="W36" i="230"/>
  <c r="U22" i="230"/>
  <c r="V22" i="230" s="1"/>
  <c r="M22" i="230"/>
  <c r="M40" i="230"/>
  <c r="M39" i="230"/>
  <c r="U39" i="230"/>
  <c r="V39" i="230" s="1"/>
  <c r="AI11" i="230"/>
  <c r="AK11" i="230" s="1"/>
  <c r="X11" i="230"/>
  <c r="W11" i="230"/>
  <c r="M12" i="230"/>
  <c r="U12" i="230"/>
  <c r="V12" i="230" s="1"/>
  <c r="X15" i="230"/>
  <c r="AI15" i="230"/>
  <c r="AK15" i="230" s="1"/>
  <c r="BJ10" i="230"/>
  <c r="U44" i="230"/>
  <c r="V44" i="230" s="1"/>
  <c r="M44" i="230"/>
  <c r="M8" i="230"/>
  <c r="U8" i="230"/>
  <c r="V8" i="230" s="1"/>
  <c r="M31" i="230"/>
  <c r="U16" i="230"/>
  <c r="V16" i="230" s="1"/>
  <c r="M16" i="230"/>
  <c r="AS11" i="230"/>
  <c r="P11" i="230"/>
  <c r="U19" i="230"/>
  <c r="V19" i="230" s="1"/>
  <c r="M18" i="230"/>
  <c r="U18" i="230"/>
  <c r="V18" i="230" s="1"/>
  <c r="BB32" i="230"/>
  <c r="AV32" i="230"/>
  <c r="BK32" i="230" s="1"/>
  <c r="AX32" i="230"/>
  <c r="AT32" i="230"/>
  <c r="AU32" i="230" s="1"/>
  <c r="M10" i="230"/>
  <c r="M34" i="230"/>
  <c r="U34" i="230"/>
  <c r="V34" i="230" s="1"/>
  <c r="M26" i="230"/>
  <c r="U26" i="230"/>
  <c r="V26" i="230" s="1"/>
  <c r="AX36" i="230"/>
  <c r="BB36" i="230"/>
  <c r="AV36" i="230"/>
  <c r="BK36" i="230" s="1"/>
  <c r="AT36" i="230"/>
  <c r="AU36" i="230" s="1"/>
  <c r="AI25" i="230"/>
  <c r="AK25" i="230" s="1"/>
  <c r="X25" i="230"/>
  <c r="M9" i="230"/>
  <c r="AI38" i="230"/>
  <c r="AJ38" i="230" s="1"/>
  <c r="W38" i="230"/>
  <c r="M28" i="230"/>
  <c r="M37" i="230"/>
  <c r="U37" i="230"/>
  <c r="V37" i="230" s="1"/>
  <c r="AX25" i="230"/>
  <c r="AT25" i="230"/>
  <c r="AU25" i="230" s="1"/>
  <c r="AV25" i="230"/>
  <c r="BK25" i="230" s="1"/>
  <c r="BB25" i="230"/>
  <c r="AI32" i="230"/>
  <c r="AJ32" i="230" s="1"/>
  <c r="W32" i="230"/>
  <c r="U33" i="230"/>
  <c r="V33" i="230" s="1"/>
  <c r="M33" i="230"/>
  <c r="L46" i="230"/>
  <c r="Q6" i="230"/>
  <c r="M13" i="230"/>
  <c r="U13" i="230"/>
  <c r="V13" i="230" s="1"/>
  <c r="AI21" i="230"/>
  <c r="AN21" i="230" s="1"/>
  <c r="X21" i="230"/>
  <c r="AX38" i="230"/>
  <c r="BB38" i="230"/>
  <c r="AV38" i="230"/>
  <c r="BK38" i="230" s="1"/>
  <c r="AT38" i="230"/>
  <c r="AU38" i="230" s="1"/>
  <c r="M41" i="230"/>
  <c r="U41" i="230"/>
  <c r="V41" i="230" s="1"/>
  <c r="U17" i="230"/>
  <c r="V17" i="230" s="1"/>
  <c r="M17" i="230"/>
  <c r="M16" i="229"/>
  <c r="M21" i="229"/>
  <c r="U21" i="229" s="1"/>
  <c r="V21" i="229" s="1"/>
  <c r="M8" i="229"/>
  <c r="U8" i="229" s="1"/>
  <c r="V8" i="229" s="1"/>
  <c r="M22" i="229"/>
  <c r="U22" i="229"/>
  <c r="V22" i="229" s="1"/>
  <c r="M9" i="229"/>
  <c r="AI19" i="229"/>
  <c r="AK19" i="229" s="1"/>
  <c r="X19" i="229"/>
  <c r="M6" i="229"/>
  <c r="Q23" i="229"/>
  <c r="AI20" i="229"/>
  <c r="AK20" i="229" s="1"/>
  <c r="X20" i="229"/>
  <c r="M15" i="229"/>
  <c r="M11" i="229"/>
  <c r="U11" i="229" s="1"/>
  <c r="V11" i="229" s="1"/>
  <c r="M17" i="229"/>
  <c r="U17" i="229" s="1"/>
  <c r="V17" i="229" s="1"/>
  <c r="M18" i="229"/>
  <c r="U18" i="229"/>
  <c r="V18" i="229" s="1"/>
  <c r="AT23" i="229"/>
  <c r="M10" i="229"/>
  <c r="AI12" i="229"/>
  <c r="AK12" i="229" s="1"/>
  <c r="X12" i="229"/>
  <c r="M14" i="229"/>
  <c r="U14" i="229" s="1"/>
  <c r="V14" i="229" s="1"/>
  <c r="AU6" i="229"/>
  <c r="AU23" i="229" s="1"/>
  <c r="M7" i="229"/>
  <c r="M13" i="229"/>
  <c r="U13" i="229" s="1"/>
  <c r="V13" i="229" s="1"/>
  <c r="BL6" i="228"/>
  <c r="BL15" i="228" s="1"/>
  <c r="BJ15" i="228"/>
  <c r="M13" i="228"/>
  <c r="U13" i="228" s="1"/>
  <c r="V13" i="228" s="1"/>
  <c r="M10" i="228"/>
  <c r="U10" i="228" s="1"/>
  <c r="V10" i="228" s="1"/>
  <c r="M11" i="228"/>
  <c r="U11" i="228"/>
  <c r="V11" i="228" s="1"/>
  <c r="Q15" i="228"/>
  <c r="M6" i="228"/>
  <c r="U6" i="228"/>
  <c r="M7" i="228"/>
  <c r="U7" i="228"/>
  <c r="V7" i="228" s="1"/>
  <c r="M9" i="228"/>
  <c r="U9" i="228" s="1"/>
  <c r="V9" i="228" s="1"/>
  <c r="U14" i="228"/>
  <c r="V14" i="228" s="1"/>
  <c r="M14" i="228"/>
  <c r="M12" i="228"/>
  <c r="U12" i="228" s="1"/>
  <c r="V12" i="228" s="1"/>
  <c r="U8" i="228"/>
  <c r="V8" i="228" s="1"/>
  <c r="M8" i="228"/>
  <c r="BJ15" i="227"/>
  <c r="BM6" i="227"/>
  <c r="BM15" i="227" s="1"/>
  <c r="P8" i="227"/>
  <c r="P14" i="227"/>
  <c r="M11" i="227"/>
  <c r="U11" i="227"/>
  <c r="V11" i="227" s="1"/>
  <c r="M7" i="227"/>
  <c r="U7" i="227"/>
  <c r="V7" i="227" s="1"/>
  <c r="BB8" i="227"/>
  <c r="AX8" i="227"/>
  <c r="AV8" i="227"/>
  <c r="BK8" i="227" s="1"/>
  <c r="AT8" i="227"/>
  <c r="AU8" i="227" s="1"/>
  <c r="M13" i="227"/>
  <c r="U13" i="227"/>
  <c r="V13" i="227" s="1"/>
  <c r="AX9" i="227"/>
  <c r="AV9" i="227"/>
  <c r="BK9" i="227" s="1"/>
  <c r="AT9" i="227"/>
  <c r="AU9" i="227" s="1"/>
  <c r="BB9" i="227"/>
  <c r="Q6" i="227"/>
  <c r="L15" i="227"/>
  <c r="BB12" i="227"/>
  <c r="AX12" i="227"/>
  <c r="AV12" i="227"/>
  <c r="BK12" i="227" s="1"/>
  <c r="AT12" i="227"/>
  <c r="AU12" i="227" s="1"/>
  <c r="U14" i="227"/>
  <c r="V14" i="227" s="1"/>
  <c r="BB14" i="227"/>
  <c r="AX14" i="227"/>
  <c r="AV14" i="227"/>
  <c r="BK14" i="227" s="1"/>
  <c r="AT14" i="227"/>
  <c r="AU14" i="227" s="1"/>
  <c r="U10" i="227"/>
  <c r="V10" i="227" s="1"/>
  <c r="M10" i="227"/>
  <c r="M13" i="226"/>
  <c r="M22" i="226"/>
  <c r="M6" i="226"/>
  <c r="Q23" i="226"/>
  <c r="U6" i="226"/>
  <c r="M12" i="226"/>
  <c r="M20" i="226"/>
  <c r="U20" i="226"/>
  <c r="V20" i="226" s="1"/>
  <c r="M16" i="226"/>
  <c r="U16" i="226"/>
  <c r="V16" i="226" s="1"/>
  <c r="M8" i="226"/>
  <c r="M18" i="226"/>
  <c r="M7" i="226"/>
  <c r="U7" i="226" s="1"/>
  <c r="V7" i="226" s="1"/>
  <c r="M10" i="226"/>
  <c r="U10" i="226" s="1"/>
  <c r="V10" i="226" s="1"/>
  <c r="M14" i="226"/>
  <c r="U14" i="226" s="1"/>
  <c r="V14" i="226" s="1"/>
  <c r="M9" i="226"/>
  <c r="M21" i="226"/>
  <c r="U21" i="226" s="1"/>
  <c r="V21" i="226" s="1"/>
  <c r="M17" i="226"/>
  <c r="U17" i="226" s="1"/>
  <c r="V17" i="226" s="1"/>
  <c r="U15" i="226"/>
  <c r="V15" i="226" s="1"/>
  <c r="M15" i="226"/>
  <c r="M11" i="226"/>
  <c r="U11" i="226" s="1"/>
  <c r="V11" i="226" s="1"/>
  <c r="M19" i="226"/>
  <c r="U19" i="226" s="1"/>
  <c r="V19" i="226" s="1"/>
  <c r="AW7" i="225"/>
  <c r="AV7" i="225"/>
  <c r="BL7" i="225" s="1"/>
  <c r="BB7" i="225"/>
  <c r="P7" i="225"/>
  <c r="M11" i="225"/>
  <c r="U11" i="225" s="1"/>
  <c r="V11" i="225" s="1"/>
  <c r="M14" i="225"/>
  <c r="M9" i="225"/>
  <c r="U9" i="225" s="1"/>
  <c r="V9" i="225" s="1"/>
  <c r="M8" i="225"/>
  <c r="U8" i="225"/>
  <c r="V8" i="225" s="1"/>
  <c r="M6" i="225"/>
  <c r="U6" i="225" s="1"/>
  <c r="Q15" i="225"/>
  <c r="O15" i="225"/>
  <c r="M10" i="225"/>
  <c r="U10" i="225" s="1"/>
  <c r="V10" i="225" s="1"/>
  <c r="AS12" i="225"/>
  <c r="P12" i="225"/>
  <c r="M13" i="225"/>
  <c r="U7" i="225"/>
  <c r="V7" i="225" s="1"/>
  <c r="U12" i="225"/>
  <c r="V12" i="225" s="1"/>
  <c r="P88" i="236" l="1"/>
  <c r="AO81" i="236"/>
  <c r="AJ81" i="236"/>
  <c r="BB37" i="236"/>
  <c r="AV37" i="236"/>
  <c r="BK37" i="236" s="1"/>
  <c r="AT37" i="236"/>
  <c r="AU37" i="236" s="1"/>
  <c r="AW37" i="236"/>
  <c r="AI61" i="236"/>
  <c r="AJ61" i="236" s="1"/>
  <c r="W61" i="236"/>
  <c r="AV41" i="236"/>
  <c r="BK41" i="236" s="1"/>
  <c r="AT41" i="236"/>
  <c r="AU41" i="236" s="1"/>
  <c r="BB41" i="236"/>
  <c r="AW41" i="236"/>
  <c r="W32" i="236"/>
  <c r="AI32" i="236"/>
  <c r="BB52" i="236"/>
  <c r="AW52" i="236"/>
  <c r="AV52" i="236"/>
  <c r="BK52" i="236" s="1"/>
  <c r="AT52" i="236"/>
  <c r="AU52" i="236" s="1"/>
  <c r="AI60" i="236"/>
  <c r="AJ60" i="236" s="1"/>
  <c r="W60" i="236"/>
  <c r="AO10" i="236"/>
  <c r="AJ10" i="236"/>
  <c r="AS87" i="236"/>
  <c r="BB6" i="236"/>
  <c r="AW6" i="236"/>
  <c r="AV6" i="236"/>
  <c r="AT6" i="236"/>
  <c r="AI63" i="236"/>
  <c r="AJ63" i="236" s="1"/>
  <c r="W63" i="236"/>
  <c r="AI48" i="236"/>
  <c r="AJ48" i="236" s="1"/>
  <c r="W48" i="236"/>
  <c r="AV25" i="236"/>
  <c r="BK25" i="236" s="1"/>
  <c r="AT25" i="236"/>
  <c r="AU25" i="236" s="1"/>
  <c r="BB25" i="236"/>
  <c r="AW25" i="236"/>
  <c r="AI42" i="236"/>
  <c r="AJ42" i="236" s="1"/>
  <c r="W42" i="236"/>
  <c r="AI84" i="236"/>
  <c r="W84" i="236"/>
  <c r="AP87" i="236"/>
  <c r="BB78" i="236"/>
  <c r="AW78" i="236"/>
  <c r="AV78" i="236"/>
  <c r="BK78" i="236" s="1"/>
  <c r="AT78" i="236"/>
  <c r="AU78" i="236" s="1"/>
  <c r="BB18" i="236"/>
  <c r="AW18" i="236"/>
  <c r="AV18" i="236"/>
  <c r="BK18" i="236" s="1"/>
  <c r="AT18" i="236"/>
  <c r="AU18" i="236" s="1"/>
  <c r="BB8" i="236"/>
  <c r="AV8" i="236"/>
  <c r="BK8" i="236" s="1"/>
  <c r="AT8" i="236"/>
  <c r="AU8" i="236" s="1"/>
  <c r="AW8" i="236"/>
  <c r="AT29" i="236"/>
  <c r="AU29" i="236" s="1"/>
  <c r="BB29" i="236"/>
  <c r="AW29" i="236"/>
  <c r="AV29" i="236"/>
  <c r="BK29" i="236" s="1"/>
  <c r="AW77" i="236"/>
  <c r="BB77" i="236"/>
  <c r="AV77" i="236"/>
  <c r="BK77" i="236" s="1"/>
  <c r="AT77" i="236"/>
  <c r="AU77" i="236" s="1"/>
  <c r="AT26" i="236"/>
  <c r="AU26" i="236" s="1"/>
  <c r="BB26" i="236"/>
  <c r="AW26" i="236"/>
  <c r="AV26" i="236"/>
  <c r="BK26" i="236" s="1"/>
  <c r="AW61" i="236"/>
  <c r="AT61" i="236"/>
  <c r="AU61" i="236" s="1"/>
  <c r="BB61" i="236"/>
  <c r="AV61" i="236"/>
  <c r="BK61" i="236" s="1"/>
  <c r="W9" i="236"/>
  <c r="AI9" i="236"/>
  <c r="AV35" i="236"/>
  <c r="BK35" i="236" s="1"/>
  <c r="AT35" i="236"/>
  <c r="AU35" i="236" s="1"/>
  <c r="BB35" i="236"/>
  <c r="AW35" i="236"/>
  <c r="AO38" i="236"/>
  <c r="AJ38" i="236"/>
  <c r="AT55" i="236"/>
  <c r="AU55" i="236" s="1"/>
  <c r="BB55" i="236"/>
  <c r="AV55" i="236"/>
  <c r="BK55" i="236" s="1"/>
  <c r="AW55" i="236"/>
  <c r="AI80" i="236"/>
  <c r="W80" i="236"/>
  <c r="BB21" i="236"/>
  <c r="AW21" i="236"/>
  <c r="AV21" i="236"/>
  <c r="BK21" i="236" s="1"/>
  <c r="AT21" i="236"/>
  <c r="AU21" i="236" s="1"/>
  <c r="AT46" i="236"/>
  <c r="AU46" i="236" s="1"/>
  <c r="BB46" i="236"/>
  <c r="AV46" i="236"/>
  <c r="BK46" i="236" s="1"/>
  <c r="AW46" i="236"/>
  <c r="U87" i="236"/>
  <c r="V6" i="236"/>
  <c r="BB31" i="236"/>
  <c r="AV31" i="236"/>
  <c r="BK31" i="236" s="1"/>
  <c r="AT31" i="236"/>
  <c r="AU31" i="236" s="1"/>
  <c r="AW31" i="236"/>
  <c r="BB56" i="236"/>
  <c r="AV56" i="236"/>
  <c r="BK56" i="236" s="1"/>
  <c r="AW56" i="236"/>
  <c r="AT56" i="236"/>
  <c r="AU56" i="236" s="1"/>
  <c r="AW76" i="236"/>
  <c r="AV76" i="236"/>
  <c r="BK76" i="236" s="1"/>
  <c r="AT76" i="236"/>
  <c r="AU76" i="236" s="1"/>
  <c r="BB76" i="236"/>
  <c r="W39" i="236"/>
  <c r="AI39" i="236"/>
  <c r="AI53" i="236"/>
  <c r="AJ53" i="236" s="1"/>
  <c r="W53" i="236"/>
  <c r="BB48" i="236"/>
  <c r="AV48" i="236"/>
  <c r="BK48" i="236" s="1"/>
  <c r="AT48" i="236"/>
  <c r="AU48" i="236" s="1"/>
  <c r="AW48" i="236"/>
  <c r="AV32" i="236"/>
  <c r="BK32" i="236" s="1"/>
  <c r="AT32" i="236"/>
  <c r="AU32" i="236" s="1"/>
  <c r="AW32" i="236"/>
  <c r="BB32" i="236"/>
  <c r="W73" i="236"/>
  <c r="AI73" i="236"/>
  <c r="AJ73" i="236" s="1"/>
  <c r="AI52" i="236"/>
  <c r="AJ52" i="236" s="1"/>
  <c r="W52" i="236"/>
  <c r="AO72" i="236"/>
  <c r="AJ72" i="236"/>
  <c r="AW10" i="236"/>
  <c r="AV10" i="236"/>
  <c r="BK10" i="236" s="1"/>
  <c r="AT10" i="236"/>
  <c r="AU10" i="236" s="1"/>
  <c r="BB10" i="236"/>
  <c r="AI46" i="236"/>
  <c r="AJ46" i="236" s="1"/>
  <c r="W46" i="236"/>
  <c r="BB12" i="236"/>
  <c r="AW12" i="236"/>
  <c r="AV12" i="236"/>
  <c r="BK12" i="236" s="1"/>
  <c r="AT12" i="236"/>
  <c r="AU12" i="236" s="1"/>
  <c r="AO86" i="236"/>
  <c r="AJ86" i="236"/>
  <c r="AO83" i="236"/>
  <c r="AJ83" i="236"/>
  <c r="AI66" i="236"/>
  <c r="AJ66" i="236" s="1"/>
  <c r="W66" i="236"/>
  <c r="W35" i="236"/>
  <c r="AI35" i="236"/>
  <c r="AJ35" i="236" s="1"/>
  <c r="AI55" i="236"/>
  <c r="AJ55" i="236" s="1"/>
  <c r="W55" i="236"/>
  <c r="BB53" i="236"/>
  <c r="AW53" i="236"/>
  <c r="AV53" i="236"/>
  <c r="BK53" i="236" s="1"/>
  <c r="AT53" i="236"/>
  <c r="AU53" i="236" s="1"/>
  <c r="AV42" i="236"/>
  <c r="BK42" i="236" s="1"/>
  <c r="BB42" i="236"/>
  <c r="AW42" i="236"/>
  <c r="AT42" i="236"/>
  <c r="AU42" i="236" s="1"/>
  <c r="BB39" i="236"/>
  <c r="AV39" i="236"/>
  <c r="BK39" i="236" s="1"/>
  <c r="AW39" i="236"/>
  <c r="AT39" i="236"/>
  <c r="AU39" i="236" s="1"/>
  <c r="AI71" i="236"/>
  <c r="W71" i="236"/>
  <c r="BB33" i="236"/>
  <c r="AV33" i="236"/>
  <c r="BK33" i="236" s="1"/>
  <c r="AW33" i="236"/>
  <c r="AT33" i="236"/>
  <c r="AU33" i="236" s="1"/>
  <c r="AI70" i="236"/>
  <c r="W70" i="236"/>
  <c r="AW47" i="236"/>
  <c r="AV47" i="236"/>
  <c r="BK47" i="236" s="1"/>
  <c r="AT47" i="236"/>
  <c r="AU47" i="236" s="1"/>
  <c r="BB47" i="236"/>
  <c r="BB34" i="236"/>
  <c r="AV34" i="236"/>
  <c r="BK34" i="236" s="1"/>
  <c r="AT34" i="236"/>
  <c r="AU34" i="236" s="1"/>
  <c r="AW34" i="236"/>
  <c r="W24" i="236"/>
  <c r="AI24" i="236"/>
  <c r="AJ24" i="236" s="1"/>
  <c r="AW62" i="236"/>
  <c r="BB62" i="236"/>
  <c r="AV62" i="236"/>
  <c r="BK62" i="236" s="1"/>
  <c r="AT62" i="236"/>
  <c r="AU62" i="236" s="1"/>
  <c r="AJ29" i="236"/>
  <c r="AO29" i="236"/>
  <c r="AJ8" i="236"/>
  <c r="AO8" i="236"/>
  <c r="AT36" i="236"/>
  <c r="AU36" i="236" s="1"/>
  <c r="BB36" i="236"/>
  <c r="AV36" i="236"/>
  <c r="BK36" i="236" s="1"/>
  <c r="AW36" i="236"/>
  <c r="AW66" i="236"/>
  <c r="AT66" i="236"/>
  <c r="AU66" i="236" s="1"/>
  <c r="BB66" i="236"/>
  <c r="AV66" i="236"/>
  <c r="BK66" i="236" s="1"/>
  <c r="BB17" i="236"/>
  <c r="AW17" i="236"/>
  <c r="AV17" i="236"/>
  <c r="BK17" i="236" s="1"/>
  <c r="AT17" i="236"/>
  <c r="AU17" i="236" s="1"/>
  <c r="AI37" i="236"/>
  <c r="AJ37" i="236" s="1"/>
  <c r="W37" i="236"/>
  <c r="AJ82" i="236"/>
  <c r="AO82" i="236"/>
  <c r="AT9" i="236"/>
  <c r="AU9" i="236" s="1"/>
  <c r="BB9" i="236"/>
  <c r="AW9" i="236"/>
  <c r="AV9" i="236"/>
  <c r="BK9" i="236" s="1"/>
  <c r="AI12" i="236"/>
  <c r="W12" i="236"/>
  <c r="AI79" i="236"/>
  <c r="AJ79" i="236" s="1"/>
  <c r="W79" i="236"/>
  <c r="W30" i="235"/>
  <c r="AI30" i="235"/>
  <c r="AJ30" i="235" s="1"/>
  <c r="AI29" i="235"/>
  <c r="AJ29" i="235" s="1"/>
  <c r="W29" i="235"/>
  <c r="AI60" i="235"/>
  <c r="AJ60" i="235" s="1"/>
  <c r="W60" i="235"/>
  <c r="AP8" i="235"/>
  <c r="AS8" i="235"/>
  <c r="BB8" i="235" s="1"/>
  <c r="P8" i="235"/>
  <c r="AI65" i="235"/>
  <c r="AJ65" i="235" s="1"/>
  <c r="W65" i="235"/>
  <c r="AS96" i="235"/>
  <c r="AP96" i="235"/>
  <c r="P96" i="235"/>
  <c r="AP18" i="235"/>
  <c r="AS18" i="235"/>
  <c r="P18" i="235"/>
  <c r="AS15" i="235"/>
  <c r="AP15" i="235"/>
  <c r="P15" i="235"/>
  <c r="AT126" i="235"/>
  <c r="AU126" i="235" s="1"/>
  <c r="BC126" i="235"/>
  <c r="AV126" i="235"/>
  <c r="BK126" i="235" s="1"/>
  <c r="AZ126" i="235"/>
  <c r="AS73" i="235"/>
  <c r="P73" i="235"/>
  <c r="AS7" i="235"/>
  <c r="P7" i="235"/>
  <c r="AS66" i="235"/>
  <c r="P66" i="235"/>
  <c r="AS39" i="235"/>
  <c r="P39" i="235"/>
  <c r="AP39" i="235"/>
  <c r="AV101" i="235"/>
  <c r="BK101" i="235" s="1"/>
  <c r="AT101" i="235"/>
  <c r="AU101" i="235" s="1"/>
  <c r="BC101" i="235"/>
  <c r="AW101" i="235"/>
  <c r="AP120" i="235"/>
  <c r="AS120" i="235"/>
  <c r="P120" i="235"/>
  <c r="AS124" i="235"/>
  <c r="AP124" i="235"/>
  <c r="P124" i="235"/>
  <c r="BB113" i="235"/>
  <c r="AZ113" i="235"/>
  <c r="AV113" i="235"/>
  <c r="BK113" i="235" s="1"/>
  <c r="AT113" i="235"/>
  <c r="AU113" i="235" s="1"/>
  <c r="U120" i="235"/>
  <c r="V120" i="235" s="1"/>
  <c r="BL129" i="235"/>
  <c r="BI8" i="237" s="1"/>
  <c r="BI19" i="237" s="1"/>
  <c r="D24" i="40" s="1"/>
  <c r="AO91" i="235"/>
  <c r="AR91" i="235" s="1"/>
  <c r="AJ91" i="235"/>
  <c r="AI21" i="235"/>
  <c r="AJ21" i="235" s="1"/>
  <c r="W21" i="235"/>
  <c r="AS85" i="235"/>
  <c r="BB85" i="235" s="1"/>
  <c r="P85" i="235"/>
  <c r="BB83" i="235"/>
  <c r="AV83" i="235"/>
  <c r="BK83" i="235" s="1"/>
  <c r="AT83" i="235"/>
  <c r="AU83" i="235" s="1"/>
  <c r="AW83" i="235"/>
  <c r="AI72" i="235"/>
  <c r="AJ72" i="235" s="1"/>
  <c r="W72" i="235"/>
  <c r="U7" i="235"/>
  <c r="V7" i="235" s="1"/>
  <c r="AI67" i="235"/>
  <c r="W67" i="235"/>
  <c r="BB19" i="235"/>
  <c r="AT19" i="235"/>
  <c r="AU19" i="235" s="1"/>
  <c r="AW19" i="235"/>
  <c r="AV19" i="235"/>
  <c r="BK19" i="235" s="1"/>
  <c r="AS87" i="235"/>
  <c r="P87" i="235"/>
  <c r="AI73" i="235"/>
  <c r="AJ73" i="235" s="1"/>
  <c r="W73" i="235"/>
  <c r="AS28" i="235"/>
  <c r="P28" i="235"/>
  <c r="Q129" i="235"/>
  <c r="U96" i="235"/>
  <c r="V96" i="235" s="1"/>
  <c r="AI49" i="235"/>
  <c r="AJ49" i="235" s="1"/>
  <c r="W49" i="235"/>
  <c r="W80" i="235"/>
  <c r="AI80" i="235"/>
  <c r="AJ80" i="235" s="1"/>
  <c r="AS123" i="235"/>
  <c r="AP123" i="235"/>
  <c r="P123" i="235"/>
  <c r="AI35" i="235"/>
  <c r="W35" i="235"/>
  <c r="U15" i="235"/>
  <c r="V15" i="235" s="1"/>
  <c r="AI41" i="235"/>
  <c r="AJ41" i="235" s="1"/>
  <c r="W41" i="235"/>
  <c r="Z121" i="235"/>
  <c r="W121" i="235" s="1"/>
  <c r="AI121" i="235"/>
  <c r="AP10" i="235"/>
  <c r="AS10" i="235"/>
  <c r="BB10" i="235" s="1"/>
  <c r="P10" i="235"/>
  <c r="AS9" i="235"/>
  <c r="P9" i="235"/>
  <c r="AS49" i="235"/>
  <c r="P49" i="235"/>
  <c r="AS80" i="235"/>
  <c r="P80" i="235"/>
  <c r="U123" i="235"/>
  <c r="V123" i="235" s="1"/>
  <c r="AS33" i="235"/>
  <c r="P33" i="235"/>
  <c r="AT59" i="235"/>
  <c r="AU59" i="235" s="1"/>
  <c r="BB59" i="235"/>
  <c r="AV59" i="235"/>
  <c r="BK59" i="235" s="1"/>
  <c r="AW59" i="235"/>
  <c r="AS55" i="235"/>
  <c r="P55" i="235"/>
  <c r="AP35" i="235"/>
  <c r="AS35" i="235"/>
  <c r="BB35" i="235" s="1"/>
  <c r="P35" i="235"/>
  <c r="AS75" i="235"/>
  <c r="AP75" i="235"/>
  <c r="P75" i="235"/>
  <c r="AP21" i="235"/>
  <c r="AS21" i="235"/>
  <c r="P21" i="235"/>
  <c r="BB45" i="235"/>
  <c r="AW45" i="235"/>
  <c r="AV45" i="235"/>
  <c r="BK45" i="235" s="1"/>
  <c r="AT45" i="235"/>
  <c r="AU45" i="235" s="1"/>
  <c r="U85" i="235"/>
  <c r="V85" i="235" s="1"/>
  <c r="AS116" i="235"/>
  <c r="P116" i="235"/>
  <c r="AS14" i="235"/>
  <c r="P14" i="235"/>
  <c r="BB50" i="235"/>
  <c r="AW50" i="235"/>
  <c r="AV50" i="235"/>
  <c r="BK50" i="235" s="1"/>
  <c r="AT50" i="235"/>
  <c r="AU50" i="235" s="1"/>
  <c r="AS72" i="235"/>
  <c r="P72" i="235"/>
  <c r="AI84" i="235"/>
  <c r="AJ84" i="235" s="1"/>
  <c r="W84" i="235"/>
  <c r="AS67" i="235"/>
  <c r="BB67" i="235" s="1"/>
  <c r="AP67" i="235"/>
  <c r="P67" i="235"/>
  <c r="AS51" i="235"/>
  <c r="P51" i="235"/>
  <c r="AI54" i="235"/>
  <c r="AJ54" i="235" s="1"/>
  <c r="W54" i="235"/>
  <c r="AI10" i="235"/>
  <c r="W10" i="235"/>
  <c r="AS58" i="235"/>
  <c r="P58" i="235"/>
  <c r="AI33" i="235"/>
  <c r="AJ33" i="235" s="1"/>
  <c r="W33" i="235"/>
  <c r="BB25" i="235"/>
  <c r="AW25" i="235"/>
  <c r="AT25" i="235"/>
  <c r="AU25" i="235" s="1"/>
  <c r="AV25" i="235"/>
  <c r="BK25" i="235" s="1"/>
  <c r="AS20" i="235"/>
  <c r="P20" i="235"/>
  <c r="AS52" i="235"/>
  <c r="AP52" i="235"/>
  <c r="P52" i="235"/>
  <c r="AS57" i="235"/>
  <c r="P57" i="235"/>
  <c r="AS43" i="235"/>
  <c r="P43" i="235"/>
  <c r="U55" i="235"/>
  <c r="V55" i="235" s="1"/>
  <c r="AS79" i="235"/>
  <c r="BB79" i="235" s="1"/>
  <c r="P79" i="235"/>
  <c r="U75" i="235"/>
  <c r="V75" i="235" s="1"/>
  <c r="U116" i="235"/>
  <c r="V116" i="235" s="1"/>
  <c r="AO11" i="235"/>
  <c r="AR11" i="235" s="1"/>
  <c r="AJ11" i="235"/>
  <c r="U14" i="235"/>
  <c r="V14" i="235" s="1"/>
  <c r="AS84" i="235"/>
  <c r="P84" i="235"/>
  <c r="AI63" i="235"/>
  <c r="AJ63" i="235" s="1"/>
  <c r="W63" i="235"/>
  <c r="AS68" i="235"/>
  <c r="AP68" i="235"/>
  <c r="P68" i="235"/>
  <c r="U51" i="235"/>
  <c r="V51" i="235" s="1"/>
  <c r="AO62" i="235"/>
  <c r="AR62" i="235" s="1"/>
  <c r="AJ62" i="235"/>
  <c r="AO92" i="235"/>
  <c r="AJ92" i="235"/>
  <c r="AP29" i="235"/>
  <c r="AS29" i="235"/>
  <c r="P29" i="235"/>
  <c r="AI18" i="235"/>
  <c r="AJ18" i="235" s="1"/>
  <c r="W18" i="235"/>
  <c r="AI46" i="235"/>
  <c r="W46" i="235"/>
  <c r="BB105" i="235"/>
  <c r="AT105" i="235"/>
  <c r="AU105" i="235" s="1"/>
  <c r="AW105" i="235"/>
  <c r="AV105" i="235"/>
  <c r="BK105" i="235" s="1"/>
  <c r="U124" i="235"/>
  <c r="V124" i="235" s="1"/>
  <c r="W19" i="235"/>
  <c r="AI19" i="235"/>
  <c r="AJ19" i="235" s="1"/>
  <c r="BB99" i="235"/>
  <c r="AT99" i="235"/>
  <c r="AU99" i="235" s="1"/>
  <c r="AW99" i="235"/>
  <c r="AV99" i="235"/>
  <c r="BK99" i="235" s="1"/>
  <c r="M117" i="235"/>
  <c r="W20" i="235"/>
  <c r="AI20" i="235"/>
  <c r="AJ20" i="235" s="1"/>
  <c r="AI52" i="235"/>
  <c r="AJ52" i="235" s="1"/>
  <c r="W52" i="235"/>
  <c r="BB93" i="235"/>
  <c r="AW93" i="235"/>
  <c r="AV93" i="235"/>
  <c r="BK93" i="235" s="1"/>
  <c r="AT93" i="235"/>
  <c r="AU93" i="235" s="1"/>
  <c r="AI57" i="235"/>
  <c r="AJ57" i="235" s="1"/>
  <c r="W57" i="235"/>
  <c r="AI43" i="235"/>
  <c r="AJ43" i="235" s="1"/>
  <c r="W43" i="235"/>
  <c r="AI44" i="235"/>
  <c r="AJ44" i="235" s="1"/>
  <c r="W44" i="235"/>
  <c r="W79" i="235"/>
  <c r="AI79" i="235"/>
  <c r="AI69" i="235"/>
  <c r="AJ69" i="235" s="1"/>
  <c r="W69" i="235"/>
  <c r="AS36" i="235"/>
  <c r="P36" i="235"/>
  <c r="BB95" i="235"/>
  <c r="AW95" i="235"/>
  <c r="AV95" i="235"/>
  <c r="BK95" i="235" s="1"/>
  <c r="AT95" i="235"/>
  <c r="AU95" i="235" s="1"/>
  <c r="AS40" i="235"/>
  <c r="P40" i="235"/>
  <c r="AS71" i="235"/>
  <c r="P71" i="235"/>
  <c r="AI122" i="235"/>
  <c r="AM122" i="235" s="1"/>
  <c r="Z122" i="235"/>
  <c r="W122" i="235" s="1"/>
  <c r="BB103" i="235"/>
  <c r="AW103" i="235"/>
  <c r="AV103" i="235"/>
  <c r="BK103" i="235" s="1"/>
  <c r="AT103" i="235"/>
  <c r="AU103" i="235" s="1"/>
  <c r="AS63" i="235"/>
  <c r="P63" i="235"/>
  <c r="U68" i="235"/>
  <c r="V68" i="235" s="1"/>
  <c r="V112" i="235"/>
  <c r="AS56" i="235"/>
  <c r="P56" i="235"/>
  <c r="AS30" i="235"/>
  <c r="P30" i="235"/>
  <c r="AI37" i="235"/>
  <c r="AJ37" i="235" s="1"/>
  <c r="W37" i="235"/>
  <c r="AS60" i="235"/>
  <c r="P60" i="235"/>
  <c r="BB34" i="235"/>
  <c r="AT34" i="235"/>
  <c r="AU34" i="235" s="1"/>
  <c r="AW34" i="235"/>
  <c r="AV34" i="235"/>
  <c r="BK34" i="235" s="1"/>
  <c r="AS23" i="235"/>
  <c r="P23" i="235"/>
  <c r="AS26" i="235"/>
  <c r="P26" i="235"/>
  <c r="Z113" i="235"/>
  <c r="AI113" i="235"/>
  <c r="AM113" i="235" s="1"/>
  <c r="AS90" i="235"/>
  <c r="BB90" i="235" s="1"/>
  <c r="AP90" i="235"/>
  <c r="P90" i="235"/>
  <c r="BB78" i="235"/>
  <c r="AT78" i="235"/>
  <c r="AU78" i="235" s="1"/>
  <c r="AW78" i="235"/>
  <c r="AV78" i="235"/>
  <c r="BK78" i="235" s="1"/>
  <c r="AW81" i="235"/>
  <c r="AT81" i="235"/>
  <c r="AU81" i="235" s="1"/>
  <c r="BC81" i="235"/>
  <c r="AV81" i="235"/>
  <c r="BK81" i="235" s="1"/>
  <c r="V6" i="235"/>
  <c r="AS31" i="235"/>
  <c r="P31" i="235"/>
  <c r="AS42" i="235"/>
  <c r="P42" i="235"/>
  <c r="AP44" i="235"/>
  <c r="AS44" i="235"/>
  <c r="P44" i="235"/>
  <c r="AP69" i="235"/>
  <c r="AS69" i="235"/>
  <c r="P69" i="235"/>
  <c r="U36" i="235"/>
  <c r="V36" i="235" s="1"/>
  <c r="AV74" i="235"/>
  <c r="BK74" i="235" s="1"/>
  <c r="BB74" i="235"/>
  <c r="AW74" i="235"/>
  <c r="AT74" i="235"/>
  <c r="AU74" i="235" s="1"/>
  <c r="AI114" i="235"/>
  <c r="AM114" i="235" s="1"/>
  <c r="Z114" i="235"/>
  <c r="U40" i="235"/>
  <c r="V40" i="235" s="1"/>
  <c r="U71" i="235"/>
  <c r="V71" i="235" s="1"/>
  <c r="AI53" i="235"/>
  <c r="AJ53" i="235" s="1"/>
  <c r="W53" i="235"/>
  <c r="AS122" i="235"/>
  <c r="P122" i="235"/>
  <c r="W64" i="235"/>
  <c r="AI64" i="235"/>
  <c r="AJ64" i="235" s="1"/>
  <c r="AS48" i="235"/>
  <c r="AP48" i="235"/>
  <c r="P48" i="235"/>
  <c r="BJ129" i="235"/>
  <c r="BG8" i="237" s="1"/>
  <c r="BB54" i="235"/>
  <c r="AW54" i="235"/>
  <c r="AV54" i="235"/>
  <c r="BK54" i="235" s="1"/>
  <c r="AT54" i="235"/>
  <c r="AU54" i="235" s="1"/>
  <c r="BB121" i="235"/>
  <c r="AS77" i="235"/>
  <c r="P77" i="235"/>
  <c r="AI13" i="235"/>
  <c r="AJ13" i="235" s="1"/>
  <c r="W13" i="235"/>
  <c r="BB47" i="235"/>
  <c r="AW47" i="235"/>
  <c r="AV47" i="235"/>
  <c r="BK47" i="235" s="1"/>
  <c r="AT47" i="235"/>
  <c r="AU47" i="235" s="1"/>
  <c r="BB16" i="235"/>
  <c r="AW16" i="235"/>
  <c r="AT16" i="235"/>
  <c r="AU16" i="235" s="1"/>
  <c r="AV16" i="235"/>
  <c r="BK16" i="235" s="1"/>
  <c r="AI66" i="235"/>
  <c r="AJ66" i="235" s="1"/>
  <c r="W66" i="235"/>
  <c r="W78" i="235"/>
  <c r="AI78" i="235"/>
  <c r="AJ78" i="235" s="1"/>
  <c r="W58" i="235"/>
  <c r="AI58" i="235"/>
  <c r="AJ58" i="235" s="1"/>
  <c r="U56" i="235"/>
  <c r="V56" i="235" s="1"/>
  <c r="U28" i="235"/>
  <c r="V28" i="235" s="1"/>
  <c r="AI9" i="235"/>
  <c r="AJ9" i="235" s="1"/>
  <c r="W9" i="235"/>
  <c r="AI47" i="235"/>
  <c r="AJ47" i="235" s="1"/>
  <c r="W47" i="235"/>
  <c r="U8" i="235"/>
  <c r="V8" i="235" s="1"/>
  <c r="U23" i="235"/>
  <c r="V23" i="235" s="1"/>
  <c r="U26" i="235"/>
  <c r="V26" i="235" s="1"/>
  <c r="U39" i="235"/>
  <c r="V39" i="235" s="1"/>
  <c r="BB76" i="235"/>
  <c r="AV76" i="235"/>
  <c r="BK76" i="235" s="1"/>
  <c r="AT76" i="235"/>
  <c r="AU76" i="235" s="1"/>
  <c r="AW76" i="235"/>
  <c r="U90" i="235"/>
  <c r="V90" i="235" s="1"/>
  <c r="AS65" i="235"/>
  <c r="P65" i="235"/>
  <c r="AP112" i="235"/>
  <c r="AS112" i="235"/>
  <c r="P112" i="235"/>
  <c r="M108" i="235"/>
  <c r="AS6" i="235"/>
  <c r="AP6" i="235"/>
  <c r="P6" i="235"/>
  <c r="U31" i="235"/>
  <c r="V31" i="235" s="1"/>
  <c r="U42" i="235"/>
  <c r="V42" i="235" s="1"/>
  <c r="U77" i="235"/>
  <c r="V77" i="235" s="1"/>
  <c r="U87" i="235"/>
  <c r="V87" i="235" s="1"/>
  <c r="AS114" i="235"/>
  <c r="P114" i="235"/>
  <c r="BB118" i="235"/>
  <c r="AP46" i="235"/>
  <c r="AS46" i="235"/>
  <c r="BB46" i="235" s="1"/>
  <c r="P46" i="235"/>
  <c r="AS53" i="235"/>
  <c r="P53" i="235"/>
  <c r="AO118" i="235"/>
  <c r="AR118" i="235" s="1"/>
  <c r="AZ118" i="235" s="1"/>
  <c r="AM118" i="235"/>
  <c r="U48" i="235"/>
  <c r="V48" i="235" s="1"/>
  <c r="AS37" i="235"/>
  <c r="AP37" i="235"/>
  <c r="P37" i="235"/>
  <c r="AI42" i="234"/>
  <c r="AK42" i="234" s="1"/>
  <c r="X42" i="234"/>
  <c r="AI27" i="234"/>
  <c r="AK27" i="234" s="1"/>
  <c r="W27" i="234"/>
  <c r="AV18" i="234"/>
  <c r="BK18" i="234" s="1"/>
  <c r="AX18" i="234"/>
  <c r="BB18" i="234"/>
  <c r="P18" i="234"/>
  <c r="BB29" i="234"/>
  <c r="AX29" i="234"/>
  <c r="AV29" i="234"/>
  <c r="BK29" i="234" s="1"/>
  <c r="P29" i="234"/>
  <c r="AX9" i="234"/>
  <c r="BB9" i="234"/>
  <c r="P9" i="234"/>
  <c r="AV9" i="234"/>
  <c r="BK9" i="234" s="1"/>
  <c r="AI58" i="234"/>
  <c r="AK58" i="234" s="1"/>
  <c r="W58" i="234"/>
  <c r="BB13" i="234"/>
  <c r="AX13" i="234"/>
  <c r="AV13" i="234"/>
  <c r="BK13" i="234" s="1"/>
  <c r="P13" i="234"/>
  <c r="BB38" i="234"/>
  <c r="AV38" i="234"/>
  <c r="BK38" i="234" s="1"/>
  <c r="P38" i="234"/>
  <c r="AX38" i="234"/>
  <c r="BB52" i="234"/>
  <c r="AX52" i="234"/>
  <c r="AV52" i="234"/>
  <c r="BK52" i="234" s="1"/>
  <c r="P52" i="234"/>
  <c r="AI21" i="234"/>
  <c r="AK21" i="234" s="1"/>
  <c r="W21" i="234"/>
  <c r="AX48" i="234"/>
  <c r="AV48" i="234"/>
  <c r="BK48" i="234" s="1"/>
  <c r="P48" i="234"/>
  <c r="BB48" i="234"/>
  <c r="AV23" i="234"/>
  <c r="BK23" i="234" s="1"/>
  <c r="BB23" i="234"/>
  <c r="AX23" i="234"/>
  <c r="P23" i="234"/>
  <c r="AV40" i="234"/>
  <c r="BK40" i="234" s="1"/>
  <c r="AX40" i="234"/>
  <c r="BB40" i="234"/>
  <c r="P40" i="234"/>
  <c r="AI41" i="234"/>
  <c r="AK41" i="234" s="1"/>
  <c r="X41" i="234"/>
  <c r="U38" i="234"/>
  <c r="V38" i="234" s="1"/>
  <c r="U52" i="234"/>
  <c r="V52" i="234" s="1"/>
  <c r="BB19" i="234"/>
  <c r="AX19" i="234"/>
  <c r="AV19" i="234"/>
  <c r="BK19" i="234" s="1"/>
  <c r="P19" i="234"/>
  <c r="AP21" i="234"/>
  <c r="AP61" i="234" s="1"/>
  <c r="P21" i="234"/>
  <c r="BB21" i="234"/>
  <c r="AX21" i="234"/>
  <c r="AV21" i="234"/>
  <c r="BK21" i="234" s="1"/>
  <c r="X10" i="234"/>
  <c r="AI10" i="234"/>
  <c r="AK10" i="234" s="1"/>
  <c r="U9" i="234"/>
  <c r="BB53" i="234"/>
  <c r="AX53" i="234"/>
  <c r="AV53" i="234"/>
  <c r="BK53" i="234" s="1"/>
  <c r="P53" i="234"/>
  <c r="AV27" i="234"/>
  <c r="BK27" i="234" s="1"/>
  <c r="AX27" i="234"/>
  <c r="BB27" i="234"/>
  <c r="P27" i="234"/>
  <c r="BB42" i="234"/>
  <c r="AX42" i="234"/>
  <c r="AV42" i="234"/>
  <c r="BK42" i="234" s="1"/>
  <c r="P42" i="234"/>
  <c r="AI23" i="234"/>
  <c r="AK23" i="234" s="1"/>
  <c r="X23" i="234"/>
  <c r="AI40" i="234"/>
  <c r="AJ40" i="234" s="1"/>
  <c r="W40" i="234"/>
  <c r="AI49" i="234"/>
  <c r="AK49" i="234" s="1"/>
  <c r="X49" i="234"/>
  <c r="AI57" i="234"/>
  <c r="AK57" i="234" s="1"/>
  <c r="W57" i="234"/>
  <c r="AI53" i="234"/>
  <c r="AK53" i="234" s="1"/>
  <c r="W53" i="234"/>
  <c r="W6" i="234"/>
  <c r="AI6" i="234"/>
  <c r="AX44" i="234"/>
  <c r="P44" i="234"/>
  <c r="BB44" i="234"/>
  <c r="AV44" i="234"/>
  <c r="BK44" i="234" s="1"/>
  <c r="AI35" i="234"/>
  <c r="AK35" i="234" s="1"/>
  <c r="X35" i="234"/>
  <c r="AI8" i="234"/>
  <c r="AK8" i="234" s="1"/>
  <c r="X8" i="234"/>
  <c r="AI32" i="234"/>
  <c r="AK32" i="234" s="1"/>
  <c r="X32" i="234"/>
  <c r="AX49" i="234"/>
  <c r="P49" i="234"/>
  <c r="AV49" i="234"/>
  <c r="BK49" i="234" s="1"/>
  <c r="BB49" i="234"/>
  <c r="AX45" i="234"/>
  <c r="AV45" i="234"/>
  <c r="BK45" i="234" s="1"/>
  <c r="P45" i="234"/>
  <c r="BB45" i="234"/>
  <c r="X13" i="234"/>
  <c r="AI13" i="234"/>
  <c r="AK13" i="234" s="1"/>
  <c r="AX57" i="234"/>
  <c r="BB57" i="234"/>
  <c r="P57" i="234"/>
  <c r="AV57" i="234"/>
  <c r="BK57" i="234" s="1"/>
  <c r="U45" i="234"/>
  <c r="V45" i="234" s="1"/>
  <c r="AI50" i="234"/>
  <c r="AK50" i="234" s="1"/>
  <c r="X50" i="234"/>
  <c r="AI46" i="234"/>
  <c r="AK46" i="234" s="1"/>
  <c r="X46" i="234"/>
  <c r="BB14" i="234"/>
  <c r="P14" i="234"/>
  <c r="AX14" i="234"/>
  <c r="AV14" i="234"/>
  <c r="BK14" i="234" s="1"/>
  <c r="AV35" i="234"/>
  <c r="BK35" i="234" s="1"/>
  <c r="AX35" i="234"/>
  <c r="P35" i="234"/>
  <c r="BB35" i="234"/>
  <c r="BB47" i="234"/>
  <c r="AX47" i="234"/>
  <c r="AV47" i="234"/>
  <c r="BK47" i="234" s="1"/>
  <c r="P47" i="234"/>
  <c r="AV46" i="234"/>
  <c r="BK46" i="234" s="1"/>
  <c r="P46" i="234"/>
  <c r="BB46" i="234"/>
  <c r="AX46" i="234"/>
  <c r="BB60" i="234"/>
  <c r="AX60" i="234"/>
  <c r="P60" i="234"/>
  <c r="AV60" i="234"/>
  <c r="BK60" i="234" s="1"/>
  <c r="BB20" i="234"/>
  <c r="AX20" i="234"/>
  <c r="AV20" i="234"/>
  <c r="BK20" i="234" s="1"/>
  <c r="P20" i="234"/>
  <c r="AX8" i="234"/>
  <c r="BB8" i="234"/>
  <c r="M61" i="234"/>
  <c r="P8" i="234"/>
  <c r="P61" i="234" s="1"/>
  <c r="AV8" i="234"/>
  <c r="AX28" i="234"/>
  <c r="AV28" i="234"/>
  <c r="BK28" i="234" s="1"/>
  <c r="BB28" i="234"/>
  <c r="P28" i="234"/>
  <c r="AX36" i="234"/>
  <c r="BB36" i="234"/>
  <c r="AV36" i="234"/>
  <c r="BK36" i="234" s="1"/>
  <c r="P36" i="234"/>
  <c r="X11" i="234"/>
  <c r="AI11" i="234"/>
  <c r="AK11" i="234" s="1"/>
  <c r="BB39" i="234"/>
  <c r="AX39" i="234"/>
  <c r="AV39" i="234"/>
  <c r="BK39" i="234" s="1"/>
  <c r="P39" i="234"/>
  <c r="BB32" i="234"/>
  <c r="AX32" i="234"/>
  <c r="AV32" i="234"/>
  <c r="BK32" i="234" s="1"/>
  <c r="P32" i="234"/>
  <c r="AX24" i="234"/>
  <c r="BB24" i="234"/>
  <c r="AV24" i="234"/>
  <c r="BK24" i="234" s="1"/>
  <c r="P24" i="234"/>
  <c r="X44" i="234"/>
  <c r="W44" i="234"/>
  <c r="AI44" i="234"/>
  <c r="AK44" i="234" s="1"/>
  <c r="BB10" i="234"/>
  <c r="AV10" i="234"/>
  <c r="BK10" i="234" s="1"/>
  <c r="P10" i="234"/>
  <c r="AX10" i="234"/>
  <c r="W48" i="234"/>
  <c r="X48" i="234" s="1"/>
  <c r="AI48" i="234"/>
  <c r="AK48" i="234" s="1"/>
  <c r="X14" i="234"/>
  <c r="AI14" i="234"/>
  <c r="AK14" i="234" s="1"/>
  <c r="X47" i="234"/>
  <c r="AI47" i="234"/>
  <c r="AK47" i="234" s="1"/>
  <c r="AI20" i="234"/>
  <c r="AK20" i="234" s="1"/>
  <c r="X20" i="234"/>
  <c r="U18" i="234"/>
  <c r="V18" i="234" s="1"/>
  <c r="U60" i="234"/>
  <c r="V60" i="234" s="1"/>
  <c r="X15" i="234"/>
  <c r="AI15" i="234"/>
  <c r="AK15" i="234" s="1"/>
  <c r="U29" i="234"/>
  <c r="V29" i="234" s="1"/>
  <c r="U28" i="234"/>
  <c r="V28" i="234" s="1"/>
  <c r="U36" i="234"/>
  <c r="V36" i="234" s="1"/>
  <c r="U24" i="234"/>
  <c r="V24" i="234" s="1"/>
  <c r="U39" i="234"/>
  <c r="V39" i="234" s="1"/>
  <c r="V9" i="233"/>
  <c r="AI6" i="233"/>
  <c r="X6" i="233"/>
  <c r="AI8" i="233"/>
  <c r="AK8" i="233" s="1"/>
  <c r="X8" i="233"/>
  <c r="AI7" i="233"/>
  <c r="AK7" i="233" s="1"/>
  <c r="X7" i="233"/>
  <c r="U9" i="233"/>
  <c r="BB7" i="233"/>
  <c r="AX7" i="233"/>
  <c r="AV7" i="233"/>
  <c r="P7" i="233"/>
  <c r="P9" i="233" s="1"/>
  <c r="BB8" i="233"/>
  <c r="AX8" i="233"/>
  <c r="AV8" i="233"/>
  <c r="BK8" i="233" s="1"/>
  <c r="P8" i="233"/>
  <c r="M9" i="233"/>
  <c r="V6" i="232"/>
  <c r="AI25" i="232"/>
  <c r="AK25" i="232" s="1"/>
  <c r="X25" i="232"/>
  <c r="W25" i="232" s="1"/>
  <c r="X8" i="232"/>
  <c r="AI8" i="232"/>
  <c r="AK8" i="232" s="1"/>
  <c r="AI21" i="232"/>
  <c r="AK21" i="232" s="1"/>
  <c r="X21" i="232"/>
  <c r="AS12" i="232"/>
  <c r="P12" i="232"/>
  <c r="AS8" i="232"/>
  <c r="P8" i="232"/>
  <c r="BB21" i="232"/>
  <c r="AX21" i="232"/>
  <c r="AV21" i="232"/>
  <c r="BK21" i="232" s="1"/>
  <c r="P21" i="232"/>
  <c r="X12" i="232"/>
  <c r="AI12" i="232"/>
  <c r="AK12" i="232" s="1"/>
  <c r="AI14" i="232"/>
  <c r="AK14" i="232" s="1"/>
  <c r="X14" i="232"/>
  <c r="AV26" i="232"/>
  <c r="BK26" i="232" s="1"/>
  <c r="BB26" i="232"/>
  <c r="P26" i="232"/>
  <c r="AX26" i="232"/>
  <c r="AS14" i="232"/>
  <c r="P14" i="232"/>
  <c r="AS10" i="232"/>
  <c r="P10" i="232"/>
  <c r="AI26" i="232"/>
  <c r="AK26" i="232" s="1"/>
  <c r="W26" i="232"/>
  <c r="X23" i="232"/>
  <c r="W23" i="232" s="1"/>
  <c r="AI23" i="232"/>
  <c r="AK23" i="232" s="1"/>
  <c r="AI20" i="232"/>
  <c r="AK20" i="232" s="1"/>
  <c r="X20" i="232"/>
  <c r="AS15" i="232"/>
  <c r="P15" i="232"/>
  <c r="X10" i="232"/>
  <c r="AI10" i="232"/>
  <c r="AK10" i="232" s="1"/>
  <c r="X13" i="232"/>
  <c r="AI13" i="232"/>
  <c r="AK13" i="232" s="1"/>
  <c r="BB23" i="232"/>
  <c r="AX23" i="232"/>
  <c r="P23" i="232"/>
  <c r="AV23" i="232"/>
  <c r="BK23" i="232" s="1"/>
  <c r="AS13" i="232"/>
  <c r="P13" i="232"/>
  <c r="BB20" i="232"/>
  <c r="AX20" i="232"/>
  <c r="AV20" i="232"/>
  <c r="BK20" i="232" s="1"/>
  <c r="P20" i="232"/>
  <c r="U15" i="232"/>
  <c r="V15" i="232" s="1"/>
  <c r="AV22" i="232"/>
  <c r="BK22" i="232" s="1"/>
  <c r="AX22" i="232"/>
  <c r="BB22" i="232"/>
  <c r="P22" i="232"/>
  <c r="AV25" i="232"/>
  <c r="BK25" i="232" s="1"/>
  <c r="BB25" i="232"/>
  <c r="AX25" i="232"/>
  <c r="P25" i="232"/>
  <c r="U22" i="232"/>
  <c r="V22" i="232" s="1"/>
  <c r="AS11" i="232"/>
  <c r="P11" i="232"/>
  <c r="AV24" i="232"/>
  <c r="BK24" i="232" s="1"/>
  <c r="AX24" i="232"/>
  <c r="BB24" i="232"/>
  <c r="P24" i="232"/>
  <c r="AI11" i="232"/>
  <c r="AK11" i="232" s="1"/>
  <c r="X11" i="232"/>
  <c r="X24" i="232"/>
  <c r="W24" i="232" s="1"/>
  <c r="AI24" i="232"/>
  <c r="AK24" i="232" s="1"/>
  <c r="AS6" i="232"/>
  <c r="P6" i="232"/>
  <c r="M9" i="232"/>
  <c r="AI14" i="231"/>
  <c r="AK14" i="231" s="1"/>
  <c r="X14" i="231"/>
  <c r="AI16" i="231"/>
  <c r="AK16" i="231" s="1"/>
  <c r="AA16" i="231"/>
  <c r="AA17" i="231" s="1"/>
  <c r="X9" i="231"/>
  <c r="AI9" i="231"/>
  <c r="AK9" i="231" s="1"/>
  <c r="AI7" i="231"/>
  <c r="X7" i="231"/>
  <c r="BB9" i="231"/>
  <c r="AX9" i="231"/>
  <c r="AV9" i="231"/>
  <c r="BK9" i="231" s="1"/>
  <c r="P9" i="231"/>
  <c r="M17" i="231"/>
  <c r="AI8" i="231"/>
  <c r="AK8" i="231" s="1"/>
  <c r="X8" i="231"/>
  <c r="X10" i="231"/>
  <c r="AI10" i="231"/>
  <c r="AK10" i="231" s="1"/>
  <c r="U17" i="231"/>
  <c r="V18" i="231" s="1"/>
  <c r="BB8" i="231"/>
  <c r="AX8" i="231"/>
  <c r="AV8" i="231"/>
  <c r="BK8" i="231" s="1"/>
  <c r="P8" i="231"/>
  <c r="AT6" i="231"/>
  <c r="AS17" i="231"/>
  <c r="BB6" i="231"/>
  <c r="AX6" i="231"/>
  <c r="AV6" i="231"/>
  <c r="AI13" i="231"/>
  <c r="AK13" i="231" s="1"/>
  <c r="X13" i="231"/>
  <c r="AV14" i="231"/>
  <c r="BK14" i="231" s="1"/>
  <c r="AX14" i="231"/>
  <c r="BB14" i="231"/>
  <c r="P14" i="231"/>
  <c r="BB15" i="231"/>
  <c r="AV15" i="231"/>
  <c r="BK15" i="231" s="1"/>
  <c r="AX15" i="231"/>
  <c r="P15" i="231"/>
  <c r="U15" i="231"/>
  <c r="V15" i="231" s="1"/>
  <c r="AV13" i="231"/>
  <c r="BK13" i="231" s="1"/>
  <c r="AX13" i="231"/>
  <c r="BB13" i="231"/>
  <c r="P13" i="231"/>
  <c r="BB10" i="231"/>
  <c r="AX10" i="231"/>
  <c r="AV10" i="231"/>
  <c r="BK10" i="231" s="1"/>
  <c r="P10" i="231"/>
  <c r="BB16" i="231"/>
  <c r="AX16" i="231"/>
  <c r="AV16" i="231"/>
  <c r="BK16" i="231" s="1"/>
  <c r="P16" i="231"/>
  <c r="X14" i="230"/>
  <c r="AI14" i="230"/>
  <c r="AK14" i="230" s="1"/>
  <c r="AI7" i="230"/>
  <c r="AK7" i="230" s="1"/>
  <c r="W7" i="230"/>
  <c r="AI17" i="230"/>
  <c r="AJ17" i="230" s="1"/>
  <c r="W17" i="230"/>
  <c r="AI18" i="230"/>
  <c r="AK18" i="230" s="1"/>
  <c r="X18" i="230"/>
  <c r="AS31" i="230"/>
  <c r="P31" i="230"/>
  <c r="W42" i="230"/>
  <c r="AI42" i="230"/>
  <c r="AK42" i="230" s="1"/>
  <c r="AI41" i="230"/>
  <c r="AK41" i="230" s="1"/>
  <c r="W41" i="230"/>
  <c r="AS34" i="230"/>
  <c r="P34" i="230"/>
  <c r="AS18" i="230"/>
  <c r="P18" i="230"/>
  <c r="AI12" i="230"/>
  <c r="AK12" i="230" s="1"/>
  <c r="W12" i="230"/>
  <c r="AS40" i="230"/>
  <c r="P40" i="230"/>
  <c r="AS20" i="230"/>
  <c r="P20" i="230"/>
  <c r="AS41" i="230"/>
  <c r="P41" i="230"/>
  <c r="AS13" i="230"/>
  <c r="P13" i="230"/>
  <c r="AS28" i="230"/>
  <c r="P28" i="230"/>
  <c r="AS10" i="230"/>
  <c r="P10" i="230"/>
  <c r="AI19" i="230"/>
  <c r="AK19" i="230" s="1"/>
  <c r="X19" i="230"/>
  <c r="AS8" i="230"/>
  <c r="AP8" i="230"/>
  <c r="P8" i="230"/>
  <c r="AS12" i="230"/>
  <c r="P12" i="230"/>
  <c r="U40" i="230"/>
  <c r="V40" i="230" s="1"/>
  <c r="U20" i="230"/>
  <c r="V20" i="230" s="1"/>
  <c r="M6" i="230"/>
  <c r="Q46" i="230"/>
  <c r="U28" i="230"/>
  <c r="V28" i="230" s="1"/>
  <c r="U10" i="230"/>
  <c r="V10" i="230" s="1"/>
  <c r="AS44" i="230"/>
  <c r="P44" i="230"/>
  <c r="AS22" i="230"/>
  <c r="P22" i="230"/>
  <c r="AS24" i="230"/>
  <c r="P24" i="230"/>
  <c r="AS30" i="230"/>
  <c r="P30" i="230"/>
  <c r="AI33" i="230"/>
  <c r="AK33" i="230" s="1"/>
  <c r="X33" i="230"/>
  <c r="X34" i="230"/>
  <c r="AI34" i="230"/>
  <c r="AK34" i="230" s="1"/>
  <c r="AS37" i="230"/>
  <c r="P37" i="230"/>
  <c r="X8" i="230"/>
  <c r="AI8" i="230"/>
  <c r="AK8" i="230" s="1"/>
  <c r="BB11" i="230"/>
  <c r="AX11" i="230"/>
  <c r="AV11" i="230"/>
  <c r="BK11" i="230" s="1"/>
  <c r="AT11" i="230"/>
  <c r="AU11" i="230" s="1"/>
  <c r="W44" i="230"/>
  <c r="AI44" i="230"/>
  <c r="AK44" i="230" s="1"/>
  <c r="X22" i="230"/>
  <c r="AI22" i="230"/>
  <c r="AK22" i="230" s="1"/>
  <c r="AI24" i="230"/>
  <c r="AK24" i="230" s="1"/>
  <c r="X24" i="230"/>
  <c r="AI30" i="230"/>
  <c r="AK30" i="230" s="1"/>
  <c r="W30" i="230"/>
  <c r="AS16" i="230"/>
  <c r="P16" i="230"/>
  <c r="BJ46" i="230"/>
  <c r="BG13" i="237" s="1"/>
  <c r="X37" i="230"/>
  <c r="AI37" i="230"/>
  <c r="AJ37" i="230" s="1"/>
  <c r="AI13" i="230"/>
  <c r="AK13" i="230" s="1"/>
  <c r="W13" i="230"/>
  <c r="AP9" i="230"/>
  <c r="AS9" i="230"/>
  <c r="P9" i="230"/>
  <c r="AI26" i="230"/>
  <c r="AK26" i="230" s="1"/>
  <c r="X26" i="230"/>
  <c r="AI16" i="230"/>
  <c r="AK16" i="230" s="1"/>
  <c r="X16" i="230"/>
  <c r="AI39" i="230"/>
  <c r="AJ39" i="230" s="1"/>
  <c r="W39" i="230"/>
  <c r="AS14" i="230"/>
  <c r="P14" i="230"/>
  <c r="AS7" i="230"/>
  <c r="AP7" i="230"/>
  <c r="AP46" i="230" s="1"/>
  <c r="P7" i="230"/>
  <c r="AI27" i="230"/>
  <c r="AK27" i="230" s="1"/>
  <c r="X27" i="230"/>
  <c r="AS17" i="230"/>
  <c r="P17" i="230"/>
  <c r="P33" i="230"/>
  <c r="AS33" i="230"/>
  <c r="U9" i="230"/>
  <c r="V9" i="230" s="1"/>
  <c r="AS26" i="230"/>
  <c r="P26" i="230"/>
  <c r="U31" i="230"/>
  <c r="V31" i="230" s="1"/>
  <c r="AS39" i="230"/>
  <c r="P39" i="230"/>
  <c r="AS42" i="230"/>
  <c r="P42" i="230"/>
  <c r="AS27" i="230"/>
  <c r="P27" i="230"/>
  <c r="AI17" i="229"/>
  <c r="AK17" i="229" s="1"/>
  <c r="X17" i="229"/>
  <c r="AI11" i="229"/>
  <c r="AK11" i="229" s="1"/>
  <c r="X11" i="229"/>
  <c r="AI8" i="229"/>
  <c r="AK8" i="229" s="1"/>
  <c r="X8" i="229"/>
  <c r="AI14" i="229"/>
  <c r="AK14" i="229" s="1"/>
  <c r="X14" i="229"/>
  <c r="AV16" i="229"/>
  <c r="BK16" i="229" s="1"/>
  <c r="BB16" i="229"/>
  <c r="AX16" i="229"/>
  <c r="P16" i="229"/>
  <c r="BB14" i="229"/>
  <c r="AX14" i="229"/>
  <c r="AV14" i="229"/>
  <c r="BK14" i="229" s="1"/>
  <c r="P14" i="229"/>
  <c r="U16" i="229"/>
  <c r="V16" i="229" s="1"/>
  <c r="P13" i="229"/>
  <c r="AX13" i="229"/>
  <c r="BB13" i="229"/>
  <c r="AV13" i="229"/>
  <c r="BK13" i="229" s="1"/>
  <c r="AV6" i="229"/>
  <c r="M23" i="229"/>
  <c r="AX6" i="229"/>
  <c r="BB6" i="229"/>
  <c r="P6" i="229"/>
  <c r="BB22" i="229"/>
  <c r="AX22" i="229"/>
  <c r="P22" i="229"/>
  <c r="AV22" i="229"/>
  <c r="BK22" i="229" s="1"/>
  <c r="AI18" i="229"/>
  <c r="AK18" i="229" s="1"/>
  <c r="X18" i="229"/>
  <c r="AX9" i="229"/>
  <c r="BB9" i="229"/>
  <c r="P9" i="229"/>
  <c r="AV9" i="229"/>
  <c r="BK9" i="229" s="1"/>
  <c r="AV18" i="229"/>
  <c r="BK18" i="229" s="1"/>
  <c r="P18" i="229"/>
  <c r="BB18" i="229"/>
  <c r="AX18" i="229"/>
  <c r="AI13" i="229"/>
  <c r="AK13" i="229" s="1"/>
  <c r="X13" i="229"/>
  <c r="AV17" i="229"/>
  <c r="BK17" i="229" s="1"/>
  <c r="AX17" i="229"/>
  <c r="BB17" i="229"/>
  <c r="P17" i="229"/>
  <c r="W22" i="229"/>
  <c r="W23" i="229" s="1"/>
  <c r="AI22" i="229"/>
  <c r="AN22" i="229" s="1"/>
  <c r="AN23" i="229" s="1"/>
  <c r="U6" i="229"/>
  <c r="AV7" i="229"/>
  <c r="BK7" i="229" s="1"/>
  <c r="AX7" i="229"/>
  <c r="BB7" i="229"/>
  <c r="P7" i="229"/>
  <c r="AV10" i="229"/>
  <c r="BK10" i="229" s="1"/>
  <c r="P10" i="229"/>
  <c r="BB10" i="229"/>
  <c r="AX10" i="229"/>
  <c r="P11" i="229"/>
  <c r="AX11" i="229"/>
  <c r="BB11" i="229"/>
  <c r="AV11" i="229"/>
  <c r="BK11" i="229" s="1"/>
  <c r="AV8" i="229"/>
  <c r="BK8" i="229" s="1"/>
  <c r="P8" i="229"/>
  <c r="BB8" i="229"/>
  <c r="AX8" i="229"/>
  <c r="U7" i="229"/>
  <c r="V7" i="229" s="1"/>
  <c r="U10" i="229"/>
  <c r="V10" i="229" s="1"/>
  <c r="AX15" i="229"/>
  <c r="BB15" i="229"/>
  <c r="AV15" i="229"/>
  <c r="BK15" i="229" s="1"/>
  <c r="P15" i="229"/>
  <c r="AI21" i="229"/>
  <c r="AK21" i="229" s="1"/>
  <c r="X21" i="229"/>
  <c r="U15" i="229"/>
  <c r="V15" i="229" s="1"/>
  <c r="U9" i="229"/>
  <c r="V9" i="229" s="1"/>
  <c r="P21" i="229"/>
  <c r="AV21" i="229"/>
  <c r="BK21" i="229" s="1"/>
  <c r="BB21" i="229"/>
  <c r="AX21" i="229"/>
  <c r="W12" i="228"/>
  <c r="AI12" i="228"/>
  <c r="AJ12" i="228" s="1"/>
  <c r="AI10" i="228"/>
  <c r="AN10" i="228" s="1"/>
  <c r="AN15" i="228" s="1"/>
  <c r="W10" i="228"/>
  <c r="AI9" i="228"/>
  <c r="AJ9" i="228" s="1"/>
  <c r="W9" i="228"/>
  <c r="W13" i="228"/>
  <c r="AI13" i="228"/>
  <c r="AJ13" i="228" s="1"/>
  <c r="M16" i="228"/>
  <c r="BL25" i="228"/>
  <c r="BL27" i="228" s="1"/>
  <c r="AS11" i="228"/>
  <c r="P11" i="228"/>
  <c r="AS8" i="228"/>
  <c r="P8" i="228"/>
  <c r="W11" i="228"/>
  <c r="AI11" i="228"/>
  <c r="AJ11" i="228" s="1"/>
  <c r="W7" i="228"/>
  <c r="AI7" i="228"/>
  <c r="AJ7" i="228" s="1"/>
  <c r="AJ15" i="228" s="1"/>
  <c r="AS7" i="228"/>
  <c r="P7" i="228"/>
  <c r="V6" i="228"/>
  <c r="U15" i="228"/>
  <c r="V16" i="228" s="1"/>
  <c r="W14" i="228"/>
  <c r="AI14" i="228"/>
  <c r="AJ14" i="228" s="1"/>
  <c r="AS9" i="228"/>
  <c r="P9" i="228"/>
  <c r="W8" i="228"/>
  <c r="AI8" i="228"/>
  <c r="AJ8" i="228" s="1"/>
  <c r="AS10" i="228"/>
  <c r="P10" i="228"/>
  <c r="AS12" i="228"/>
  <c r="P12" i="228"/>
  <c r="AS13" i="228"/>
  <c r="P13" i="228"/>
  <c r="AS14" i="228"/>
  <c r="P14" i="228"/>
  <c r="AS6" i="228"/>
  <c r="M15" i="228"/>
  <c r="P6" i="228"/>
  <c r="AI7" i="227"/>
  <c r="AK7" i="227" s="1"/>
  <c r="X7" i="227"/>
  <c r="AS7" i="227"/>
  <c r="P7" i="227"/>
  <c r="AI11" i="227"/>
  <c r="AK11" i="227" s="1"/>
  <c r="X11" i="227"/>
  <c r="AS13" i="227"/>
  <c r="P13" i="227"/>
  <c r="AI14" i="227"/>
  <c r="AK14" i="227" s="1"/>
  <c r="W14" i="227"/>
  <c r="AI13" i="227"/>
  <c r="AK13" i="227" s="1"/>
  <c r="X13" i="227"/>
  <c r="AS11" i="227"/>
  <c r="P11" i="227"/>
  <c r="M6" i="227"/>
  <c r="Q15" i="227"/>
  <c r="AS10" i="227"/>
  <c r="P10" i="227"/>
  <c r="AI10" i="227"/>
  <c r="AK10" i="227" s="1"/>
  <c r="X10" i="227"/>
  <c r="W10" i="227"/>
  <c r="W15" i="227" s="1"/>
  <c r="AI7" i="226"/>
  <c r="W7" i="226"/>
  <c r="W14" i="226"/>
  <c r="AI14" i="226"/>
  <c r="AI11" i="226"/>
  <c r="W11" i="226"/>
  <c r="W10" i="226"/>
  <c r="AI10" i="226"/>
  <c r="AI17" i="226"/>
  <c r="W17" i="226"/>
  <c r="AI19" i="226"/>
  <c r="W19" i="226"/>
  <c r="AI21" i="226"/>
  <c r="W21" i="226"/>
  <c r="AS8" i="226"/>
  <c r="BB8" i="226" s="1"/>
  <c r="P8" i="226"/>
  <c r="AI20" i="226"/>
  <c r="W20" i="226"/>
  <c r="AS22" i="226"/>
  <c r="BB22" i="226" s="1"/>
  <c r="P22" i="226"/>
  <c r="AI15" i="226"/>
  <c r="W15" i="226"/>
  <c r="AI16" i="226"/>
  <c r="W16" i="226"/>
  <c r="AS20" i="226"/>
  <c r="BB20" i="226" s="1"/>
  <c r="P20" i="226"/>
  <c r="U22" i="226"/>
  <c r="V22" i="226" s="1"/>
  <c r="AS12" i="226"/>
  <c r="BB12" i="226" s="1"/>
  <c r="P12" i="226"/>
  <c r="AS17" i="226"/>
  <c r="BB17" i="226" s="1"/>
  <c r="P17" i="226"/>
  <c r="U8" i="226"/>
  <c r="V8" i="226" s="1"/>
  <c r="AS10" i="226"/>
  <c r="BB10" i="226" s="1"/>
  <c r="P10" i="226"/>
  <c r="AS19" i="226"/>
  <c r="BB19" i="226" s="1"/>
  <c r="P19" i="226"/>
  <c r="AS6" i="226"/>
  <c r="M23" i="226"/>
  <c r="P6" i="226"/>
  <c r="P23" i="226" s="1"/>
  <c r="AS7" i="226"/>
  <c r="BB7" i="226" s="1"/>
  <c r="P7" i="226"/>
  <c r="AS9" i="226"/>
  <c r="BB9" i="226" s="1"/>
  <c r="P9" i="226"/>
  <c r="AS18" i="226"/>
  <c r="BB18" i="226" s="1"/>
  <c r="P18" i="226"/>
  <c r="AS13" i="226"/>
  <c r="BB13" i="226" s="1"/>
  <c r="P13" i="226"/>
  <c r="AS14" i="226"/>
  <c r="BB14" i="226" s="1"/>
  <c r="P14" i="226"/>
  <c r="V6" i="226"/>
  <c r="AS16" i="226"/>
  <c r="BB16" i="226" s="1"/>
  <c r="P16" i="226"/>
  <c r="AS21" i="226"/>
  <c r="BB21" i="226" s="1"/>
  <c r="P21" i="226"/>
  <c r="AS11" i="226"/>
  <c r="BB11" i="226" s="1"/>
  <c r="P11" i="226"/>
  <c r="AS15" i="226"/>
  <c r="BB15" i="226" s="1"/>
  <c r="P15" i="226"/>
  <c r="U9" i="226"/>
  <c r="V9" i="226" s="1"/>
  <c r="U18" i="226"/>
  <c r="V18" i="226" s="1"/>
  <c r="U12" i="226"/>
  <c r="V12" i="226" s="1"/>
  <c r="U13" i="226"/>
  <c r="V13" i="226" s="1"/>
  <c r="W9" i="225"/>
  <c r="AI9" i="225"/>
  <c r="AK9" i="225" s="1"/>
  <c r="V6" i="225"/>
  <c r="AI10" i="225"/>
  <c r="AK10" i="225" s="1"/>
  <c r="W10" i="225"/>
  <c r="AS13" i="225"/>
  <c r="P13" i="225"/>
  <c r="U13" i="225"/>
  <c r="V13" i="225" s="1"/>
  <c r="AI8" i="225"/>
  <c r="AK8" i="225" s="1"/>
  <c r="W8" i="225"/>
  <c r="AS11" i="225"/>
  <c r="P11" i="225"/>
  <c r="AW12" i="225"/>
  <c r="AV12" i="225"/>
  <c r="BL12" i="225" s="1"/>
  <c r="AT12" i="225"/>
  <c r="AU12" i="225" s="1"/>
  <c r="BB12" i="225"/>
  <c r="BB8" i="225"/>
  <c r="AW8" i="225"/>
  <c r="AV8" i="225"/>
  <c r="BL8" i="225" s="1"/>
  <c r="P8" i="225"/>
  <c r="W12" i="225"/>
  <c r="AI12" i="225"/>
  <c r="AK12" i="225" s="1"/>
  <c r="AS9" i="225"/>
  <c r="P9" i="225"/>
  <c r="AS6" i="225"/>
  <c r="M15" i="225"/>
  <c r="P6" i="225"/>
  <c r="AS14" i="225"/>
  <c r="P14" i="225"/>
  <c r="W11" i="225"/>
  <c r="AI11" i="225"/>
  <c r="AK11" i="225" s="1"/>
  <c r="AS10" i="225"/>
  <c r="P10" i="225"/>
  <c r="AI7" i="225"/>
  <c r="AJ7" i="225" s="1"/>
  <c r="W7" i="225"/>
  <c r="U14" i="225"/>
  <c r="V14" i="225" s="1"/>
  <c r="BB23" i="229" l="1"/>
  <c r="X16" i="231"/>
  <c r="P17" i="231"/>
  <c r="W16" i="231"/>
  <c r="BG19" i="237"/>
  <c r="AO9" i="236"/>
  <c r="AO87" i="236" s="1"/>
  <c r="AJ9" i="236"/>
  <c r="AO84" i="236"/>
  <c r="AJ84" i="236"/>
  <c r="AO32" i="236"/>
  <c r="AJ32" i="236"/>
  <c r="V87" i="236"/>
  <c r="W6" i="236"/>
  <c r="W87" i="236" s="1"/>
  <c r="AI6" i="236"/>
  <c r="AO71" i="236"/>
  <c r="AJ71" i="236"/>
  <c r="V88" i="236"/>
  <c r="M88" i="236"/>
  <c r="AT87" i="236"/>
  <c r="AU6" i="236"/>
  <c r="AU87" i="236" s="1"/>
  <c r="AJ39" i="236"/>
  <c r="AO39" i="236"/>
  <c r="AV87" i="236"/>
  <c r="BK6" i="236"/>
  <c r="BK87" i="236" s="1"/>
  <c r="AO12" i="236"/>
  <c r="AJ12" i="236"/>
  <c r="AJ70" i="236"/>
  <c r="AO70" i="236"/>
  <c r="AJ80" i="236"/>
  <c r="AO80" i="236"/>
  <c r="AW87" i="236"/>
  <c r="BB87" i="236"/>
  <c r="AO79" i="235"/>
  <c r="AR79" i="235" s="1"/>
  <c r="AJ79" i="235"/>
  <c r="BB75" i="235"/>
  <c r="AW75" i="235"/>
  <c r="AV75" i="235"/>
  <c r="BK75" i="235" s="1"/>
  <c r="AT75" i="235"/>
  <c r="AU75" i="235" s="1"/>
  <c r="W39" i="235"/>
  <c r="AI39" i="235"/>
  <c r="AJ39" i="235" s="1"/>
  <c r="W68" i="235"/>
  <c r="AI68" i="235"/>
  <c r="AJ68" i="235" s="1"/>
  <c r="BC11" i="235"/>
  <c r="AT11" i="235"/>
  <c r="AU11" i="235" s="1"/>
  <c r="AW11" i="235"/>
  <c r="AV11" i="235"/>
  <c r="BK11" i="235" s="1"/>
  <c r="AO10" i="235"/>
  <c r="AR10" i="235" s="1"/>
  <c r="AJ10" i="235"/>
  <c r="BB9" i="235"/>
  <c r="AW9" i="235"/>
  <c r="AT9" i="235"/>
  <c r="AU9" i="235" s="1"/>
  <c r="AV9" i="235"/>
  <c r="BK9" i="235" s="1"/>
  <c r="AO67" i="235"/>
  <c r="AR67" i="235" s="1"/>
  <c r="AJ67" i="235"/>
  <c r="AI120" i="235"/>
  <c r="W120" i="235"/>
  <c r="W127" i="235" s="1"/>
  <c r="Z120" i="235"/>
  <c r="BB18" i="235"/>
  <c r="AW18" i="235"/>
  <c r="AV18" i="235"/>
  <c r="BK18" i="235" s="1"/>
  <c r="AT18" i="235"/>
  <c r="AU18" i="235" s="1"/>
  <c r="AI48" i="235"/>
  <c r="AJ48" i="235" s="1"/>
  <c r="W48" i="235"/>
  <c r="P108" i="235"/>
  <c r="P132" i="235" s="1"/>
  <c r="P133" i="235" s="1"/>
  <c r="W26" i="235"/>
  <c r="AI26" i="235"/>
  <c r="AJ26" i="235" s="1"/>
  <c r="AI56" i="235"/>
  <c r="AJ56" i="235" s="1"/>
  <c r="W56" i="235"/>
  <c r="BB122" i="235"/>
  <c r="AZ122" i="235"/>
  <c r="AT122" i="235"/>
  <c r="AU122" i="235" s="1"/>
  <c r="AV122" i="235"/>
  <c r="BK122" i="235" s="1"/>
  <c r="BB44" i="235"/>
  <c r="AW44" i="235"/>
  <c r="AV44" i="235"/>
  <c r="BK44" i="235" s="1"/>
  <c r="AT44" i="235"/>
  <c r="AU44" i="235" s="1"/>
  <c r="AV23" i="235"/>
  <c r="BK23" i="235" s="1"/>
  <c r="BB23" i="235"/>
  <c r="AW23" i="235"/>
  <c r="AT23" i="235"/>
  <c r="AU23" i="235" s="1"/>
  <c r="BB68" i="235"/>
  <c r="AV68" i="235"/>
  <c r="BK68" i="235" s="1"/>
  <c r="AT68" i="235"/>
  <c r="AU68" i="235" s="1"/>
  <c r="AW68" i="235"/>
  <c r="Z116" i="235"/>
  <c r="AI116" i="235"/>
  <c r="AM116" i="235" s="1"/>
  <c r="BB57" i="235"/>
  <c r="AT57" i="235"/>
  <c r="AU57" i="235" s="1"/>
  <c r="AV57" i="235"/>
  <c r="BK57" i="235" s="1"/>
  <c r="AW57" i="235"/>
  <c r="AT14" i="235"/>
  <c r="AU14" i="235" s="1"/>
  <c r="BB14" i="235"/>
  <c r="AW14" i="235"/>
  <c r="AV14" i="235"/>
  <c r="BK14" i="235" s="1"/>
  <c r="BB33" i="235"/>
  <c r="AW33" i="235"/>
  <c r="AT33" i="235"/>
  <c r="AU33" i="235" s="1"/>
  <c r="AV33" i="235"/>
  <c r="BK33" i="235" s="1"/>
  <c r="AI15" i="235"/>
  <c r="AJ15" i="235" s="1"/>
  <c r="W15" i="235"/>
  <c r="AI7" i="235"/>
  <c r="AJ7" i="235" s="1"/>
  <c r="W7" i="235"/>
  <c r="BB120" i="235"/>
  <c r="AW39" i="235"/>
  <c r="AV39" i="235"/>
  <c r="BK39" i="235" s="1"/>
  <c r="AT39" i="235"/>
  <c r="AU39" i="235" s="1"/>
  <c r="BB39" i="235"/>
  <c r="Z124" i="235"/>
  <c r="AI124" i="235"/>
  <c r="AP108" i="235"/>
  <c r="BB65" i="235"/>
  <c r="AV65" i="235"/>
  <c r="BK65" i="235" s="1"/>
  <c r="AT65" i="235"/>
  <c r="AU65" i="235" s="1"/>
  <c r="AW65" i="235"/>
  <c r="W23" i="235"/>
  <c r="AI23" i="235"/>
  <c r="AJ23" i="235" s="1"/>
  <c r="BB63" i="235"/>
  <c r="AT63" i="235"/>
  <c r="AU63" i="235" s="1"/>
  <c r="AW63" i="235"/>
  <c r="AV63" i="235"/>
  <c r="BK63" i="235" s="1"/>
  <c r="AI75" i="235"/>
  <c r="AJ75" i="235" s="1"/>
  <c r="W75" i="235"/>
  <c r="BB21" i="235"/>
  <c r="AT21" i="235"/>
  <c r="AU21" i="235" s="1"/>
  <c r="AW21" i="235"/>
  <c r="AV21" i="235"/>
  <c r="BK21" i="235" s="1"/>
  <c r="AI123" i="235"/>
  <c r="Z123" i="235"/>
  <c r="W123" i="235"/>
  <c r="BB87" i="235"/>
  <c r="AV87" i="235"/>
  <c r="BK87" i="235" s="1"/>
  <c r="AT87" i="235"/>
  <c r="AU87" i="235" s="1"/>
  <c r="AW87" i="235"/>
  <c r="BB112" i="235"/>
  <c r="AI31" i="235"/>
  <c r="AJ31" i="235" s="1"/>
  <c r="W31" i="235"/>
  <c r="AT118" i="235"/>
  <c r="AU118" i="235" s="1"/>
  <c r="BC118" i="235"/>
  <c r="AV118" i="235"/>
  <c r="BK118" i="235" s="1"/>
  <c r="AS108" i="235"/>
  <c r="AV6" i="235"/>
  <c r="BB6" i="235"/>
  <c r="AT6" i="235"/>
  <c r="AW6" i="235"/>
  <c r="W8" i="235"/>
  <c r="AI8" i="235"/>
  <c r="AT30" i="235"/>
  <c r="AU30" i="235" s="1"/>
  <c r="AV30" i="235"/>
  <c r="BK30" i="235" s="1"/>
  <c r="BB30" i="235"/>
  <c r="AW30" i="235"/>
  <c r="BB71" i="235"/>
  <c r="AV71" i="235"/>
  <c r="BK71" i="235" s="1"/>
  <c r="AW71" i="235"/>
  <c r="AT71" i="235"/>
  <c r="AU71" i="235" s="1"/>
  <c r="AT36" i="235"/>
  <c r="AU36" i="235" s="1"/>
  <c r="BB36" i="235"/>
  <c r="AW36" i="235"/>
  <c r="AV36" i="235"/>
  <c r="BK36" i="235" s="1"/>
  <c r="BB72" i="235"/>
  <c r="AW72" i="235"/>
  <c r="AV72" i="235"/>
  <c r="BK72" i="235" s="1"/>
  <c r="AT72" i="235"/>
  <c r="AU72" i="235" s="1"/>
  <c r="BB116" i="235"/>
  <c r="AZ116" i="235"/>
  <c r="AV116" i="235"/>
  <c r="BK116" i="235" s="1"/>
  <c r="AT116" i="235"/>
  <c r="AU116" i="235" s="1"/>
  <c r="BB55" i="235"/>
  <c r="AW55" i="235"/>
  <c r="AT55" i="235"/>
  <c r="AU55" i="235" s="1"/>
  <c r="AV55" i="235"/>
  <c r="BK55" i="235" s="1"/>
  <c r="AO35" i="235"/>
  <c r="AR35" i="235" s="1"/>
  <c r="AJ35" i="235"/>
  <c r="AI96" i="235"/>
  <c r="AJ96" i="235" s="1"/>
  <c r="W96" i="235"/>
  <c r="AT66" i="235"/>
  <c r="AU66" i="235" s="1"/>
  <c r="BB66" i="235"/>
  <c r="AV66" i="235"/>
  <c r="BK66" i="235" s="1"/>
  <c r="AW66" i="235"/>
  <c r="BB69" i="235"/>
  <c r="AT69" i="235"/>
  <c r="AU69" i="235" s="1"/>
  <c r="AV69" i="235"/>
  <c r="BK69" i="235" s="1"/>
  <c r="AW69" i="235"/>
  <c r="AW58" i="235"/>
  <c r="BB58" i="235"/>
  <c r="AT58" i="235"/>
  <c r="AU58" i="235" s="1"/>
  <c r="AV58" i="235"/>
  <c r="BK58" i="235" s="1"/>
  <c r="BB37" i="235"/>
  <c r="AW37" i="235"/>
  <c r="AV37" i="235"/>
  <c r="BK37" i="235" s="1"/>
  <c r="AT37" i="235"/>
  <c r="AU37" i="235" s="1"/>
  <c r="AI28" i="235"/>
  <c r="AJ28" i="235" s="1"/>
  <c r="W28" i="235"/>
  <c r="BB29" i="235"/>
  <c r="AW29" i="235"/>
  <c r="AT29" i="235"/>
  <c r="AU29" i="235" s="1"/>
  <c r="AV29" i="235"/>
  <c r="BK29" i="235" s="1"/>
  <c r="BB77" i="235"/>
  <c r="AV77" i="235"/>
  <c r="BK77" i="235" s="1"/>
  <c r="AW77" i="235"/>
  <c r="AT77" i="235"/>
  <c r="AU77" i="235" s="1"/>
  <c r="BB114" i="235"/>
  <c r="AZ114" i="235"/>
  <c r="AV114" i="235"/>
  <c r="BK114" i="235" s="1"/>
  <c r="AT114" i="235"/>
  <c r="AU114" i="235" s="1"/>
  <c r="P109" i="235"/>
  <c r="AI71" i="235"/>
  <c r="AJ71" i="235" s="1"/>
  <c r="W71" i="235"/>
  <c r="W36" i="235"/>
  <c r="AI36" i="235"/>
  <c r="AJ36" i="235" s="1"/>
  <c r="BB42" i="235"/>
  <c r="AW42" i="235"/>
  <c r="AV42" i="235"/>
  <c r="BK42" i="235" s="1"/>
  <c r="AT42" i="235"/>
  <c r="AU42" i="235" s="1"/>
  <c r="AO46" i="235"/>
  <c r="AR46" i="235" s="1"/>
  <c r="AJ46" i="235"/>
  <c r="BB52" i="235"/>
  <c r="AV52" i="235"/>
  <c r="BK52" i="235" s="1"/>
  <c r="AW52" i="235"/>
  <c r="AT52" i="235"/>
  <c r="AU52" i="235" s="1"/>
  <c r="AW51" i="235"/>
  <c r="AV51" i="235"/>
  <c r="BK51" i="235" s="1"/>
  <c r="AT51" i="235"/>
  <c r="AU51" i="235" s="1"/>
  <c r="BB51" i="235"/>
  <c r="W85" i="235"/>
  <c r="AI85" i="235"/>
  <c r="BB80" i="235"/>
  <c r="AW80" i="235"/>
  <c r="AV80" i="235"/>
  <c r="BK80" i="235" s="1"/>
  <c r="AT80" i="235"/>
  <c r="AU80" i="235" s="1"/>
  <c r="AO121" i="235"/>
  <c r="AR121" i="235" s="1"/>
  <c r="AM121" i="235"/>
  <c r="BB96" i="235"/>
  <c r="AW96" i="235"/>
  <c r="AV96" i="235"/>
  <c r="BK96" i="235" s="1"/>
  <c r="AT96" i="235"/>
  <c r="AU96" i="235" s="1"/>
  <c r="BB31" i="235"/>
  <c r="AW31" i="235"/>
  <c r="AV31" i="235"/>
  <c r="BK31" i="235" s="1"/>
  <c r="AT31" i="235"/>
  <c r="AU31" i="235" s="1"/>
  <c r="U108" i="235"/>
  <c r="AI90" i="235"/>
  <c r="W90" i="235"/>
  <c r="BB53" i="235"/>
  <c r="AW53" i="235"/>
  <c r="AV53" i="235"/>
  <c r="BK53" i="235" s="1"/>
  <c r="AT53" i="235"/>
  <c r="AU53" i="235" s="1"/>
  <c r="AI87" i="235"/>
  <c r="AJ87" i="235" s="1"/>
  <c r="W87" i="235"/>
  <c r="P127" i="235"/>
  <c r="BB48" i="235"/>
  <c r="AW48" i="235"/>
  <c r="AV48" i="235"/>
  <c r="BK48" i="235" s="1"/>
  <c r="AT48" i="235"/>
  <c r="AU48" i="235" s="1"/>
  <c r="AI40" i="235"/>
  <c r="AJ40" i="235" s="1"/>
  <c r="W40" i="235"/>
  <c r="AT56" i="235"/>
  <c r="AU56" i="235" s="1"/>
  <c r="BB56" i="235"/>
  <c r="AV56" i="235"/>
  <c r="BK56" i="235" s="1"/>
  <c r="AW56" i="235"/>
  <c r="BB40" i="235"/>
  <c r="AT40" i="235"/>
  <c r="AU40" i="235" s="1"/>
  <c r="AV40" i="235"/>
  <c r="BK40" i="235" s="1"/>
  <c r="AW40" i="235"/>
  <c r="BC62" i="235"/>
  <c r="AW62" i="235"/>
  <c r="AV62" i="235"/>
  <c r="BK62" i="235" s="1"/>
  <c r="AT62" i="235"/>
  <c r="AU62" i="235" s="1"/>
  <c r="BB84" i="235"/>
  <c r="AW84" i="235"/>
  <c r="AT84" i="235"/>
  <c r="AU84" i="235" s="1"/>
  <c r="AV84" i="235"/>
  <c r="BK84" i="235" s="1"/>
  <c r="W55" i="235"/>
  <c r="AI55" i="235"/>
  <c r="AJ55" i="235" s="1"/>
  <c r="AW91" i="235"/>
  <c r="AV91" i="235"/>
  <c r="BK91" i="235" s="1"/>
  <c r="AT91" i="235"/>
  <c r="AU91" i="235" s="1"/>
  <c r="BC91" i="235"/>
  <c r="BB7" i="235"/>
  <c r="AT7" i="235"/>
  <c r="AU7" i="235" s="1"/>
  <c r="AW7" i="235"/>
  <c r="AV7" i="235"/>
  <c r="BK7" i="235" s="1"/>
  <c r="W77" i="235"/>
  <c r="AI77" i="235"/>
  <c r="AJ77" i="235" s="1"/>
  <c r="AP117" i="235"/>
  <c r="AP127" i="235" s="1"/>
  <c r="AP129" i="235" s="1"/>
  <c r="AS117" i="235"/>
  <c r="P117" i="235"/>
  <c r="W51" i="235"/>
  <c r="AI51" i="235"/>
  <c r="AJ51" i="235" s="1"/>
  <c r="AI14" i="235"/>
  <c r="AJ14" i="235" s="1"/>
  <c r="W14" i="235"/>
  <c r="AV20" i="235"/>
  <c r="BK20" i="235" s="1"/>
  <c r="AW20" i="235"/>
  <c r="BB20" i="235"/>
  <c r="AT20" i="235"/>
  <c r="AU20" i="235" s="1"/>
  <c r="BB49" i="235"/>
  <c r="AW49" i="235"/>
  <c r="AV49" i="235"/>
  <c r="BK49" i="235" s="1"/>
  <c r="AT49" i="235"/>
  <c r="AU49" i="235" s="1"/>
  <c r="BB123" i="235"/>
  <c r="AV28" i="235"/>
  <c r="BK28" i="235" s="1"/>
  <c r="AT28" i="235"/>
  <c r="AU28" i="235" s="1"/>
  <c r="BB28" i="235"/>
  <c r="AW28" i="235"/>
  <c r="BB15" i="235"/>
  <c r="AV15" i="235"/>
  <c r="BK15" i="235" s="1"/>
  <c r="AT15" i="235"/>
  <c r="AU15" i="235" s="1"/>
  <c r="AW15" i="235"/>
  <c r="W42" i="235"/>
  <c r="AI42" i="235"/>
  <c r="AJ42" i="235" s="1"/>
  <c r="M127" i="235"/>
  <c r="M129" i="235" s="1"/>
  <c r="V108" i="235"/>
  <c r="W6" i="235"/>
  <c r="AI6" i="235"/>
  <c r="AV26" i="235"/>
  <c r="BK26" i="235" s="1"/>
  <c r="AW26" i="235"/>
  <c r="BB26" i="235"/>
  <c r="AT26" i="235"/>
  <c r="AU26" i="235" s="1"/>
  <c r="BB60" i="235"/>
  <c r="AW60" i="235"/>
  <c r="AT60" i="235"/>
  <c r="AU60" i="235" s="1"/>
  <c r="AV60" i="235"/>
  <c r="BK60" i="235" s="1"/>
  <c r="Z112" i="235"/>
  <c r="AI112" i="235"/>
  <c r="U117" i="235"/>
  <c r="BB43" i="235"/>
  <c r="AW43" i="235"/>
  <c r="AV43" i="235"/>
  <c r="BK43" i="235" s="1"/>
  <c r="AT43" i="235"/>
  <c r="AU43" i="235" s="1"/>
  <c r="BB124" i="235"/>
  <c r="BB73" i="235"/>
  <c r="AT73" i="235"/>
  <c r="AU73" i="235" s="1"/>
  <c r="AW73" i="235"/>
  <c r="AV73" i="235"/>
  <c r="BK73" i="235" s="1"/>
  <c r="AI45" i="234"/>
  <c r="AK45" i="234" s="1"/>
  <c r="X45" i="234"/>
  <c r="AI24" i="234"/>
  <c r="AK24" i="234" s="1"/>
  <c r="X24" i="234"/>
  <c r="P62" i="234"/>
  <c r="U62" i="234"/>
  <c r="V62" i="234" s="1"/>
  <c r="AI36" i="234"/>
  <c r="AJ36" i="234" s="1"/>
  <c r="W36" i="234"/>
  <c r="AI28" i="234"/>
  <c r="AK28" i="234" s="1"/>
  <c r="X28" i="234"/>
  <c r="AX61" i="234"/>
  <c r="AI39" i="234"/>
  <c r="AK39" i="234" s="1"/>
  <c r="X39" i="234"/>
  <c r="AI29" i="234"/>
  <c r="AJ29" i="234" s="1"/>
  <c r="AJ61" i="234" s="1"/>
  <c r="W29" i="234"/>
  <c r="AI18" i="234"/>
  <c r="AK18" i="234" s="1"/>
  <c r="X18" i="234"/>
  <c r="BB61" i="234"/>
  <c r="X38" i="234"/>
  <c r="AI38" i="234"/>
  <c r="AK38" i="234" s="1"/>
  <c r="AK6" i="234"/>
  <c r="V9" i="234"/>
  <c r="U61" i="234"/>
  <c r="W60" i="234"/>
  <c r="W61" i="234" s="1"/>
  <c r="AI60" i="234"/>
  <c r="AK60" i="234" s="1"/>
  <c r="BK8" i="234"/>
  <c r="AV61" i="234"/>
  <c r="AI52" i="234"/>
  <c r="AK52" i="234" s="1"/>
  <c r="X52" i="234"/>
  <c r="BK7" i="233"/>
  <c r="BK9" i="233" s="1"/>
  <c r="BH10" i="237" s="1"/>
  <c r="AV9" i="233"/>
  <c r="X9" i="233"/>
  <c r="P10" i="233"/>
  <c r="AX9" i="233"/>
  <c r="AK6" i="233"/>
  <c r="AK9" i="233" s="1"/>
  <c r="AI9" i="233"/>
  <c r="BB9" i="233"/>
  <c r="V10" i="233"/>
  <c r="M10" i="233"/>
  <c r="AV11" i="232"/>
  <c r="BK11" i="232" s="1"/>
  <c r="AT11" i="232"/>
  <c r="AU11" i="232" s="1"/>
  <c r="BB11" i="232"/>
  <c r="AX11" i="232"/>
  <c r="AT13" i="232"/>
  <c r="AU13" i="232" s="1"/>
  <c r="AV13" i="232"/>
  <c r="BK13" i="232" s="1"/>
  <c r="BB13" i="232"/>
  <c r="AX13" i="232"/>
  <c r="AS9" i="232"/>
  <c r="AS27" i="232" s="1"/>
  <c r="P9" i="232"/>
  <c r="AI22" i="232"/>
  <c r="AK22" i="232" s="1"/>
  <c r="X22" i="232"/>
  <c r="W22" i="232" s="1"/>
  <c r="W27" i="232" s="1"/>
  <c r="U9" i="232"/>
  <c r="AI15" i="232"/>
  <c r="AK15" i="232" s="1"/>
  <c r="X15" i="232"/>
  <c r="BB15" i="232"/>
  <c r="AT15" i="232"/>
  <c r="AU15" i="232" s="1"/>
  <c r="AX15" i="232"/>
  <c r="AV15" i="232"/>
  <c r="BK15" i="232" s="1"/>
  <c r="P27" i="232"/>
  <c r="AX10" i="232"/>
  <c r="AV10" i="232"/>
  <c r="BK10" i="232" s="1"/>
  <c r="BB10" i="232"/>
  <c r="AT10" i="232"/>
  <c r="AU10" i="232" s="1"/>
  <c r="BB8" i="232"/>
  <c r="AR8" i="232"/>
  <c r="M27" i="232"/>
  <c r="BB6" i="232"/>
  <c r="AT6" i="232"/>
  <c r="AX6" i="232"/>
  <c r="AV6" i="232"/>
  <c r="AT14" i="232"/>
  <c r="AU14" i="232" s="1"/>
  <c r="BB14" i="232"/>
  <c r="AX14" i="232"/>
  <c r="AV14" i="232"/>
  <c r="BK14" i="232" s="1"/>
  <c r="AT12" i="232"/>
  <c r="AU12" i="232" s="1"/>
  <c r="AX12" i="232"/>
  <c r="AV12" i="232"/>
  <c r="BK12" i="232" s="1"/>
  <c r="BB12" i="232"/>
  <c r="AI6" i="232"/>
  <c r="X6" i="232"/>
  <c r="P18" i="231"/>
  <c r="U18" i="231"/>
  <c r="BK6" i="231"/>
  <c r="BK17" i="231" s="1"/>
  <c r="BH12" i="237" s="1"/>
  <c r="AV17" i="231"/>
  <c r="AX17" i="231"/>
  <c r="BB17" i="231"/>
  <c r="AT17" i="231"/>
  <c r="AU6" i="231"/>
  <c r="AU17" i="231" s="1"/>
  <c r="X17" i="231"/>
  <c r="AI15" i="231"/>
  <c r="AK15" i="231" s="1"/>
  <c r="W15" i="231"/>
  <c r="W17" i="231" s="1"/>
  <c r="V17" i="231"/>
  <c r="AK7" i="231"/>
  <c r="AI17" i="231"/>
  <c r="AS6" i="230"/>
  <c r="M46" i="230"/>
  <c r="P6" i="230"/>
  <c r="P46" i="230" s="1"/>
  <c r="AX22" i="230"/>
  <c r="AT22" i="230"/>
  <c r="AU22" i="230" s="1"/>
  <c r="AV22" i="230"/>
  <c r="BK22" i="230" s="1"/>
  <c r="BB22" i="230"/>
  <c r="AT41" i="230"/>
  <c r="AU41" i="230" s="1"/>
  <c r="BB41" i="230"/>
  <c r="AX41" i="230"/>
  <c r="AV41" i="230"/>
  <c r="BK41" i="230" s="1"/>
  <c r="BB18" i="230"/>
  <c r="AT18" i="230"/>
  <c r="AU18" i="230" s="1"/>
  <c r="AV18" i="230"/>
  <c r="BK18" i="230" s="1"/>
  <c r="AX18" i="230"/>
  <c r="AT31" i="230"/>
  <c r="AU31" i="230" s="1"/>
  <c r="BB31" i="230"/>
  <c r="AX31" i="230"/>
  <c r="AV31" i="230"/>
  <c r="BK31" i="230" s="1"/>
  <c r="BB27" i="230"/>
  <c r="AV27" i="230"/>
  <c r="BK27" i="230" s="1"/>
  <c r="AT27" i="230"/>
  <c r="AU27" i="230" s="1"/>
  <c r="AX27" i="230"/>
  <c r="AI9" i="230"/>
  <c r="AK9" i="230" s="1"/>
  <c r="AK46" i="230" s="1"/>
  <c r="X9" i="230"/>
  <c r="W40" i="230"/>
  <c r="AI40" i="230"/>
  <c r="AK40" i="230" s="1"/>
  <c r="AX33" i="230"/>
  <c r="BB33" i="230"/>
  <c r="AV33" i="230"/>
  <c r="BK33" i="230" s="1"/>
  <c r="AT33" i="230"/>
  <c r="AU33" i="230" s="1"/>
  <c r="BB7" i="230"/>
  <c r="AX7" i="230"/>
  <c r="AV7" i="230"/>
  <c r="BK7" i="230" s="1"/>
  <c r="AT7" i="230"/>
  <c r="AU7" i="230" s="1"/>
  <c r="AX44" i="230"/>
  <c r="BB44" i="230"/>
  <c r="AV44" i="230"/>
  <c r="BK44" i="230" s="1"/>
  <c r="AT44" i="230"/>
  <c r="AU44" i="230" s="1"/>
  <c r="AV10" i="230"/>
  <c r="BK10" i="230" s="1"/>
  <c r="AT10" i="230"/>
  <c r="AU10" i="230" s="1"/>
  <c r="AX10" i="230"/>
  <c r="BB10" i="230"/>
  <c r="AX20" i="230"/>
  <c r="BB20" i="230"/>
  <c r="AV20" i="230"/>
  <c r="BK20" i="230" s="1"/>
  <c r="AT20" i="230"/>
  <c r="AU20" i="230" s="1"/>
  <c r="AX34" i="230"/>
  <c r="AV34" i="230"/>
  <c r="BK34" i="230" s="1"/>
  <c r="AT34" i="230"/>
  <c r="AU34" i="230" s="1"/>
  <c r="BB34" i="230"/>
  <c r="BB26" i="230"/>
  <c r="AV26" i="230"/>
  <c r="BK26" i="230" s="1"/>
  <c r="AX26" i="230"/>
  <c r="AT26" i="230"/>
  <c r="AU26" i="230" s="1"/>
  <c r="AI20" i="230"/>
  <c r="AK20" i="230" s="1"/>
  <c r="X20" i="230"/>
  <c r="BB42" i="230"/>
  <c r="AV42" i="230"/>
  <c r="BK42" i="230" s="1"/>
  <c r="AX42" i="230"/>
  <c r="AT42" i="230"/>
  <c r="AU42" i="230" s="1"/>
  <c r="AI10" i="230"/>
  <c r="AN10" i="230" s="1"/>
  <c r="AN46" i="230" s="1"/>
  <c r="AA10" i="230"/>
  <c r="AA46" i="230" s="1"/>
  <c r="BB12" i="230"/>
  <c r="AX12" i="230"/>
  <c r="AV12" i="230"/>
  <c r="BK12" i="230" s="1"/>
  <c r="AT12" i="230"/>
  <c r="AU12" i="230" s="1"/>
  <c r="BB14" i="230"/>
  <c r="AX14" i="230"/>
  <c r="AV14" i="230"/>
  <c r="BK14" i="230" s="1"/>
  <c r="AT14" i="230"/>
  <c r="AU14" i="230" s="1"/>
  <c r="BB9" i="230"/>
  <c r="AX9" i="230"/>
  <c r="AV9" i="230"/>
  <c r="BK9" i="230" s="1"/>
  <c r="AT9" i="230"/>
  <c r="AU9" i="230" s="1"/>
  <c r="BM46" i="230"/>
  <c r="BJ13" i="237" s="1"/>
  <c r="BJ19" i="237" s="1"/>
  <c r="BB30" i="230"/>
  <c r="AX30" i="230"/>
  <c r="AV30" i="230"/>
  <c r="BK30" i="230" s="1"/>
  <c r="AT30" i="230"/>
  <c r="AU30" i="230" s="1"/>
  <c r="W28" i="230"/>
  <c r="W46" i="230" s="1"/>
  <c r="AI28" i="230"/>
  <c r="AK28" i="230" s="1"/>
  <c r="AX28" i="230"/>
  <c r="AT28" i="230"/>
  <c r="AU28" i="230" s="1"/>
  <c r="BB28" i="230"/>
  <c r="AV28" i="230"/>
  <c r="BK28" i="230" s="1"/>
  <c r="AV40" i="230"/>
  <c r="BK40" i="230" s="1"/>
  <c r="AT40" i="230"/>
  <c r="AU40" i="230" s="1"/>
  <c r="BB40" i="230"/>
  <c r="AX40" i="230"/>
  <c r="BB39" i="230"/>
  <c r="AV39" i="230"/>
  <c r="BK39" i="230" s="1"/>
  <c r="AT39" i="230"/>
  <c r="AU39" i="230" s="1"/>
  <c r="AX39" i="230"/>
  <c r="BB17" i="230"/>
  <c r="AX17" i="230"/>
  <c r="AV17" i="230"/>
  <c r="BK17" i="230" s="1"/>
  <c r="AT17" i="230"/>
  <c r="AU17" i="230" s="1"/>
  <c r="U6" i="230"/>
  <c r="AI31" i="230"/>
  <c r="AJ31" i="230" s="1"/>
  <c r="W31" i="230"/>
  <c r="AV16" i="230"/>
  <c r="BK16" i="230" s="1"/>
  <c r="AT16" i="230"/>
  <c r="AU16" i="230" s="1"/>
  <c r="BB16" i="230"/>
  <c r="AX16" i="230"/>
  <c r="BB37" i="230"/>
  <c r="AV37" i="230"/>
  <c r="BK37" i="230" s="1"/>
  <c r="AX37" i="230"/>
  <c r="AT37" i="230"/>
  <c r="AU37" i="230" s="1"/>
  <c r="AT24" i="230"/>
  <c r="AU24" i="230" s="1"/>
  <c r="BB24" i="230"/>
  <c r="AV24" i="230"/>
  <c r="BK24" i="230" s="1"/>
  <c r="AX24" i="230"/>
  <c r="AV8" i="230"/>
  <c r="BK8" i="230" s="1"/>
  <c r="AT8" i="230"/>
  <c r="AU8" i="230" s="1"/>
  <c r="BB8" i="230"/>
  <c r="AX8" i="230"/>
  <c r="BB13" i="230"/>
  <c r="AX13" i="230"/>
  <c r="AV13" i="230"/>
  <c r="BK13" i="230" s="1"/>
  <c r="AT13" i="230"/>
  <c r="AU13" i="230" s="1"/>
  <c r="AX23" i="229"/>
  <c r="U24" i="229"/>
  <c r="V6" i="229"/>
  <c r="U23" i="229"/>
  <c r="V24" i="229" s="1"/>
  <c r="AI9" i="229"/>
  <c r="AK9" i="229" s="1"/>
  <c r="X9" i="229"/>
  <c r="AI10" i="229"/>
  <c r="AK10" i="229" s="1"/>
  <c r="X10" i="229"/>
  <c r="BK6" i="229"/>
  <c r="BK23" i="229" s="1"/>
  <c r="BH14" i="237" s="1"/>
  <c r="AV23" i="229"/>
  <c r="X15" i="229"/>
  <c r="AI15" i="229"/>
  <c r="AK15" i="229" s="1"/>
  <c r="X7" i="229"/>
  <c r="AI7" i="229"/>
  <c r="AK7" i="229" s="1"/>
  <c r="P23" i="229"/>
  <c r="P24" i="229" s="1"/>
  <c r="X16" i="229"/>
  <c r="AI16" i="229"/>
  <c r="AK16" i="229" s="1"/>
  <c r="P15" i="228"/>
  <c r="AW12" i="228"/>
  <c r="AV12" i="228"/>
  <c r="BK12" i="228" s="1"/>
  <c r="AT12" i="228"/>
  <c r="AU12" i="228" s="1"/>
  <c r="BB12" i="228"/>
  <c r="AW13" i="228"/>
  <c r="AV13" i="228"/>
  <c r="BK13" i="228" s="1"/>
  <c r="AT13" i="228"/>
  <c r="AU13" i="228" s="1"/>
  <c r="BB13" i="228"/>
  <c r="BB10" i="228"/>
  <c r="AW10" i="228"/>
  <c r="AV10" i="228"/>
  <c r="BK10" i="228" s="1"/>
  <c r="AT10" i="228"/>
  <c r="AU10" i="228" s="1"/>
  <c r="AT9" i="228"/>
  <c r="AU9" i="228" s="1"/>
  <c r="BB9" i="228"/>
  <c r="AV9" i="228"/>
  <c r="BK9" i="228" s="1"/>
  <c r="AW9" i="228"/>
  <c r="P16" i="228"/>
  <c r="BB6" i="228"/>
  <c r="AW6" i="228"/>
  <c r="AV6" i="228"/>
  <c r="AT6" i="228"/>
  <c r="AS15" i="228"/>
  <c r="AS21" i="228" s="1"/>
  <c r="AR23" i="228" s="1"/>
  <c r="AI6" i="228"/>
  <c r="X6" i="228"/>
  <c r="X15" i="228" s="1"/>
  <c r="W6" i="228"/>
  <c r="W15" i="228" s="1"/>
  <c r="V15" i="228"/>
  <c r="AW8" i="228"/>
  <c r="AV8" i="228"/>
  <c r="BK8" i="228" s="1"/>
  <c r="AT8" i="228"/>
  <c r="AU8" i="228" s="1"/>
  <c r="BB8" i="228"/>
  <c r="AV14" i="228"/>
  <c r="BK14" i="228" s="1"/>
  <c r="AT14" i="228"/>
  <c r="AU14" i="228" s="1"/>
  <c r="BB14" i="228"/>
  <c r="AW14" i="228"/>
  <c r="BB7" i="228"/>
  <c r="AW7" i="228"/>
  <c r="AV7" i="228"/>
  <c r="BK7" i="228" s="1"/>
  <c r="AT7" i="228"/>
  <c r="AU7" i="228" s="1"/>
  <c r="BB11" i="228"/>
  <c r="AW11" i="228"/>
  <c r="AV11" i="228"/>
  <c r="BK11" i="228" s="1"/>
  <c r="AT11" i="228"/>
  <c r="AU11" i="228" s="1"/>
  <c r="AX13" i="227"/>
  <c r="AV13" i="227"/>
  <c r="BK13" i="227" s="1"/>
  <c r="AT13" i="227"/>
  <c r="AU13" i="227" s="1"/>
  <c r="BB13" i="227"/>
  <c r="AS6" i="227"/>
  <c r="M15" i="227"/>
  <c r="P16" i="227" s="1"/>
  <c r="P6" i="227"/>
  <c r="P15" i="227" s="1"/>
  <c r="BB11" i="227"/>
  <c r="AV11" i="227"/>
  <c r="BK11" i="227" s="1"/>
  <c r="AX11" i="227"/>
  <c r="AT11" i="227"/>
  <c r="AU11" i="227" s="1"/>
  <c r="AT10" i="227"/>
  <c r="AU10" i="227" s="1"/>
  <c r="AX10" i="227"/>
  <c r="BB10" i="227"/>
  <c r="AV10" i="227"/>
  <c r="BK10" i="227" s="1"/>
  <c r="BB7" i="227"/>
  <c r="AV7" i="227"/>
  <c r="BK7" i="227" s="1"/>
  <c r="BK25" i="227" s="1"/>
  <c r="BK27" i="227" s="1"/>
  <c r="AT7" i="227"/>
  <c r="AU7" i="227" s="1"/>
  <c r="AX7" i="227"/>
  <c r="U6" i="227"/>
  <c r="W8" i="226"/>
  <c r="AI8" i="226"/>
  <c r="AR10" i="226"/>
  <c r="AJ10" i="226"/>
  <c r="AR16" i="226"/>
  <c r="AJ16" i="226"/>
  <c r="W18" i="226"/>
  <c r="AI18" i="226"/>
  <c r="BB6" i="226"/>
  <c r="BB23" i="226" s="1"/>
  <c r="AS23" i="226"/>
  <c r="AS26" i="226" s="1"/>
  <c r="AR15" i="226"/>
  <c r="AJ15" i="226"/>
  <c r="AR21" i="226"/>
  <c r="AJ21" i="226"/>
  <c r="AR11" i="226"/>
  <c r="AJ11" i="226"/>
  <c r="AI9" i="226"/>
  <c r="W9" i="226"/>
  <c r="AR14" i="226"/>
  <c r="AJ14" i="226"/>
  <c r="P24" i="226"/>
  <c r="U23" i="226"/>
  <c r="M24" i="226" s="1"/>
  <c r="W22" i="226"/>
  <c r="AI22" i="226"/>
  <c r="AR19" i="226"/>
  <c r="AJ19" i="226"/>
  <c r="AI13" i="226"/>
  <c r="W13" i="226"/>
  <c r="AI12" i="226"/>
  <c r="W12" i="226"/>
  <c r="AI6" i="226"/>
  <c r="W6" i="226"/>
  <c r="V23" i="226"/>
  <c r="AR20" i="226"/>
  <c r="AJ20" i="226"/>
  <c r="AR17" i="226"/>
  <c r="AJ17" i="226"/>
  <c r="AR7" i="226"/>
  <c r="AJ7" i="226"/>
  <c r="BB10" i="225"/>
  <c r="AW10" i="225"/>
  <c r="AV10" i="225"/>
  <c r="BL10" i="225" s="1"/>
  <c r="AT10" i="225"/>
  <c r="AU10" i="225" s="1"/>
  <c r="AT9" i="225"/>
  <c r="AU9" i="225" s="1"/>
  <c r="BB9" i="225"/>
  <c r="AW9" i="225"/>
  <c r="AV9" i="225"/>
  <c r="BL9" i="225" s="1"/>
  <c r="AV13" i="225"/>
  <c r="BL13" i="225" s="1"/>
  <c r="AT13" i="225"/>
  <c r="AU13" i="225" s="1"/>
  <c r="BB13" i="225"/>
  <c r="AW13" i="225"/>
  <c r="AI14" i="225"/>
  <c r="AK14" i="225" s="1"/>
  <c r="W14" i="225"/>
  <c r="AT14" i="225"/>
  <c r="AU14" i="225" s="1"/>
  <c r="BB14" i="225"/>
  <c r="AW14" i="225"/>
  <c r="AV14" i="225"/>
  <c r="BL14" i="225" s="1"/>
  <c r="P15" i="225"/>
  <c r="P16" i="225" s="1"/>
  <c r="BB11" i="225"/>
  <c r="AW11" i="225"/>
  <c r="AV11" i="225"/>
  <c r="BL11" i="225" s="1"/>
  <c r="AT11" i="225"/>
  <c r="AU11" i="225" s="1"/>
  <c r="V15" i="225"/>
  <c r="AI6" i="225"/>
  <c r="W6" i="225"/>
  <c r="AI13" i="225"/>
  <c r="AK13" i="225" s="1"/>
  <c r="W13" i="225"/>
  <c r="U15" i="225"/>
  <c r="M16" i="225" s="1"/>
  <c r="AT6" i="225"/>
  <c r="BB6" i="225"/>
  <c r="AW6" i="225"/>
  <c r="AS15" i="225"/>
  <c r="AV6" i="225"/>
  <c r="AK15" i="225"/>
  <c r="BB15" i="225" l="1"/>
  <c r="AK17" i="231"/>
  <c r="E24" i="40"/>
  <c r="AI87" i="236"/>
  <c r="AJ6" i="236"/>
  <c r="AJ87" i="236" s="1"/>
  <c r="BK6" i="235"/>
  <c r="AO123" i="235"/>
  <c r="AR123" i="235" s="1"/>
  <c r="AM123" i="235"/>
  <c r="W129" i="235"/>
  <c r="AI108" i="235"/>
  <c r="AJ6" i="235"/>
  <c r="AJ108" i="235" s="1"/>
  <c r="AJ129" i="235" s="1"/>
  <c r="BB127" i="235"/>
  <c r="AO120" i="235"/>
  <c r="AR120" i="235" s="1"/>
  <c r="AM120" i="235"/>
  <c r="AW10" i="235"/>
  <c r="AV10" i="235"/>
  <c r="BK10" i="235" s="1"/>
  <c r="AT10" i="235"/>
  <c r="AU10" i="235" s="1"/>
  <c r="BC10" i="235"/>
  <c r="W108" i="235"/>
  <c r="P129" i="235"/>
  <c r="P130" i="235" s="1"/>
  <c r="AO90" i="235"/>
  <c r="AR90" i="235" s="1"/>
  <c r="AJ90" i="235"/>
  <c r="BC35" i="235"/>
  <c r="AW35" i="235"/>
  <c r="AV35" i="235"/>
  <c r="BK35" i="235" s="1"/>
  <c r="AT35" i="235"/>
  <c r="AU35" i="235" s="1"/>
  <c r="AO124" i="235"/>
  <c r="AR124" i="235" s="1"/>
  <c r="AM124" i="235"/>
  <c r="AO8" i="235"/>
  <c r="AJ8" i="235"/>
  <c r="AW67" i="235"/>
  <c r="AV67" i="235"/>
  <c r="BK67" i="235" s="1"/>
  <c r="AT67" i="235"/>
  <c r="AU67" i="235" s="1"/>
  <c r="BC67" i="235"/>
  <c r="AO85" i="235"/>
  <c r="AR85" i="235" s="1"/>
  <c r="AJ85" i="235"/>
  <c r="V117" i="235"/>
  <c r="U127" i="235"/>
  <c r="U129" i="235" s="1"/>
  <c r="AO112" i="235"/>
  <c r="AM112" i="235"/>
  <c r="BB117" i="235"/>
  <c r="AZ117" i="235"/>
  <c r="AV117" i="235"/>
  <c r="BK117" i="235" s="1"/>
  <c r="AT117" i="235"/>
  <c r="AU117" i="235" s="1"/>
  <c r="AU6" i="235"/>
  <c r="AT121" i="235"/>
  <c r="AU121" i="235" s="1"/>
  <c r="BC121" i="235"/>
  <c r="AV121" i="235"/>
  <c r="BK121" i="235" s="1"/>
  <c r="AZ121" i="235"/>
  <c r="BC46" i="235"/>
  <c r="AW46" i="235"/>
  <c r="AV46" i="235"/>
  <c r="BK46" i="235" s="1"/>
  <c r="AT46" i="235"/>
  <c r="AU46" i="235" s="1"/>
  <c r="BB108" i="235"/>
  <c r="AS127" i="235"/>
  <c r="AS129" i="235" s="1"/>
  <c r="BC79" i="235"/>
  <c r="AV79" i="235"/>
  <c r="BK79" i="235" s="1"/>
  <c r="AT79" i="235"/>
  <c r="AU79" i="235" s="1"/>
  <c r="AW79" i="235"/>
  <c r="AI9" i="234"/>
  <c r="X9" i="234"/>
  <c r="X61" i="234" s="1"/>
  <c r="V61" i="234"/>
  <c r="BK61" i="234"/>
  <c r="BH9" i="237" s="1"/>
  <c r="AU6" i="232"/>
  <c r="V9" i="232"/>
  <c r="U27" i="232"/>
  <c r="V28" i="232" s="1"/>
  <c r="P28" i="232"/>
  <c r="P29" i="232" s="1"/>
  <c r="AK6" i="232"/>
  <c r="AT8" i="232"/>
  <c r="AU8" i="232" s="1"/>
  <c r="BC8" i="232"/>
  <c r="BC27" i="232" s="1"/>
  <c r="AX8" i="232"/>
  <c r="AV8" i="232"/>
  <c r="BK8" i="232" s="1"/>
  <c r="AR27" i="232"/>
  <c r="AV27" i="232"/>
  <c r="BK6" i="232"/>
  <c r="BB9" i="232"/>
  <c r="BB27" i="232" s="1"/>
  <c r="AV9" i="232"/>
  <c r="BK9" i="232" s="1"/>
  <c r="AT9" i="232"/>
  <c r="AU9" i="232" s="1"/>
  <c r="AX9" i="232"/>
  <c r="U46" i="230"/>
  <c r="V6" i="230"/>
  <c r="U47" i="230"/>
  <c r="V47" i="230" s="1"/>
  <c r="P47" i="230"/>
  <c r="AS46" i="230"/>
  <c r="BB6" i="230"/>
  <c r="BB46" i="230" s="1"/>
  <c r="AX6" i="230"/>
  <c r="AX46" i="230" s="1"/>
  <c r="AV6" i="230"/>
  <c r="AT6" i="230"/>
  <c r="V23" i="229"/>
  <c r="AI6" i="229"/>
  <c r="X6" i="229"/>
  <c r="X23" i="229" s="1"/>
  <c r="AI15" i="228"/>
  <c r="AK6" i="228"/>
  <c r="AK15" i="228" s="1"/>
  <c r="AT15" i="228"/>
  <c r="AU6" i="228"/>
  <c r="AU15" i="228" s="1"/>
  <c r="AV15" i="228"/>
  <c r="BK6" i="228"/>
  <c r="BK15" i="228" s="1"/>
  <c r="AW15" i="228"/>
  <c r="AW23" i="228" s="1"/>
  <c r="BB15" i="228"/>
  <c r="AS15" i="227"/>
  <c r="AS18" i="227" s="1"/>
  <c r="AR20" i="227" s="1"/>
  <c r="AT6" i="227"/>
  <c r="BB6" i="227"/>
  <c r="BB15" i="227" s="1"/>
  <c r="AV6" i="227"/>
  <c r="U15" i="227"/>
  <c r="V6" i="227"/>
  <c r="AX15" i="227"/>
  <c r="AX20" i="227" s="1"/>
  <c r="W23" i="226"/>
  <c r="AR22" i="226"/>
  <c r="AJ22" i="226"/>
  <c r="AR18" i="226"/>
  <c r="AJ18" i="226"/>
  <c r="AV7" i="226"/>
  <c r="BK7" i="226" s="1"/>
  <c r="AT7" i="226"/>
  <c r="AU7" i="226" s="1"/>
  <c r="BC7" i="226"/>
  <c r="AW7" i="226"/>
  <c r="AR6" i="226"/>
  <c r="AI23" i="226"/>
  <c r="AJ6" i="226"/>
  <c r="AT11" i="226"/>
  <c r="AU11" i="226" s="1"/>
  <c r="BC11" i="226"/>
  <c r="AW11" i="226"/>
  <c r="AV11" i="226"/>
  <c r="BK11" i="226" s="1"/>
  <c r="AR12" i="226"/>
  <c r="AJ12" i="226"/>
  <c r="AV21" i="226"/>
  <c r="BK21" i="226" s="1"/>
  <c r="AW21" i="226"/>
  <c r="AT21" i="226"/>
  <c r="AU21" i="226" s="1"/>
  <c r="BC21" i="226"/>
  <c r="BC16" i="226"/>
  <c r="AW16" i="226"/>
  <c r="AV16" i="226"/>
  <c r="BK16" i="226" s="1"/>
  <c r="AT16" i="226"/>
  <c r="AU16" i="226" s="1"/>
  <c r="AV17" i="226"/>
  <c r="BK17" i="226" s="1"/>
  <c r="AW17" i="226"/>
  <c r="AT17" i="226"/>
  <c r="AU17" i="226" s="1"/>
  <c r="BC17" i="226"/>
  <c r="AR13" i="226"/>
  <c r="AJ13" i="226"/>
  <c r="AV14" i="226"/>
  <c r="BK14" i="226" s="1"/>
  <c r="AT14" i="226"/>
  <c r="AU14" i="226" s="1"/>
  <c r="BC14" i="226"/>
  <c r="AW14" i="226"/>
  <c r="AT15" i="226"/>
  <c r="AU15" i="226" s="1"/>
  <c r="BC15" i="226"/>
  <c r="AW15" i="226"/>
  <c r="AV15" i="226"/>
  <c r="BK15" i="226" s="1"/>
  <c r="AV10" i="226"/>
  <c r="BK10" i="226" s="1"/>
  <c r="AT10" i="226"/>
  <c r="AU10" i="226" s="1"/>
  <c r="AW10" i="226"/>
  <c r="BC10" i="226"/>
  <c r="AW20" i="226"/>
  <c r="AV20" i="226"/>
  <c r="BK20" i="226" s="1"/>
  <c r="BC20" i="226"/>
  <c r="AT20" i="226"/>
  <c r="AU20" i="226" s="1"/>
  <c r="AR8" i="226"/>
  <c r="AJ8" i="226"/>
  <c r="AT19" i="226"/>
  <c r="AU19" i="226" s="1"/>
  <c r="BC19" i="226"/>
  <c r="AW19" i="226"/>
  <c r="AV19" i="226"/>
  <c r="BK19" i="226" s="1"/>
  <c r="AJ9" i="226"/>
  <c r="AR9" i="226"/>
  <c r="AT15" i="225"/>
  <c r="AU6" i="225"/>
  <c r="AU15" i="225" s="1"/>
  <c r="BL6" i="225"/>
  <c r="BL15" i="225" s="1"/>
  <c r="BH18" i="237" s="1"/>
  <c r="AV15" i="225"/>
  <c r="W15" i="225"/>
  <c r="AW15" i="225"/>
  <c r="AI15" i="225"/>
  <c r="AJ6" i="225"/>
  <c r="AJ15" i="225" s="1"/>
  <c r="AX27" i="232" l="1"/>
  <c r="BK27" i="232"/>
  <c r="BH11" i="237" s="1"/>
  <c r="BC124" i="235"/>
  <c r="AV124" i="235"/>
  <c r="BK124" i="235" s="1"/>
  <c r="AT124" i="235"/>
  <c r="AU124" i="235" s="1"/>
  <c r="AZ124" i="235"/>
  <c r="BB129" i="235"/>
  <c r="AR112" i="235"/>
  <c r="AO127" i="235"/>
  <c r="V130" i="235"/>
  <c r="M130" i="235"/>
  <c r="AI117" i="235"/>
  <c r="Z117" i="235"/>
  <c r="Z127" i="235" s="1"/>
  <c r="Z129" i="235" s="1"/>
  <c r="V127" i="235"/>
  <c r="V129" i="235" s="1"/>
  <c r="AV123" i="235"/>
  <c r="BK123" i="235" s="1"/>
  <c r="AT123" i="235"/>
  <c r="AU123" i="235" s="1"/>
  <c r="BC123" i="235"/>
  <c r="AZ123" i="235"/>
  <c r="AT85" i="235"/>
  <c r="AU85" i="235" s="1"/>
  <c r="BC85" i="235"/>
  <c r="AW85" i="235"/>
  <c r="AV85" i="235"/>
  <c r="BK85" i="235" s="1"/>
  <c r="AO108" i="235"/>
  <c r="AR8" i="235"/>
  <c r="BC90" i="235"/>
  <c r="AW90" i="235"/>
  <c r="AV90" i="235"/>
  <c r="BK90" i="235" s="1"/>
  <c r="AT90" i="235"/>
  <c r="AU90" i="235" s="1"/>
  <c r="BC120" i="235"/>
  <c r="AV120" i="235"/>
  <c r="BK120" i="235" s="1"/>
  <c r="AT120" i="235"/>
  <c r="AU120" i="235" s="1"/>
  <c r="AZ120" i="235"/>
  <c r="AK9" i="234"/>
  <c r="AK61" i="234" s="1"/>
  <c r="AI61" i="234"/>
  <c r="X9" i="232"/>
  <c r="X27" i="232" s="1"/>
  <c r="AI9" i="232"/>
  <c r="V27" i="232"/>
  <c r="AU27" i="232"/>
  <c r="AT27" i="232"/>
  <c r="AT46" i="230"/>
  <c r="AU6" i="230"/>
  <c r="AU46" i="230" s="1"/>
  <c r="AV46" i="230"/>
  <c r="BK6" i="230"/>
  <c r="BK46" i="230" s="1"/>
  <c r="BH13" i="237" s="1"/>
  <c r="V46" i="230"/>
  <c r="AI6" i="230"/>
  <c r="X6" i="230"/>
  <c r="X46" i="230" s="1"/>
  <c r="AI23" i="229"/>
  <c r="AK6" i="229"/>
  <c r="AK23" i="229" s="1"/>
  <c r="BK25" i="228"/>
  <c r="BK27" i="228" s="1"/>
  <c r="V15" i="227"/>
  <c r="AI6" i="227"/>
  <c r="X6" i="227"/>
  <c r="X15" i="227" s="1"/>
  <c r="V16" i="227"/>
  <c r="M16" i="227"/>
  <c r="BK6" i="227"/>
  <c r="BK15" i="227" s="1"/>
  <c r="AV15" i="227"/>
  <c r="AT15" i="227"/>
  <c r="AU6" i="227"/>
  <c r="AU15" i="227" s="1"/>
  <c r="AW9" i="226"/>
  <c r="AV9" i="226"/>
  <c r="BK9" i="226" s="1"/>
  <c r="BC9" i="226"/>
  <c r="AT9" i="226"/>
  <c r="AU9" i="226" s="1"/>
  <c r="AV13" i="226"/>
  <c r="BK13" i="226" s="1"/>
  <c r="AW13" i="226"/>
  <c r="AT13" i="226"/>
  <c r="AU13" i="226" s="1"/>
  <c r="BC13" i="226"/>
  <c r="AJ23" i="226"/>
  <c r="AV18" i="226"/>
  <c r="BK18" i="226" s="1"/>
  <c r="AT18" i="226"/>
  <c r="AU18" i="226" s="1"/>
  <c r="BC18" i="226"/>
  <c r="AW18" i="226"/>
  <c r="AR23" i="226"/>
  <c r="AR26" i="226" s="1"/>
  <c r="AR28" i="226" s="1"/>
  <c r="AW6" i="226"/>
  <c r="AW23" i="226" s="1"/>
  <c r="AW28" i="226" s="1"/>
  <c r="BC6" i="226"/>
  <c r="BC23" i="226" s="1"/>
  <c r="AV6" i="226"/>
  <c r="AT6" i="226"/>
  <c r="AV22" i="226"/>
  <c r="BK22" i="226" s="1"/>
  <c r="AT22" i="226"/>
  <c r="AU22" i="226" s="1"/>
  <c r="BC22" i="226"/>
  <c r="AW22" i="226"/>
  <c r="AV8" i="226"/>
  <c r="BK8" i="226" s="1"/>
  <c r="AT8" i="226"/>
  <c r="AU8" i="226" s="1"/>
  <c r="BC8" i="226"/>
  <c r="AW8" i="226"/>
  <c r="AW12" i="226"/>
  <c r="AV12" i="226"/>
  <c r="BK12" i="226" s="1"/>
  <c r="AT12" i="226"/>
  <c r="AU12" i="226" s="1"/>
  <c r="BC12" i="226"/>
  <c r="AM117" i="235" l="1"/>
  <c r="AM127" i="235" s="1"/>
  <c r="AM129" i="235" s="1"/>
  <c r="AI127" i="235"/>
  <c r="AI129" i="235" s="1"/>
  <c r="AO129" i="235"/>
  <c r="AR108" i="235"/>
  <c r="BC8" i="235"/>
  <c r="BC108" i="235" s="1"/>
  <c r="AW8" i="235"/>
  <c r="AW108" i="235" s="1"/>
  <c r="AW129" i="235" s="1"/>
  <c r="AV8" i="235"/>
  <c r="AT8" i="235"/>
  <c r="BC112" i="235"/>
  <c r="BC127" i="235" s="1"/>
  <c r="AV112" i="235"/>
  <c r="AR127" i="235"/>
  <c r="AT112" i="235"/>
  <c r="AZ112" i="235"/>
  <c r="AZ127" i="235" s="1"/>
  <c r="AZ129" i="235" s="1"/>
  <c r="AK9" i="232"/>
  <c r="AK27" i="232" s="1"/>
  <c r="AI27" i="232"/>
  <c r="AI46" i="230"/>
  <c r="AJ6" i="230"/>
  <c r="AJ46" i="230" s="1"/>
  <c r="AI15" i="227"/>
  <c r="AK6" i="227"/>
  <c r="AK15" i="227" s="1"/>
  <c r="AT23" i="226"/>
  <c r="AU6" i="226"/>
  <c r="AU23" i="226" s="1"/>
  <c r="AV23" i="226"/>
  <c r="BK6" i="226"/>
  <c r="BK23" i="226" s="1"/>
  <c r="BK8" i="235" l="1"/>
  <c r="AV108" i="235"/>
  <c r="AT127" i="235"/>
  <c r="AT129" i="235" s="1"/>
  <c r="AU112" i="235"/>
  <c r="AU127" i="235" s="1"/>
  <c r="AR129" i="235"/>
  <c r="AR139" i="235" s="1"/>
  <c r="AV127" i="235"/>
  <c r="AV129" i="235" s="1"/>
  <c r="BK112" i="235"/>
  <c r="BK127" i="235" s="1"/>
  <c r="AU8" i="235"/>
  <c r="AU108" i="235" s="1"/>
  <c r="AT108" i="235"/>
  <c r="BC129" i="235"/>
  <c r="AU129" i="235" l="1"/>
  <c r="BK108" i="235"/>
  <c r="BK129" i="235" l="1"/>
  <c r="BH8" i="237" s="1"/>
  <c r="BH19" i="237" s="1"/>
  <c r="V20" i="97" l="1"/>
  <c r="G20" i="97"/>
  <c r="X20" i="97"/>
  <c r="H20" i="97"/>
  <c r="C20" i="97"/>
  <c r="P20" i="97"/>
  <c r="G16" i="44" l="1"/>
  <c r="Y20" i="97" l="1"/>
  <c r="Q15" i="44" l="1"/>
  <c r="Q14" i="44" l="1"/>
  <c r="Q13" i="44" l="1"/>
  <c r="Q12" i="44" l="1"/>
  <c r="Q11" i="44" l="1"/>
  <c r="Q10" i="44" l="1"/>
  <c r="Q9" i="44" l="1"/>
  <c r="Q8" i="44" l="1"/>
  <c r="Q7" i="44" l="1"/>
  <c r="Q6" i="44" l="1"/>
  <c r="Q5" i="44" l="1"/>
  <c r="O20" i="97" l="1"/>
  <c r="I20" i="97"/>
  <c r="L20" i="97"/>
  <c r="Q4" i="44"/>
  <c r="Q16" i="44" s="1"/>
  <c r="Q20" i="97" l="1"/>
  <c r="B20" i="97"/>
  <c r="E20" i="97"/>
  <c r="D20" i="97"/>
  <c r="H12" i="38" l="1"/>
  <c r="E17" i="75" l="1"/>
  <c r="F15" i="75" s="1"/>
  <c r="E13" i="71"/>
  <c r="F12" i="71" s="1"/>
  <c r="F13" i="71" s="1"/>
  <c r="F16" i="44"/>
  <c r="O15" i="44"/>
  <c r="R15" i="44" s="1"/>
  <c r="O14" i="44"/>
  <c r="R14" i="44" s="1"/>
  <c r="H16" i="44"/>
  <c r="F12" i="43" s="1"/>
  <c r="O12" i="44"/>
  <c r="R12" i="44" s="1"/>
  <c r="O11" i="44"/>
  <c r="R11" i="44" s="1"/>
  <c r="C16" i="44"/>
  <c r="O9" i="44"/>
  <c r="R9" i="44" s="1"/>
  <c r="I16" i="44"/>
  <c r="O7" i="44"/>
  <c r="R7" i="44" s="1"/>
  <c r="K16" i="44"/>
  <c r="E16" i="44"/>
  <c r="V24" i="97"/>
  <c r="V25" i="97" s="1"/>
  <c r="V24" i="12"/>
  <c r="G14" i="43"/>
  <c r="H20" i="38"/>
  <c r="E20" i="38"/>
  <c r="K19" i="38"/>
  <c r="H19" i="38"/>
  <c r="E19" i="38"/>
  <c r="H18" i="38"/>
  <c r="G17" i="38"/>
  <c r="G22" i="38" s="1"/>
  <c r="F17" i="38"/>
  <c r="F22" i="38" s="1"/>
  <c r="D17" i="38"/>
  <c r="D22" i="38" s="1"/>
  <c r="C17" i="38"/>
  <c r="H16" i="38"/>
  <c r="E16" i="38"/>
  <c r="H15" i="38"/>
  <c r="E15" i="38"/>
  <c r="H14" i="38"/>
  <c r="E14" i="38"/>
  <c r="K13" i="38"/>
  <c r="H13" i="38"/>
  <c r="E13" i="38"/>
  <c r="H11" i="38"/>
  <c r="E11" i="38"/>
  <c r="H10" i="38"/>
  <c r="E10" i="38"/>
  <c r="H9" i="38"/>
  <c r="E9" i="38"/>
  <c r="G14" i="100"/>
  <c r="F21" i="61"/>
  <c r="F23" i="40"/>
  <c r="D14" i="40"/>
  <c r="F16" i="75" l="1"/>
  <c r="F17" i="75" s="1"/>
  <c r="H17" i="38"/>
  <c r="I23" i="40"/>
  <c r="G21" i="42"/>
  <c r="H21" i="38"/>
  <c r="H22" i="38" s="1"/>
  <c r="E17" i="38"/>
  <c r="J16" i="44"/>
  <c r="L16" i="44"/>
  <c r="O13" i="44"/>
  <c r="R13" i="44" s="1"/>
  <c r="D16" i="44"/>
  <c r="O6" i="44"/>
  <c r="R6" i="44" s="1"/>
  <c r="O4" i="44"/>
  <c r="R4" i="44" s="1"/>
  <c r="D21" i="38"/>
  <c r="C21" i="38"/>
  <c r="T24" i="97" s="1"/>
  <c r="C22" i="38"/>
  <c r="E22" i="38" s="1"/>
  <c r="M16" i="44"/>
  <c r="F7" i="43" s="1"/>
  <c r="G25" i="40"/>
  <c r="E25" i="40"/>
  <c r="F8" i="43" l="1"/>
  <c r="F11" i="43"/>
  <c r="N16" i="44"/>
  <c r="F13" i="43" s="1"/>
  <c r="I26" i="40"/>
  <c r="E21" i="38"/>
  <c r="F8" i="100"/>
  <c r="T24" i="12"/>
  <c r="V25" i="12"/>
  <c r="G27" i="40"/>
  <c r="G28" i="40" s="1"/>
  <c r="F27" i="40"/>
  <c r="F28" i="40" s="1"/>
  <c r="O8" i="44"/>
  <c r="R8" i="44" s="1"/>
  <c r="J19" i="44"/>
  <c r="D25" i="40"/>
  <c r="E27" i="40"/>
  <c r="E28" i="40" s="1"/>
  <c r="I24" i="40"/>
  <c r="I25" i="40" s="1"/>
  <c r="U24" i="12"/>
  <c r="U24" i="97"/>
  <c r="F9" i="100"/>
  <c r="B16" i="44"/>
  <c r="O5" i="44"/>
  <c r="H25" i="40"/>
  <c r="H27" i="40"/>
  <c r="H28" i="40" s="1"/>
  <c r="R5" i="44" l="1"/>
  <c r="O10" i="44"/>
  <c r="D27" i="40"/>
  <c r="D28" i="40" s="1"/>
  <c r="B19" i="12"/>
  <c r="E29" i="39"/>
  <c r="G9" i="41" s="1"/>
  <c r="K19" i="44"/>
  <c r="F10" i="43"/>
  <c r="F14" i="43" s="1"/>
  <c r="F13" i="100" s="1"/>
  <c r="E31" i="39" l="1"/>
  <c r="G11" i="41" s="1"/>
  <c r="B21" i="12"/>
  <c r="O16" i="44"/>
  <c r="Y24" i="12" s="1"/>
  <c r="Y25" i="12" s="1"/>
  <c r="R10" i="44"/>
  <c r="R16" i="44" s="1"/>
  <c r="I27" i="40"/>
  <c r="I28" i="40" s="1"/>
  <c r="F14" i="100"/>
  <c r="J13" i="100" s="1"/>
  <c r="S24" i="12" l="1"/>
  <c r="Y24" i="97"/>
  <c r="E17" i="61"/>
  <c r="E12" i="61"/>
  <c r="E18" i="61"/>
  <c r="E20" i="61"/>
  <c r="F18" i="42"/>
  <c r="F11" i="42"/>
  <c r="J8" i="100"/>
  <c r="J10" i="100"/>
  <c r="J9" i="100"/>
  <c r="J11" i="100"/>
  <c r="S24" i="97" l="1"/>
  <c r="Y25" i="97"/>
  <c r="E11" i="61"/>
  <c r="J14" i="100"/>
  <c r="E14" i="61" l="1"/>
  <c r="F12" i="42"/>
  <c r="E16" i="61"/>
  <c r="E10" i="61"/>
  <c r="E15" i="61"/>
  <c r="E19" i="61"/>
  <c r="X25" i="12"/>
  <c r="F9" i="42"/>
  <c r="F19" i="42"/>
  <c r="F17" i="42"/>
  <c r="F13" i="42"/>
  <c r="F14" i="42"/>
  <c r="F10" i="42"/>
  <c r="F20" i="42"/>
  <c r="E8" i="61" l="1"/>
  <c r="E9" i="61"/>
  <c r="X25" i="97"/>
  <c r="E14" i="74"/>
  <c r="F12" i="74" s="1"/>
  <c r="E18" i="78"/>
  <c r="F15" i="78" s="1"/>
  <c r="F15" i="42"/>
  <c r="E18" i="73" l="1"/>
  <c r="F17" i="73" s="1"/>
  <c r="E14" i="72"/>
  <c r="F13" i="72" s="1"/>
  <c r="F13" i="74"/>
  <c r="F14" i="74" s="1"/>
  <c r="F17" i="78"/>
  <c r="F16" i="78"/>
  <c r="E17" i="77"/>
  <c r="F16" i="77" s="1"/>
  <c r="F10" i="81"/>
  <c r="F13" i="81" s="1"/>
  <c r="F16" i="73" l="1"/>
  <c r="F15" i="73"/>
  <c r="F12" i="72"/>
  <c r="F14" i="72" s="1"/>
  <c r="F18" i="78"/>
  <c r="F15" i="77"/>
  <c r="F17" i="77" s="1"/>
  <c r="F18" i="73" l="1"/>
  <c r="F20" i="97" l="1"/>
  <c r="J22" i="97" s="1"/>
  <c r="J20" i="12" l="1"/>
  <c r="J21" i="12" s="1"/>
  <c r="N20" i="12"/>
  <c r="N21" i="12" s="1"/>
  <c r="J20" i="97" l="1"/>
  <c r="R20" i="12"/>
  <c r="R21" i="12" s="1"/>
  <c r="N20" i="97"/>
  <c r="N27" i="97" l="1"/>
  <c r="N22" i="97"/>
  <c r="K20" i="97"/>
  <c r="M20" i="97"/>
  <c r="R20" i="97" l="1"/>
  <c r="S22" i="97" s="1"/>
  <c r="S20" i="12" l="1"/>
  <c r="K20" i="12"/>
  <c r="K22" i="97"/>
  <c r="S21" i="12" l="1"/>
  <c r="F8" i="42"/>
  <c r="E13" i="61"/>
  <c r="S20" i="97"/>
  <c r="S25" i="97" s="1"/>
  <c r="E21" i="61" l="1"/>
  <c r="E14" i="67"/>
  <c r="H12" i="67" s="1"/>
  <c r="S25" i="12"/>
  <c r="E27" i="39"/>
  <c r="G7" i="41" s="1"/>
  <c r="F21" i="42"/>
  <c r="J8" i="42" s="1"/>
  <c r="H10" i="61" l="1"/>
  <c r="H18" i="61"/>
  <c r="H9" i="61"/>
  <c r="H11" i="61"/>
  <c r="H8" i="61"/>
  <c r="H20" i="61"/>
  <c r="H15" i="61"/>
  <c r="H19" i="61"/>
  <c r="H16" i="61"/>
  <c r="H14" i="61"/>
  <c r="H12" i="61"/>
  <c r="H17" i="61"/>
  <c r="H13" i="61"/>
  <c r="J18" i="42"/>
  <c r="J11" i="42"/>
  <c r="J12" i="42"/>
  <c r="J14" i="42"/>
  <c r="J20" i="42"/>
  <c r="J9" i="42"/>
  <c r="J10" i="42"/>
  <c r="J15" i="42"/>
  <c r="J19" i="42"/>
  <c r="J13" i="42"/>
  <c r="J16" i="42"/>
  <c r="J17" i="42"/>
  <c r="H13" i="67"/>
  <c r="H14" i="67"/>
  <c r="H21" i="61" l="1"/>
  <c r="J21" i="42"/>
  <c r="E17" i="68" l="1"/>
  <c r="F12" i="68" s="1"/>
  <c r="F15" i="68" l="1"/>
  <c r="F14" i="68"/>
  <c r="F16" i="68"/>
  <c r="F13" i="68"/>
  <c r="F17" i="68" l="1"/>
  <c r="U20" i="97" l="1"/>
  <c r="U25" i="97" s="1"/>
  <c r="T20" i="97"/>
  <c r="T25" i="97" s="1"/>
  <c r="E16" i="69" l="1"/>
  <c r="F14" i="69" s="1"/>
  <c r="F15" i="69" l="1"/>
  <c r="F13" i="69"/>
  <c r="F12" i="69"/>
  <c r="F16" i="69" l="1"/>
  <c r="T11" i="12"/>
  <c r="T19" i="12" l="1"/>
  <c r="T25" i="12" s="1"/>
  <c r="U11" i="12"/>
  <c r="U19" i="12" l="1"/>
  <c r="T20" i="12" s="1"/>
  <c r="T21" i="12" s="1"/>
  <c r="U25" i="12" l="1"/>
  <c r="A6" i="253"/>
  <c r="A7" i="253" s="1"/>
  <c r="A8" i="253" s="1"/>
  <c r="A9" i="253" s="1"/>
  <c r="A10" i="253" s="1"/>
  <c r="A11" i="253" s="1"/>
  <c r="A12" i="253" s="1"/>
  <c r="A13" i="253" s="1"/>
  <c r="A14" i="253" s="1"/>
  <c r="A15" i="253" s="1"/>
  <c r="A16" i="253" s="1"/>
  <c r="A17" i="253" s="1"/>
  <c r="A18" i="253" s="1"/>
  <c r="A19" i="253" s="1"/>
  <c r="A20" i="253" s="1"/>
  <c r="A21" i="253" s="1"/>
  <c r="A22" i="253" s="1"/>
  <c r="A23" i="253" s="1"/>
  <c r="A24" i="253" s="1"/>
  <c r="A25" i="253" s="1"/>
  <c r="A26" i="253" s="1"/>
  <c r="A27" i="253" s="1"/>
  <c r="A28" i="253" s="1"/>
  <c r="A29" i="253" s="1"/>
  <c r="A30" i="253" s="1"/>
  <c r="A31" i="253" s="1"/>
  <c r="A32" i="253" s="1"/>
  <c r="A33" i="253" s="1"/>
  <c r="A34" i="253" s="1"/>
  <c r="A35" i="253" s="1"/>
  <c r="A36" i="253" s="1"/>
  <c r="A37" i="253" s="1"/>
  <c r="A38" i="253" s="1"/>
  <c r="A39" i="253" s="1"/>
  <c r="A40" i="253" s="1"/>
  <c r="A41" i="253" s="1"/>
  <c r="A42" i="253" s="1"/>
  <c r="A43" i="253" s="1"/>
  <c r="A44" i="253" s="1"/>
  <c r="A45" i="253" s="1"/>
  <c r="A46" i="253" s="1"/>
  <c r="A47" i="253" s="1"/>
  <c r="A48" i="253" s="1"/>
  <c r="A49" i="253" s="1"/>
  <c r="A50" i="253" s="1"/>
  <c r="A51" i="253" s="1"/>
  <c r="A52" i="253" s="1"/>
  <c r="A53" i="253" s="1"/>
  <c r="A54" i="253" s="1"/>
  <c r="A55" i="253" s="1"/>
  <c r="A56" i="253" s="1"/>
  <c r="A57" i="253" s="1"/>
  <c r="A58" i="253" s="1"/>
  <c r="A59" i="253" s="1"/>
  <c r="A60" i="253" s="1"/>
  <c r="A61" i="253" s="1"/>
  <c r="A62" i="253" s="1"/>
  <c r="A63" i="253" s="1"/>
  <c r="A64" i="253" s="1"/>
  <c r="A65" i="253" s="1"/>
  <c r="A66" i="253" s="1"/>
  <c r="A67" i="253" s="1"/>
  <c r="A68" i="253" s="1"/>
  <c r="A69" i="253" s="1"/>
  <c r="A70" i="253" s="1"/>
  <c r="A71" i="253" s="1"/>
  <c r="A72" i="253" s="1"/>
  <c r="A73" i="253" s="1"/>
  <c r="A74" i="253" s="1"/>
  <c r="A75" i="253" s="1"/>
  <c r="A76" i="253" s="1"/>
  <c r="A77" i="253" s="1"/>
  <c r="A78" i="253" s="1"/>
  <c r="A79" i="253" s="1"/>
  <c r="A80" i="253" s="1"/>
  <c r="A81" i="253" s="1"/>
  <c r="A82" i="253" s="1"/>
  <c r="A83" i="253" s="1"/>
  <c r="A6" i="242"/>
  <c r="A7" i="242" s="1"/>
  <c r="A8" i="242" s="1"/>
  <c r="A9" i="242" s="1"/>
  <c r="A10" i="242" s="1"/>
  <c r="A11" i="242" s="1"/>
  <c r="A12" i="242" s="1"/>
  <c r="A13" i="242" s="1"/>
  <c r="A14" i="242" s="1"/>
  <c r="A15" i="242" s="1"/>
  <c r="A16" i="242" s="1"/>
  <c r="A17" i="242" s="1"/>
  <c r="A18" i="242" s="1"/>
  <c r="A19" i="242" s="1"/>
  <c r="A20" i="242" s="1"/>
  <c r="A21" i="242" s="1"/>
  <c r="A22" i="242" s="1"/>
  <c r="A23" i="242" s="1"/>
  <c r="A24" i="242" s="1"/>
  <c r="A25" i="242" s="1"/>
  <c r="A26" i="242" s="1"/>
  <c r="A27" i="242" s="1"/>
  <c r="A28" i="242" s="1"/>
  <c r="A29" i="242" s="1"/>
  <c r="A30" i="242" s="1"/>
  <c r="A31" i="242" s="1"/>
  <c r="A32" i="242" s="1"/>
  <c r="A33" i="242" s="1"/>
  <c r="A34" i="242" s="1"/>
  <c r="A35" i="242" s="1"/>
  <c r="A36" i="242" s="1"/>
  <c r="A37" i="242" s="1"/>
  <c r="A38" i="242" s="1"/>
  <c r="A39" i="242" s="1"/>
  <c r="A40" i="242" s="1"/>
  <c r="A41" i="242" s="1"/>
  <c r="A42" i="242" s="1"/>
  <c r="A43" i="242" s="1"/>
  <c r="A44" i="242" s="1"/>
  <c r="A45" i="242" s="1"/>
  <c r="A46" i="242" s="1"/>
  <c r="A47" i="242" s="1"/>
  <c r="A48" i="242" s="1"/>
  <c r="A49" i="242" s="1"/>
  <c r="A50" i="242" s="1"/>
  <c r="A51" i="242" s="1"/>
  <c r="A52" i="242" s="1"/>
  <c r="A53" i="242" s="1"/>
  <c r="A54" i="242" s="1"/>
  <c r="A55" i="242" s="1"/>
  <c r="A56" i="242" s="1"/>
  <c r="A57" i="242" s="1"/>
  <c r="A58" i="242" s="1"/>
  <c r="A59" i="242" s="1"/>
  <c r="A60" i="242" s="1"/>
  <c r="A61" i="242" s="1"/>
  <c r="A62" i="242" s="1"/>
  <c r="A63" i="242" s="1"/>
  <c r="H7" i="67" l="1"/>
  <c r="Z7" i="12"/>
  <c r="Z19" i="12" s="1"/>
  <c r="A64" i="242"/>
  <c r="A65" i="242" s="1"/>
  <c r="Z9" i="12" s="1"/>
  <c r="A6" i="243"/>
  <c r="A7" i="243" s="1"/>
  <c r="A8" i="243" s="1"/>
  <c r="A9" i="243" s="1"/>
  <c r="A10" i="243" s="1"/>
  <c r="A11" i="243" s="1"/>
  <c r="A12" i="243" s="1"/>
  <c r="A13" i="243" s="1"/>
  <c r="A14" i="243" s="1"/>
  <c r="A15" i="243" s="1"/>
  <c r="A6" i="254"/>
  <c r="A7" i="254"/>
  <c r="A8" i="254"/>
  <c r="A9" i="254"/>
  <c r="A10" i="254"/>
  <c r="A11" i="254"/>
  <c r="A12" i="254"/>
  <c r="A13" i="254"/>
  <c r="A14" i="254"/>
  <c r="A15" i="254"/>
  <c r="A16" i="254"/>
  <c r="A17" i="254"/>
  <c r="A18" i="254"/>
  <c r="A19" i="254"/>
  <c r="A20" i="254"/>
  <c r="A21" i="254"/>
  <c r="A22" i="254"/>
  <c r="A23" i="254"/>
  <c r="A24" i="254"/>
  <c r="A25" i="254"/>
  <c r="A26" i="254"/>
  <c r="A27" i="254"/>
  <c r="A28" i="254"/>
  <c r="A29" i="254"/>
  <c r="A30" i="254"/>
  <c r="A31" i="254"/>
  <c r="A32" i="254"/>
  <c r="A33" i="254"/>
  <c r="A34" i="254"/>
  <c r="A35" i="254"/>
  <c r="A36" i="254"/>
  <c r="A37" i="254"/>
  <c r="A38" i="254"/>
  <c r="A39" i="254"/>
  <c r="A40" i="254"/>
  <c r="A41" i="254"/>
  <c r="A43" i="254"/>
  <c r="A44" i="254"/>
  <c r="A45" i="254"/>
  <c r="A46" i="254"/>
  <c r="A47" i="254"/>
  <c r="A48" i="254"/>
  <c r="A49" i="254"/>
  <c r="A50" i="254"/>
  <c r="A51" i="254"/>
  <c r="A52" i="254"/>
  <c r="A53" i="254"/>
  <c r="A54" i="254"/>
  <c r="A55" i="254"/>
  <c r="A56" i="254"/>
  <c r="A57" i="254"/>
  <c r="A58" i="254"/>
  <c r="A59" i="254"/>
  <c r="A60" i="254"/>
  <c r="A61" i="254"/>
  <c r="A62" i="254"/>
  <c r="A63" i="254"/>
  <c r="A64" i="254"/>
  <c r="A65" i="254"/>
  <c r="A66" i="254"/>
  <c r="A67" i="254"/>
  <c r="A68" i="254"/>
  <c r="A69" i="254"/>
  <c r="A70" i="254"/>
  <c r="A71" i="254"/>
  <c r="A72" i="254"/>
  <c r="A73" i="254"/>
  <c r="A74" i="254"/>
  <c r="A75" i="254"/>
  <c r="A76" i="254"/>
  <c r="A77" i="254"/>
  <c r="A78" i="254"/>
  <c r="A79" i="254"/>
  <c r="A80" i="254"/>
  <c r="A81" i="254"/>
  <c r="A82" i="254"/>
  <c r="A84" i="254"/>
  <c r="A86" i="254"/>
  <c r="A6" i="257"/>
  <c r="A58" i="257" l="1"/>
  <c r="A59" i="257" s="1"/>
  <c r="A60" i="257" s="1"/>
  <c r="A62" i="257" s="1"/>
  <c r="A64" i="257" s="1"/>
  <c r="A66" i="257" s="1"/>
  <c r="A67" i="257" s="1"/>
  <c r="A98" i="257" s="1"/>
  <c r="A99" i="257" s="1"/>
  <c r="A100" i="257" s="1"/>
  <c r="A115" i="257" s="1"/>
  <c r="A116" i="257" s="1"/>
  <c r="A117" i="257" s="1"/>
  <c r="A119" i="257" s="1"/>
  <c r="A120" i="257" s="1"/>
  <c r="A121" i="257" s="1"/>
  <c r="A122" i="257" s="1"/>
  <c r="A124" i="257" s="1"/>
  <c r="A126" i="257" s="1"/>
  <c r="A76" i="259"/>
  <c r="A7" i="259"/>
  <c r="A6" i="262"/>
  <c r="A7" i="262" s="1"/>
  <c r="A8" i="262" s="1"/>
  <c r="A9" i="262" s="1"/>
  <c r="A10" i="262" s="1"/>
  <c r="A11" i="262" s="1"/>
  <c r="A12" i="262" s="1"/>
  <c r="A16" i="262"/>
  <c r="A7" i="264"/>
  <c r="A51" i="264"/>
  <c r="A7" i="266"/>
  <c r="A8" i="266"/>
  <c r="A9" i="266"/>
  <c r="A11" i="266"/>
  <c r="A13" i="266"/>
  <c r="A7" i="267"/>
  <c r="A19" i="267"/>
  <c r="A7" i="269"/>
  <c r="A19" i="269"/>
</calcChain>
</file>

<file path=xl/comments1.xml><?xml version="1.0" encoding="utf-8"?>
<comments xmlns="http://schemas.openxmlformats.org/spreadsheetml/2006/main">
  <authors>
    <author>Gizbarut-Orna Goldfriend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 xml:space="preserve">Gizbarut-Orna Goldfriend:
</t>
        </r>
        <r>
          <rPr>
            <sz val="9"/>
            <color indexed="81"/>
            <rFont val="Tahoma"/>
            <family val="2"/>
          </rPr>
          <t xml:space="preserve">
אפריקה ישראל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10.xml><?xml version="1.0" encoding="utf-8"?>
<comments xmlns="http://schemas.openxmlformats.org/spreadsheetml/2006/main">
  <authors>
    <author>Gizbarut-Orna Goldfriend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מניתוב 2174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עפ"י נתוני מסך 2174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מניתוב 2174
</t>
        </r>
      </text>
    </comment>
    <comment ref="AA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לפי עדכון של אוהד  25.10.20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תואם ל ניתוב 2174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מ.הפיס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4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לפי ניתוב 2174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6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בתוקף עד 9/2021. מ. הכלכלה</t>
        </r>
      </text>
    </comment>
    <comment ref="AA7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</commentList>
</comments>
</file>

<file path=xl/comments11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</commentList>
</comments>
</file>

<file path=xl/comments12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</commentList>
</comments>
</file>

<file path=xl/comments13.xml><?xml version="1.0" encoding="utf-8"?>
<comments xmlns="http://schemas.openxmlformats.org/spreadsheetml/2006/main">
  <authors>
    <author>Gizbarut-Orna Goldfriend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מ.הפיס</t>
        </r>
      </text>
    </comment>
    <comment ref="AA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במקביל לתחשיב מ. החינוך בבניה</t>
        </r>
      </text>
    </comment>
    <comment ref="AA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14.xml><?xml version="1.0" encoding="utf-8"?>
<comments xmlns="http://schemas.openxmlformats.org/spreadsheetml/2006/main">
  <authors>
    <author>Gizbarut-Orna Goldfriend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מ.הפיס</t>
        </r>
      </text>
    </comment>
    <comment ref="AA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במקביל לתחשיב מ. החינוך בבניה</t>
        </r>
      </text>
    </comment>
    <comment ref="AA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15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</commentList>
</comments>
</file>

<file path=xl/comments16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</commentList>
</comments>
</file>

<file path=xl/comments17.xml><?xml version="1.0" encoding="utf-8"?>
<comments xmlns="http://schemas.openxmlformats.org/spreadsheetml/2006/main">
  <authors>
    <author>Sheifa-Ayala Maman</author>
    <author>Gizbarut-Orna Goldfriend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מתוכם 282,540 ₪ שייכים לתב"ל</t>
        </r>
      </text>
    </comment>
    <comment ref="AA18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18.xml><?xml version="1.0" encoding="utf-8"?>
<comments xmlns="http://schemas.openxmlformats.org/spreadsheetml/2006/main">
  <authors>
    <author>Sheifa-Ayala Maman</author>
    <author>Gizbarut-Orna Goldfriend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מתוכם 282,540 ₪ שייכים לתב"ל</t>
        </r>
      </text>
    </comment>
    <comment ref="AA18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19.xml><?xml version="1.0" encoding="utf-8"?>
<comments xmlns="http://schemas.openxmlformats.org/spreadsheetml/2006/main">
  <authors>
    <author>Gizbarut-Orna Goldfriend</author>
    <author>Sheifa-Ayala Maman</author>
  </authors>
  <commentList>
    <comment ref="AA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  <comment ref="M40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מתוכם 282,540 ₪ שייכים לתב"ל</t>
        </r>
      </text>
    </comment>
  </commentList>
</comments>
</file>

<file path=xl/comments2.xml><?xml version="1.0" encoding="utf-8"?>
<comments xmlns="http://schemas.openxmlformats.org/spreadsheetml/2006/main">
  <authors>
    <author>Gizbarut-Orna Goldfriend</author>
    <author>Eng-Etay Levanon</author>
  </authors>
  <commentList>
    <comment ref="AA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נדרש להשאיר - עבור ליווי שמאי נווה ישראל –הר מירון 2266 </t>
        </r>
      </text>
    </comment>
    <comment ref="I37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לטובת  התנעה ליווי  תכנון  + מתחם הלפרין הר/2315 שוטף לתכנית 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עבור אורית מילבואר-אייל אדריכל עבור תוכנית בינוי לרח' בן גוריון.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7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 הרשאה1001272240</t>
        </r>
      </text>
    </comment>
    <comment ref="AA7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 הרשאה מ. התחבורה  1001274978</t>
        </r>
      </text>
    </comment>
  </commentList>
</comments>
</file>

<file path=xl/comments20.xml><?xml version="1.0" encoding="utf-8"?>
<comments xmlns="http://schemas.openxmlformats.org/spreadsheetml/2006/main">
  <authors>
    <author>Gizbarut-Orna Goldfriend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
לא נוצל.</t>
        </r>
      </text>
    </comment>
  </commentList>
</comments>
</file>

<file path=xl/comments21.xml><?xml version="1.0" encoding="utf-8"?>
<comments xmlns="http://schemas.openxmlformats.org/spreadsheetml/2006/main">
  <authors>
    <author>Gizbarut-Orna Goldfriend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
לא נוצל.</t>
        </r>
      </text>
    </comment>
  </commentList>
</comments>
</file>

<file path=xl/comments22.xml><?xml version="1.0" encoding="utf-8"?>
<comments xmlns="http://schemas.openxmlformats.org/spreadsheetml/2006/main">
  <authors>
    <author>Gizbarut-Orna Goldfriend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הרשאה  פרויקט 7050</t>
        </r>
      </text>
    </comment>
  </commentList>
</comments>
</file>

<file path=xl/comments23.xml><?xml version="1.0" encoding="utf-8"?>
<comments xmlns="http://schemas.openxmlformats.org/spreadsheetml/2006/main">
  <authors>
    <author>Gizbarut-Orna Goldfriend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הרשאה  פרויקט 7050</t>
        </r>
      </text>
    </comment>
  </commentList>
</comments>
</file>

<file path=xl/comments24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</commentList>
</comments>
</file>

<file path=xl/comments25.xml><?xml version="1.0" encoding="utf-8"?>
<comments xmlns="http://schemas.openxmlformats.org/spreadsheetml/2006/main">
  <authors>
    <author>Gizbarut-Orna Goldfriend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</commentList>
</comments>
</file>

<file path=xl/comments26.xml><?xml version="1.0" encoding="utf-8"?>
<comments xmlns="http://schemas.openxmlformats.org/spreadsheetml/2006/main">
  <authors>
    <author>Gizbarut-Orna Goldfriend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2020/24/826 הנגשה ברעות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שריון חוזים לדוגמא</t>
        </r>
      </text>
    </comment>
  </commentList>
</comments>
</file>

<file path=xl/comments27.xml><?xml version="1.0" encoding="utf-8"?>
<comments xmlns="http://schemas.openxmlformats.org/spreadsheetml/2006/main">
  <authors>
    <author>Gizbarut-Orna Goldfriend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2020/24/826 הנגשה ברעות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שריון חוזים לדוגמא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</commentList>
</comments>
</file>

<file path=xl/comments28.xml><?xml version="1.0" encoding="utf-8"?>
<comments xmlns="http://schemas.openxmlformats.org/spreadsheetml/2006/main">
  <authors>
    <author>Gizbarut-Orna Goldfriend</author>
  </authors>
  <commentList>
    <comment ref="BH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תבר 638 תבר 2173
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גליל ים</t>
        </r>
      </text>
    </comment>
    <comment ref="BH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רמב"ם.
תוקצב ב - 2019. בוטלה ההקצאה. 28.6.20</t>
        </r>
      </text>
    </comment>
    <comment ref="BH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תבר 1210 שיפוץ חזיתות ותבר1598  - הקטנה של 149 אלשח</t>
        </r>
      </text>
    </comment>
    <comment ref="BH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תבר 2169 מ. הפנים טרם התקבלה התחייבות</t>
        </r>
      </text>
    </comment>
    <comment ref="BD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13.9.20</t>
        </r>
      </text>
    </comment>
    <comment ref="BH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תבר 1260 תוקצב בסוף שנת 2019 וגם נכלל במסגרת תקציב 2020.</t>
        </r>
      </text>
    </comment>
  </commentList>
</comments>
</file>

<file path=xl/comments29.xml><?xml version="1.0" encoding="utf-8"?>
<comments xmlns="http://schemas.openxmlformats.org/spreadsheetml/2006/main">
  <authors>
    <author>Gizbarut-Orna Goldfriend</author>
    <author>Eng-Liora Brener</author>
  </authors>
  <commentList>
    <comment ref="BK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אין יתרת תקציב.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היקף פרויקט עדכון לת.ע. 2020. במקור הקטנה של 5 מלשח. בפועל ב - 2019 בוצעה הקטנה של 2 מלשח</t>
        </r>
      </text>
    </comment>
    <comment ref="AO79" authorId="1" shapeId="0">
      <text>
        <r>
          <rPr>
            <b/>
            <sz val="9"/>
            <color indexed="81"/>
            <rFont val="Tahoma"/>
            <family val="2"/>
          </rPr>
          <t>Eng-Liora Brener:</t>
        </r>
        <r>
          <rPr>
            <sz val="9"/>
            <color indexed="81"/>
            <rFont val="Tahoma"/>
            <family val="2"/>
          </rPr>
          <t xml:space="preserve">
  תלויים במימוש תב"ע .של ארנה וחג'ג
בספק אם נצטרך בשנת 2020.</t>
        </r>
      </text>
    </comment>
    <comment ref="AA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הבינוי</t>
        </r>
      </text>
    </comment>
    <comment ref="AN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הבינוי
</t>
        </r>
      </text>
    </comment>
    <comment ref="BA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הבינוי
</t>
        </r>
      </text>
    </comment>
    <comment ref="BD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טרם הוזרם
</t>
        </r>
      </text>
    </comment>
    <comment ref="BK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ממתין להתייחסות איתי</t>
        </r>
      </text>
    </comment>
    <comment ref="BP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הבינוי
</t>
        </r>
      </text>
    </comment>
  </commentList>
</comments>
</file>

<file path=xl/comments3.xml><?xml version="1.0" encoding="utf-8"?>
<comments xmlns="http://schemas.openxmlformats.org/spreadsheetml/2006/main">
  <authors>
    <author>Gizbarut-Orna Goldfriend</author>
    <author>Eng-Etay Levanon</author>
  </authors>
  <commentList>
    <comment ref="AA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נדרש להשאיר - עבור ליווי שמאי נווה ישראל –הר מירון 2266 </t>
        </r>
      </text>
    </comment>
    <comment ref="I37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לטובת  התנעה ליווי  תכנון  + מתחם הלפרין הר/2315 שוטף לתכנית 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עבור אורית מילבואר-אייל אדריכל עבור תוכנית בינוי לרח' בן גוריון.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7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 הרשאה1001272240</t>
        </r>
      </text>
    </comment>
    <comment ref="AA7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 הרשאה מ. התחבורה  1001274978</t>
        </r>
      </text>
    </comment>
  </commentList>
</comments>
</file>

<file path=xl/comments30.xml><?xml version="1.0" encoding="utf-8"?>
<comments xmlns="http://schemas.openxmlformats.org/spreadsheetml/2006/main">
  <authors>
    <author>Gizbarut-Orna Goldfriend</author>
  </authors>
  <commentList>
    <comment ref="AA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שינוי מימון 2/2020. מילגם</t>
        </r>
      </text>
    </comment>
    <comment ref="AN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שינוי מימון 2/2020. מילגם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יתרת תקציב שטרם מומשה. עבר פרטנית ב 1/2020 תקציב 2019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
בתאום עם עמי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210 אלשח הוזרמו מ. התחבורה ת.ע. 2019 לא היה בתחזית
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
1001162203 ' 1001129763</t>
        </r>
      </text>
    </comment>
    <comment ref="AN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210,000 ₪ מ. התחבורה הרשאה 9763 תוקצב ב - 19.12.19</t>
        </r>
      </text>
    </comment>
    <comment ref="BA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210,000 ₪ מ. התחבורה הרשאה 9763 תוקצב ב - 19.12.19</t>
        </r>
      </text>
    </comment>
    <comment ref="BD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</t>
        </r>
      </text>
    </comment>
    <comment ref="BE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תוקצב ב -12/2019. מ. התחבורה מס' 1001129763</t>
        </r>
      </text>
    </comment>
    <comment ref="BK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טעות. תוקצב כבר בשלהי 2019</t>
        </r>
      </text>
    </comment>
    <comment ref="BP2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1001162203 התחבורה שביל אופניים וינגייט סטרומה</t>
        </r>
      </text>
    </comment>
    <comment ref="AA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N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BA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 הרשאה מס' 1001131409</t>
        </r>
      </text>
    </comment>
    <comment ref="BP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 הרשאה מס' 1001131409</t>
        </r>
      </text>
    </comment>
    <comment ref="AA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התרבות והספורט
</t>
        </r>
      </text>
    </comment>
    <comment ref="AN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התרבות והספורט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27.4.20 עודכן בתאום עם עמי</t>
        </r>
      </text>
    </comment>
    <comment ref="AS4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27.4.20 עודכן בתאום עם עמי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 לא תוקצב ב - 2019 בניגוד לתחזית
</t>
        </r>
      </text>
    </comment>
    <comment ref="BD5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להשלים טופס תבר  אומדן ותקציב. סעיף 950</t>
        </r>
      </text>
    </comment>
    <comment ref="AA6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שינוי מימון מ. החינוך 2/2020</t>
        </r>
      </text>
    </comment>
    <comment ref="AN6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שינוי מימון מ. החינוך 2/2020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1 מלשח 2/2020</t>
        </r>
      </text>
    </comment>
    <comment ref="BD8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 950 להשלים טופס תבר ואומדן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 2/2020</t>
        </r>
      </text>
    </comment>
    <comment ref="BD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BD9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BD9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לקבל חלוקה בין 950 ל - 750</t>
        </r>
      </text>
    </comment>
    <comment ref="BD9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BD10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N10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500 אלשח ק. עודפים</t>
        </r>
      </text>
    </comment>
    <comment ref="BD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BD10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רמי 4501719743 לאחר תקצוב ב - 2019</t>
        </r>
      </text>
    </comment>
    <comment ref="AN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רמי 4501719743 לאחר תקצוב ב - 2019</t>
        </r>
      </text>
    </comment>
    <comment ref="AF1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חלק מהרשאה רמ"י מס' 4501849464</t>
        </r>
      </text>
    </comment>
    <comment ref="BD1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תוקצב 9.3.20
</t>
        </r>
      </text>
    </comment>
    <comment ref="AA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לפי תחשיב. אוהד 16.9.19 מעוגל ל - 700 אלשח 
מ. החינוך
</t>
        </r>
      </text>
    </comment>
    <comment ref="AN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N1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1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D1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A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אומדן</t>
        </r>
      </text>
    </comment>
    <comment ref="AN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אומדן</t>
        </r>
      </text>
    </comment>
    <comment ref="BA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אומדן</t>
        </r>
      </text>
    </comment>
    <comment ref="BD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BF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חסר אומדן. הושלם</t>
        </r>
      </text>
    </comment>
    <comment ref="AA1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רמי מס' 4501719743</t>
        </r>
      </text>
    </comment>
    <comment ref="AN1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רמי מס' 4501719743 יש לעדכן לא תוקצב מקרן ייעודית</t>
        </r>
      </text>
    </comment>
    <comment ref="BA1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רמי מס' 4501719743 יש לעדכן והרשאה מס' 4501849464</t>
        </r>
      </text>
    </comment>
    <comment ref="BE1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16.6.20 בוצע</t>
        </r>
      </text>
    </comment>
    <comment ref="AA1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חניון א"י
</t>
        </r>
      </text>
    </comment>
    <comment ref="AN1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חניון א"י
</t>
        </r>
      </text>
    </comment>
    <comment ref="BA1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חניון א"י
</t>
        </r>
      </text>
    </comment>
  </commentList>
</comments>
</file>

<file path=xl/comments31.xml><?xml version="1.0" encoding="utf-8"?>
<comments xmlns="http://schemas.openxmlformats.org/spreadsheetml/2006/main">
  <authors>
    <author>Gizbarut-Orna Goldfriend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27.4.20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חסר אומדן
הושלם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21.4.20</t>
        </r>
      </text>
    </comment>
    <comment ref="AF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חסר תוכנית.
הושלם</t>
        </r>
      </text>
    </comment>
    <comment ref="BA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R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ע"ח תבר 1850</t>
        </r>
      </text>
    </comment>
    <comment ref="AW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נלקח מקעפ 
</t>
        </r>
      </text>
    </comment>
    <comment ref="BA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Gizbarut-Orna Goldfriend:עודכן 27.4.20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</t>
        </r>
      </text>
    </comment>
    <comment ref="AF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סכום הקטנת התקציב עקב שינוי הסעיף התקציבי בחוזה 7690</t>
        </r>
      </text>
    </comment>
    <comment ref="AI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תקציב שנוצל ואין אפשרות להקטין</t>
        </r>
      </text>
    </comment>
    <comment ref="BA2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רמב"ם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רמב"ם</t>
        </r>
      </text>
    </comment>
    <comment ref="BE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רמב"ם.
תוקצב ב - 2019. בוטלה ההקצאה. 28.6.20</t>
        </r>
      </text>
    </comment>
    <comment ref="BK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רמב"ם.
תוקצב ב - 2019. בוטלה ההקצאה. 28.6.20</t>
        </r>
      </text>
    </comment>
    <comment ref="AA3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N3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4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
</t>
        </r>
      </text>
    </comment>
    <comment ref="AS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27.4.20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21.4.20</t>
        </r>
      </text>
    </comment>
    <comment ref="AA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הכלכלה והתעשיה</t>
        </r>
      </text>
    </comment>
    <comment ref="AN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הכלכלה</t>
        </r>
      </text>
    </comment>
  </commentList>
</comments>
</file>

<file path=xl/comments32.xml><?xml version="1.0" encoding="utf-8"?>
<comments xmlns="http://schemas.openxmlformats.org/spreadsheetml/2006/main">
  <authors>
    <author>Gizbarut-Orna Goldfriend</author>
  </authors>
  <commentList>
    <comment ref="AF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חסר אומדן. 11.3.20: לא נדרד תקציב במרץ</t>
        </r>
      </text>
    </comment>
  </commentList>
</comments>
</file>

<file path=xl/comments33.xml><?xml version="1.0" encoding="utf-8"?>
<comments xmlns="http://schemas.openxmlformats.org/spreadsheetml/2006/main">
  <authors>
    <author>Edu-Olga Lukinsky</author>
    <author>Gizbarut-Orna Goldfriend</author>
  </authors>
  <commentList>
    <comment ref="AO8" authorId="0" shapeId="0">
      <text>
        <r>
          <rPr>
            <b/>
            <sz val="9"/>
            <color indexed="81"/>
            <rFont val="Tahoma"/>
            <family val="2"/>
          </rPr>
          <t>Edu-Olga Lukinsky:</t>
        </r>
        <r>
          <rPr>
            <sz val="9"/>
            <color indexed="81"/>
            <rFont val="Tahoma"/>
            <family val="2"/>
          </rPr>
          <t xml:space="preserve">
אם לא עושים שיפוץ בפינסקר מנדבלט ניתן להוריד 180 א' ₪ </t>
        </r>
      </text>
    </comment>
    <comment ref="AR8" authorId="0" shapeId="0">
      <text>
        <r>
          <rPr>
            <b/>
            <sz val="9"/>
            <color indexed="81"/>
            <rFont val="Tahoma"/>
            <family val="2"/>
          </rPr>
          <t>Edu-Olga Lukinsky:</t>
        </r>
        <r>
          <rPr>
            <sz val="9"/>
            <color indexed="81"/>
            <rFont val="Tahoma"/>
            <family val="2"/>
          </rPr>
          <t xml:space="preserve">
אם לא עושים שיפוץ בפינסקר מנדבלט ניתן להוריד 180 א' ₪ </t>
        </r>
      </text>
    </comment>
    <comment ref="AA17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6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N26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26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P26" authorId="1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34.xml><?xml version="1.0" encoding="utf-8"?>
<comments xmlns="http://schemas.openxmlformats.org/spreadsheetml/2006/main">
  <authors>
    <author>Gizbarut-Orna Goldfriend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התררבות והספורט  מס' 1001188696</t>
        </r>
      </text>
    </comment>
    <comment ref="AN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התררבות והספורט  מס' 1001188696</t>
        </r>
      </text>
    </comment>
    <comment ref="B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התררבות והספורט  מס' 1001188696</t>
        </r>
      </text>
    </comment>
    <comment ref="AA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המשרד לבטחון  פנים
</t>
        </r>
      </text>
    </comment>
    <comment ref="AN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לבטחון פנים</t>
        </r>
      </text>
    </comment>
  </commentList>
</comments>
</file>

<file path=xl/comments35.xml><?xml version="1.0" encoding="utf-8"?>
<comments xmlns="http://schemas.openxmlformats.org/spreadsheetml/2006/main">
  <authors>
    <author>Gizbarut-Orna Goldfriend</author>
    <author>Sheifa-Ayala Maman</author>
  </authors>
  <commentList>
    <comment ref="AE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4.2.20</t>
        </r>
      </text>
    </comment>
    <comment ref="AO10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עבור שיפוצי בתים שכבר החלו. פרוייקטים שטרם התחילו בביצועם הוקפאו</t>
        </r>
      </text>
    </comment>
    <comment ref="BD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13.5.20סכום של 1,000,000 ₪ </t>
        </r>
      </text>
    </comment>
    <comment ref="BF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21.7.20</t>
        </r>
      </text>
    </comment>
    <comment ref="BG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30.9.20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יש שריון הזמנות לא מאושרות</t>
        </r>
      </text>
    </comment>
    <comment ref="AP11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עבור גינת פאו-לון, קלישר ודרישות הנהלה</t>
        </r>
      </text>
    </comment>
    <comment ref="AP12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אוושר לחברה הכלכלית מתקציב זה עבור ביצוע גינת הכלבים בליל הגשרים, פרוייקט שלמיטב ידיעתנו כבר הוחל בביצועו ולכן יש לאפשר את סיומו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22.4.20</t>
        </r>
      </text>
    </comment>
    <comment ref="AP14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פרוייקט עיר ללא פלסטיק ממשיך בהוראת רה"ע</t>
        </r>
      </text>
    </comment>
    <comment ref="AO19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ההתחייבות מהמשרד להגנ"ס טרם התקבלה</t>
        </r>
      </text>
    </comment>
    <comment ref="AP19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מיועד לחינוך סביבתי בשנה"ל הבאה תשפ"א</t>
        </r>
      </text>
    </comment>
    <comment ref="BD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בוצע.</t>
        </r>
      </text>
    </comment>
    <comment ref="AP20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מדובר בבטיחות</t>
        </r>
      </text>
    </comment>
    <comment ref="AA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  <comment ref="AP21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לטובת שדרוג הגינות עם פתיחת שנה"ל הבאה תשפ"א</t>
        </r>
      </text>
    </comment>
    <comment ref="AP24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יש צורך ברכישת מיכלי אצירה לשכונות העיר. החוזה אושר רק לאחרונה וכעת צריכים לבצע</t>
        </r>
      </text>
    </comment>
    <comment ref="AO32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התקציב נדרש במלואו מאחר והוא מיועד לטיפול בשטחי מוס"ח לאחר שיפוצי הקיץ שכן מתבצעים</t>
        </r>
      </text>
    </comment>
    <comment ref="AP32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התקציב נדרש במלואו מאחר והוא מיועד לטיפול בשטחי מוס"ח לאחר שיפוצי הקיץ שכן מתבצעים</t>
        </r>
      </text>
    </comment>
    <comment ref="AF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הושלם אומדן</t>
        </r>
      </text>
    </comment>
    <comment ref="AG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הושלם אומדן</t>
        </r>
      </text>
    </comment>
    <comment ref="AP34" authorId="1" shapeId="0">
      <text>
        <r>
          <rPr>
            <b/>
            <sz val="9"/>
            <color indexed="81"/>
            <rFont val="Tahoma"/>
            <family val="2"/>
          </rPr>
          <t>Sheifa-Ayala Maman:</t>
        </r>
        <r>
          <rPr>
            <sz val="9"/>
            <color indexed="81"/>
            <rFont val="Tahoma"/>
            <family val="2"/>
          </rPr>
          <t xml:space="preserve">
המתקן בספורטק אינו בטיחותי, חייבים להחליפו</t>
        </r>
      </text>
    </comment>
    <comment ref="AF3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לקבל תשובה מאיילה על סגירת תבר ב  2019</t>
        </r>
      </text>
    </comment>
    <comment ref="AF3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הושלם אומדן
הושלם</t>
        </r>
      </text>
    </comment>
    <comment ref="BA4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התחיבות מ. הפנים</t>
        </r>
      </text>
    </comment>
  </commentList>
</comments>
</file>

<file path=xl/comments36.xml><?xml version="1.0" encoding="utf-8"?>
<comments xmlns="http://schemas.openxmlformats.org/spreadsheetml/2006/main">
  <authors>
    <author>Gizbarut-Orna Goldfriend</author>
  </authors>
  <commentList>
    <comment ref="AE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ב - 4.2.20</t>
        </r>
      </text>
    </comment>
    <comment ref="AN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</commentList>
</comments>
</file>

<file path=xl/comments37.xml><?xml version="1.0" encoding="utf-8"?>
<comments xmlns="http://schemas.openxmlformats.org/spreadsheetml/2006/main">
  <authors>
    <author>Gizbarut-Orna Goldfriend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רמי
</t>
        </r>
      </text>
    </comment>
    <comment ref="AN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הקרן לשמירה שטחים פנויים
</t>
        </r>
      </text>
    </comment>
  </commentList>
</comments>
</file>

<file path=xl/comments38.xml><?xml version="1.0" encoding="utf-8"?>
<comments xmlns="http://schemas.openxmlformats.org/spreadsheetml/2006/main">
  <authors>
    <author>Gizbarut-Orna Goldfriend</author>
  </authors>
  <commentList>
    <comment ref="AE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ב - 4.2.20</t>
        </r>
      </text>
    </comment>
    <comment ref="AN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מפעל הפייס
</t>
        </r>
      </text>
    </comment>
    <comment ref="BA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הפייס
</t>
        </r>
      </text>
    </comment>
    <comment ref="BG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13.9.20</t>
        </r>
      </text>
    </comment>
    <comment ref="AE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ב - 4.2.20</t>
        </r>
      </text>
    </comment>
  </commentList>
</comments>
</file>

<file path=xl/comments39.xml><?xml version="1.0" encoding="utf-8"?>
<comments xmlns="http://schemas.openxmlformats.org/spreadsheetml/2006/main">
  <authors>
    <author>Gizbarut-Orna Goldfriend</author>
  </authors>
  <commentList>
    <comment ref="AE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ב - 4.2.20</t>
        </r>
      </text>
    </comment>
  </commentList>
</comments>
</file>

<file path=xl/comments4.xml><?xml version="1.0" encoding="utf-8"?>
<comments xmlns="http://schemas.openxmlformats.org/spreadsheetml/2006/main">
  <authors>
    <author>Gizbarut-Orna Goldfriend</author>
    <author>Eng-Etay Levanon</author>
  </authors>
  <commentList>
    <comment ref="AA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נדרש להשאיר - עבור ליווי שמאי נווה ישראל –הר מירון 2266 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לטובת  התנעה ליווי  תכנון  + מתחם הלפרין הר/2315 שוטף לתכנית </t>
        </r>
      </text>
    </comment>
    <comment ref="J23" authorId="1" shapeId="0">
      <text>
        <r>
          <rPr>
            <b/>
            <sz val="9"/>
            <color indexed="81"/>
            <rFont val="Tahoma"/>
            <family val="2"/>
          </rPr>
          <t>Eng-Etay Levanon:</t>
        </r>
        <r>
          <rPr>
            <sz val="9"/>
            <color indexed="81"/>
            <rFont val="Tahoma"/>
            <family val="2"/>
          </rPr>
          <t xml:space="preserve">
עבור אורית מילבואר-אייל אדריכל עבור תוכנית בינוי לרח' בן גוריון.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6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 הרשאה1001272240</t>
        </r>
      </text>
    </comment>
    <comment ref="AA6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 הרשאה מ. התחבורה  1001274978</t>
        </r>
      </text>
    </comment>
  </commentList>
</comments>
</file>

<file path=xl/comments40.xml><?xml version="1.0" encoding="utf-8"?>
<comments xmlns="http://schemas.openxmlformats.org/spreadsheetml/2006/main">
  <authors>
    <author>Gizbarut-Orna Goldfriend</author>
  </authors>
  <commentList>
    <comment ref="AC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שונה מסעיף 764
000
</t>
        </r>
      </text>
    </comment>
    <comment ref="AF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לקבל טופס תבר. לסעיף 751.
הושלם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חסר טופס תבר.  סכום של 350 אלשח ב - 20.5.20 הושלם. הוזרם </t>
        </r>
      </text>
    </comment>
    <comment ref="AE9" authorId="0" shapeId="0">
      <text>
        <r>
          <rPr>
            <b/>
            <sz val="9"/>
            <color indexed="81"/>
            <rFont val="Tahoma"/>
            <family val="2"/>
          </rPr>
          <t>Gizbarut-Orna Goldfriendבוצע ב - 18.2.20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הוזרם 30 אלשח ב - 2019 לא  לפי התחזית
</t>
        </r>
      </text>
    </comment>
    <comment ref="BE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17.5.20: בשיחה עם רונית. הוזרם</t>
        </r>
      </text>
    </comment>
    <comment ref="BL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סכום של 30 אלשח הוזרם בסוף 2019 ולא נלקח בחשבון.
</t>
        </r>
      </text>
    </comment>
  </commentList>
</comments>
</file>

<file path=xl/comments41.xml><?xml version="1.0" encoding="utf-8"?>
<comments xmlns="http://schemas.openxmlformats.org/spreadsheetml/2006/main">
  <authors>
    <author>Gizbarut-Orna Goldfriend</author>
  </authors>
  <commentList>
    <comment ref="X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</t>
        </r>
      </text>
    </comment>
    <comment ref="X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</t>
        </r>
      </text>
    </comment>
    <comment ref="W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 ביוני 2020. הקטנה</t>
        </r>
      </text>
    </comment>
  </commentList>
</comments>
</file>

<file path=xl/comments5.xml><?xml version="1.0" encoding="utf-8"?>
<comments xmlns="http://schemas.openxmlformats.org/spreadsheetml/2006/main">
  <authors>
    <author>Gizbarut-Orna Goldfriend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תאגיד הקבורה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הספורט. לא אושרה הבקשה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ב - 200 אלחש שנדרש לתבל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: נתון מהמצגת של ארז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6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מ.הפייס
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8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8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4 כיתות גן</t>
        </r>
      </text>
    </comment>
    <comment ref="AA9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7 כיתות גן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השלמה ל - 70 מלשח</t>
        </r>
      </text>
    </comment>
    <comment ref="AA1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2 כיתות גן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ארז. ביס יסודי ו - 5 כיתות גן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ארז. 5 כיתות גן</t>
        </r>
      </text>
    </comment>
    <comment ref="AA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 בי"ס יסודי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Q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ייעודית+תקבול  
850 אלשח ו 4382 אלשח  ב10.20  אפ"י בגין החניון
</t>
        </r>
      </text>
    </comment>
    <comment ref="AA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3 כיתות גן נתון ממצגת ארז ואפריקה ישראל מימון החניון.</t>
        </r>
      </text>
    </comment>
    <comment ref="AA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3 כיתות גן</t>
        </r>
      </text>
    </comment>
  </commentList>
</comments>
</file>

<file path=xl/comments6.xml><?xml version="1.0" encoding="utf-8"?>
<comments xmlns="http://schemas.openxmlformats.org/spreadsheetml/2006/main">
  <authors>
    <author>Gizbarut-Orna Goldfriend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תאגיד הקבורה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הספורט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ב - 200 אלחש שנדרש לתבל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: נתון מהמצגת של ארז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6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מ.הפייס
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8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8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9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השלמה ל - 70 מלשח</t>
        </r>
      </text>
    </comment>
    <comment ref="AA1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Q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ייעודית+תקבול  
850 אלשח ו 4382 אלשח  ב10.20  אפ"י בגין החניון
</t>
        </r>
      </text>
    </comment>
    <comment ref="AA1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ואפריקה ישראל מימון החניון.</t>
        </r>
      </text>
    </comment>
    <comment ref="AA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</commentList>
</comments>
</file>

<file path=xl/comments7.xml><?xml version="1.0" encoding="utf-8"?>
<comments xmlns="http://schemas.openxmlformats.org/spreadsheetml/2006/main">
  <authors>
    <author>Gizbarut-Orna Goldfriend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מוגדר כברירת מחדל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5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השלמה ל - 70 מלשח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6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6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תאגיד הקבורה
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7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: נתון מהמצגת של ארז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7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7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8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9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9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AA9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Q9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ייעודית+תקבול  
850 אלשח ו 4382 אלשח  ב10.20  אפ"י בגין החניון
</t>
        </r>
      </text>
    </comment>
    <comment ref="AA9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 ואפריקה ישראל מימון החניון.</t>
        </r>
      </text>
    </comment>
    <comment ref="AA9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נתון ממצגת ארז</t>
        </r>
      </text>
    </comment>
    <comment ref="H10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מ.הפייס
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AA10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הספורט</t>
        </r>
      </text>
    </comment>
    <comment ref="M10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ב - 200 אלחש שנדרש לתבל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1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</commentList>
</comments>
</file>

<file path=xl/comments8.xml><?xml version="1.0" encoding="utf-8"?>
<comments xmlns="http://schemas.openxmlformats.org/spreadsheetml/2006/main">
  <authors>
    <author>Gizbarut-Orna Goldfriend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מניתוב 2174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עפ"י נתוני מסך 2174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לפי ניתוב 2174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מניתוב 2174
</t>
        </r>
      </text>
    </comment>
    <comment ref="AA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לפי עדכון של אוהד  25.10.20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תואם ל ניתוב 2174</t>
        </r>
      </text>
    </comment>
    <comment ref="AA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מ.הפיס</t>
        </r>
      </text>
    </comment>
    <comment ref="AA4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בתוקף עד 9/2021. מ. הכלכלה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6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9.xml><?xml version="1.0" encoding="utf-8"?>
<comments xmlns="http://schemas.openxmlformats.org/spreadsheetml/2006/main">
  <authors>
    <author>Gizbarut-Orna Goldfriend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מניתוב 2174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עפ"י נתוני מסך 2174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לפי ניתוב 2174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מניתוב 2174
</t>
        </r>
      </text>
    </comment>
    <comment ref="AA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לפי עדכון של אוהד  25.10.20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תואם ל ניתוב 2174</t>
        </r>
      </text>
    </comment>
    <comment ref="AA3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מ.הפיס</t>
        </r>
      </text>
    </comment>
    <comment ref="AA4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בתוקף עד 9/2021. מ. הכלכלה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מניתוב 2174</t>
        </r>
      </text>
    </comment>
    <comment ref="AA6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sharedStrings.xml><?xml version="1.0" encoding="utf-8"?>
<sst xmlns="http://schemas.openxmlformats.org/spreadsheetml/2006/main" count="4502" uniqueCount="1732">
  <si>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</si>
  <si>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</si>
  <si>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</si>
  <si>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</si>
  <si>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</si>
  <si>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</si>
  <si>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</si>
  <si>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</si>
  <si>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</si>
  <si>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</si>
  <si>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</si>
  <si>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</si>
  <si>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</si>
  <si>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</si>
  <si>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</si>
  <si>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</si>
  <si>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פרק תב"ר</t>
  </si>
  <si>
    <t>תכנון מתחם הר' 2200</t>
  </si>
  <si>
    <t>תב"עות קטנות</t>
  </si>
  <si>
    <t>תמ"א 38</t>
  </si>
  <si>
    <t>תכנון פרויקטים פינוי בינוי</t>
  </si>
  <si>
    <t>התחדשות עירונית</t>
  </si>
  <si>
    <t>פינוי בינוי מעונות שרה</t>
  </si>
  <si>
    <t>מתחם הבריגדה מתחם הר' 1960</t>
  </si>
  <si>
    <t>מחלף הרב מכר</t>
  </si>
  <si>
    <t>פיתוח מתחם אלוני ים הר' 2030</t>
  </si>
  <si>
    <t>רח' ז'בוטינסקי אלתרמן הבריגדה</t>
  </si>
  <si>
    <t>פיתוח מתחם "מרינה לי"</t>
  </si>
  <si>
    <t>מרכז תחבורה חדש</t>
  </si>
  <si>
    <t>יעודי קרקע -מפת בסיס</t>
  </si>
  <si>
    <t>עבודות ניקוז בעיר</t>
  </si>
  <si>
    <t>עבודות פיתוח ותשתיות קטנות</t>
  </si>
  <si>
    <t>פרויקטים תחבורתיים בעיר</t>
  </si>
  <si>
    <t>תכנונים כלליים</t>
  </si>
  <si>
    <t>השלמת מבנה העיריה החדש</t>
  </si>
  <si>
    <t>מתחם נוף ים פיתוח</t>
  </si>
  <si>
    <t>מתחם יהודה המכבי וזוהר טל</t>
  </si>
  <si>
    <t>ליווי תשתיות לאומיות</t>
  </si>
  <si>
    <t>פתוח קטעי רח' דרך ירושלים גולומב</t>
  </si>
  <si>
    <t>רחוב בר כוכבא</t>
  </si>
  <si>
    <t>העתקות פרויקטים שונים</t>
  </si>
  <si>
    <t>חיבור גשר הולכי רגל כביש 20</t>
  </si>
  <si>
    <t>מערכת בקרת רמזורים</t>
  </si>
  <si>
    <t>החלפת מדרכות</t>
  </si>
  <si>
    <t>מתחם הגאון מוילנא חתם סופר</t>
  </si>
  <si>
    <t>רח' גבעת החלומות פיתוח</t>
  </si>
  <si>
    <t>פארק הבאסה שלב ב'</t>
  </si>
  <si>
    <t>ספורטק שלב ג'</t>
  </si>
  <si>
    <t>הוצאות בקשר עם תביעות סעיף 197</t>
  </si>
  <si>
    <t>פיתוח פארק שלב ג'</t>
  </si>
  <si>
    <t>הוצאות אכיפה-דירות נופש במרינה</t>
  </si>
  <si>
    <t>פיתוח פארק הבאסה</t>
  </si>
  <si>
    <t>תכנון ייעוץ הנדסי "סל"</t>
  </si>
  <si>
    <t>שיפוץ מבני דת ציבוריים</t>
  </si>
  <si>
    <t>מיזוג אוויר במוס"ח</t>
  </si>
  <si>
    <t>ריהוט גנ"י</t>
  </si>
  <si>
    <t>עבודות שונות בפארק הרצליה</t>
  </si>
  <si>
    <t>שדרוג מקלטים ציבוריים</t>
  </si>
  <si>
    <t>גידור שיפוץ גדרות מ.ספורט</t>
  </si>
  <si>
    <t>הצטידות כיתות חדשות בי"ס</t>
  </si>
  <si>
    <t>מדידות נכסים לחיוב היטלי פיתוח</t>
  </si>
  <si>
    <t>בדיקות חיוב להיטלי פיתוח</t>
  </si>
  <si>
    <t>הפרשה בגין תביעות תלויות</t>
  </si>
  <si>
    <t>הלוואה לטובת אוצר המדינה</t>
  </si>
  <si>
    <t>יער עירוני וגינות קהילתיות</t>
  </si>
  <si>
    <t>הטמעת עקרונות הקיימות בחינוך</t>
  </si>
  <si>
    <t>שדרוג מערכות הליבה</t>
  </si>
  <si>
    <t>שיפוץ דירות עמידר</t>
  </si>
  <si>
    <t>חזיתות בתים שיפוץ</t>
  </si>
  <si>
    <t>פצוי והפקעה ב-6525/6 הר' 1704</t>
  </si>
  <si>
    <t>בית הרמלין-חלקה 92-גוש 6592</t>
  </si>
  <si>
    <t>פיצויי הפקעה - פארק הבאסה</t>
  </si>
  <si>
    <t>עלויות רכישת מקרקעין</t>
  </si>
  <si>
    <t>פיצויי הפקעה הר'1941 פארק הבאסה</t>
  </si>
  <si>
    <t>פיצויי הפקעה גוש 6525 חל' 130,131</t>
  </si>
  <si>
    <t>תביעה פינוי גוש 6521 רחמים</t>
  </si>
  <si>
    <t>שיפוץ ב"מ ספריה+חניון גוש 6532 -346</t>
  </si>
  <si>
    <t>הקמת גינות לכלבים</t>
  </si>
  <si>
    <t>סככות הצללה לגני משחקים</t>
  </si>
  <si>
    <t>שדרוג תשתיות משטחי גומי גינות</t>
  </si>
  <si>
    <t>נטיעת עצים ברחבי העיר</t>
  </si>
  <si>
    <t>סקר עצים מסוכנים ברחבי העיר</t>
  </si>
  <si>
    <t>פיתוח מתחם המסילה ודב הוז</t>
  </si>
  <si>
    <t>בית העלמין החדש</t>
  </si>
  <si>
    <t>עבודות פיתוח קטנות</t>
  </si>
  <si>
    <t>מתחם זרובבל</t>
  </si>
  <si>
    <t>כצלנסון-פיתוח</t>
  </si>
  <si>
    <t>עבודות פינוי ומיחזור הר' 1903</t>
  </si>
  <si>
    <t>סה"כ החברה לפיתוח הרצליה</t>
  </si>
  <si>
    <t>תב"ע חוף הים</t>
  </si>
  <si>
    <t>קע"פ</t>
  </si>
  <si>
    <t>אחרים</t>
  </si>
  <si>
    <t>חופים</t>
  </si>
  <si>
    <t>מתקני משחק ,ריהוט גן ומשטחי גומי</t>
  </si>
  <si>
    <t>איכות הסביבה</t>
  </si>
  <si>
    <t>מרכיבי העלות</t>
  </si>
  <si>
    <t>מקורות מימון לפרויקט</t>
  </si>
  <si>
    <t>אגף/יחידה</t>
  </si>
  <si>
    <t>אומדן כולל לפרויקט</t>
  </si>
  <si>
    <t>תוספת לאומדן  לאישור מועצה</t>
  </si>
  <si>
    <t xml:space="preserve">יתרת תקציב 
</t>
  </si>
  <si>
    <t xml:space="preserve">אגף ת.ב.ל </t>
  </si>
  <si>
    <t xml:space="preserve">אגף ש.א.י.פ.ה </t>
  </si>
  <si>
    <t xml:space="preserve">איכות הסביבה </t>
  </si>
  <si>
    <t>החברה לפיתוח התיירות</t>
  </si>
  <si>
    <t>סה"כ</t>
  </si>
  <si>
    <t>קרן עודפי ת.ר.</t>
  </si>
  <si>
    <t xml:space="preserve">יתרת מקורות מימון </t>
  </si>
  <si>
    <t>הפרש עודף (חוסר)</t>
  </si>
  <si>
    <t xml:space="preserve">תקציב מאושר  </t>
  </si>
  <si>
    <t>צפון הרצליה הר' 2035</t>
  </si>
  <si>
    <t>פיתוח מתחם המכללות הר' 1920/1</t>
  </si>
  <si>
    <t>פתוח מתחם הר' 1972 תחנה מרכזית</t>
  </si>
  <si>
    <t>תכנון מבנה מעונות הסטודנטים</t>
  </si>
  <si>
    <t>שיקום האגם בפארק</t>
  </si>
  <si>
    <t>החברה לפיתוח התיירות הרצליה</t>
  </si>
  <si>
    <t>כללי</t>
  </si>
  <si>
    <t>שיפוץ ובינוי נכסים עירוניים כולל תשתיות</t>
  </si>
  <si>
    <t>תב"ע קרית השחקים</t>
  </si>
  <si>
    <t>פית' מדרגות קיר תומך פנחס רוזן</t>
  </si>
  <si>
    <t>שביל אופניים הרצליה-ת"א הפקעות</t>
  </si>
  <si>
    <t>תכנון דיור בן ציון מיכאלי</t>
  </si>
  <si>
    <t>שיפוץ המקווה העירוני</t>
  </si>
  <si>
    <t>הקמת גינות בי"ס קהילתיות</t>
  </si>
  <si>
    <t>מתנ"ס נווה ישראל</t>
  </si>
  <si>
    <t>פינוי בינוי מול התחנה</t>
  </si>
  <si>
    <t>פיתוח מתחם אולפני הרצליה</t>
  </si>
  <si>
    <t>קו ניקוז שער הים</t>
  </si>
  <si>
    <t>פיתוח מתחם הר' 1903</t>
  </si>
  <si>
    <t>שימור אתרים</t>
  </si>
  <si>
    <t xml:space="preserve">פינוי בינוי צומת כדורי </t>
  </si>
  <si>
    <t>שצ"פ מערב קיר אקוסטי גליל ים ב'</t>
  </si>
  <si>
    <t>אולם ספורט חטיבת זאב</t>
  </si>
  <si>
    <t>חניונים הר'1900 -שינוי תב"ע</t>
  </si>
  <si>
    <t>פיתוח גליל ים ב'</t>
  </si>
  <si>
    <t>עבודות הרחבה התאמה איצטדיון</t>
  </si>
  <si>
    <t>תכנון רכבת עילית איזור תעשיה</t>
  </si>
  <si>
    <t>פרויקטים קטנים רזרבה אגפית</t>
  </si>
  <si>
    <t>שיפוץ ותוספת בניה בי"ס בר אילן</t>
  </si>
  <si>
    <t>שיפוץ בי"ס מפתן ארז</t>
  </si>
  <si>
    <t>התקנת מעלית בי"ס שז"ר</t>
  </si>
  <si>
    <t>מע. תאורה LED ברחבי העיר</t>
  </si>
  <si>
    <t>החלפת תאורה באולמות ספורט</t>
  </si>
  <si>
    <t>הצטיידות גנ"י חדשים ח"ר,ח"מ</t>
  </si>
  <si>
    <t>אגף בטחון, פיקוח  וסדר ציבורי</t>
  </si>
  <si>
    <t>תב"ע מרינה</t>
  </si>
  <si>
    <t>תל מיכל</t>
  </si>
  <si>
    <t>פרויקטים סביבתיים</t>
  </si>
  <si>
    <t>תוכנית שיווק והפרדת פסולת</t>
  </si>
  <si>
    <t>פיתוח חוף רחצה "חוף הכוכבים"</t>
  </si>
  <si>
    <t>פרויקט "הרצליה נקיה מאסבסט"</t>
  </si>
  <si>
    <t>פרויקט תכסיות וניתוח מרחבי</t>
  </si>
  <si>
    <t>אגף בטחון פיקוח וסדר ציבורי</t>
  </si>
  <si>
    <t>גן 3 כיתות 401 גליל ים ב'</t>
  </si>
  <si>
    <t>כיתות מעון וגן שטח 303 גליל ים א'</t>
  </si>
  <si>
    <t xml:space="preserve">חניון המוסכים-תכנון </t>
  </si>
  <si>
    <t>נגישות לאנשים עם מוגבלויות</t>
  </si>
  <si>
    <t>מתחם דן אכדייה ליווי תכנוני</t>
  </si>
  <si>
    <t>שיפוצים ובטיחות אש מוזיאון</t>
  </si>
  <si>
    <t>התאמות נגישות מוסדות חינוך</t>
  </si>
  <si>
    <t>שדרוג המרחב הציבורי</t>
  </si>
  <si>
    <t>הצטידות חדשה בי"ס אופק</t>
  </si>
  <si>
    <t>הצטידות חדשה בי"ס לב טוב</t>
  </si>
  <si>
    <t>רכישת מיכלי אצירה לפסולת ומיחזור</t>
  </si>
  <si>
    <t>שילוט ברחבי העיר</t>
  </si>
  <si>
    <t>פיצויי הפקעה פטריאלי 6524/21,22</t>
  </si>
  <si>
    <t>פיצויי הפקעה הרשקוביץ שושנה 6524/58,68</t>
  </si>
  <si>
    <t>תב"ע גשר קטן במרינה</t>
  </si>
  <si>
    <t>תכנון תב"ע כיכר דה שליט</t>
  </si>
  <si>
    <t>גשר מעל כביש 20</t>
  </si>
  <si>
    <t>גשר הולכי רגל מעל שבעת הכוכבים</t>
  </si>
  <si>
    <t>נגישות ליקויי שמיעה (מ.החינוך)</t>
  </si>
  <si>
    <t xml:space="preserve">שיפוצים שונים מוס"ח </t>
  </si>
  <si>
    <t>הנגשת כיתות ליקויי שמיעה (מ.החינוך)</t>
  </si>
  <si>
    <t>מתחם גליל ים</t>
  </si>
  <si>
    <t xml:space="preserve">מגרש סימולציה לאופניים </t>
  </si>
  <si>
    <t xml:space="preserve">רכישת ציוד טיפול זיהום חוף ים </t>
  </si>
  <si>
    <t xml:space="preserve">ליווי "מהיר" לעיר </t>
  </si>
  <si>
    <t>שריון מערך רכש</t>
  </si>
  <si>
    <t xml:space="preserve">מתחם נוריות  </t>
  </si>
  <si>
    <t xml:space="preserve">תכנון מתחם אפולוניה </t>
  </si>
  <si>
    <t>בניית בי"ס ברחוב משה (ירוק)</t>
  </si>
  <si>
    <t>נגישות אקוסטית בי"ס</t>
  </si>
  <si>
    <t>הצטיידות חדשה בי"ס יוחנני</t>
  </si>
  <si>
    <t>ציפוי מגרשי ספורט</t>
  </si>
  <si>
    <t>תכנון תב"ע הסדרת ייעודי קרקע לפיתוח טיילת החוף</t>
  </si>
  <si>
    <t>בניה עצמית ליד המתחם הבינתחומי</t>
  </si>
  <si>
    <t>ü</t>
  </si>
  <si>
    <t>החברה לפיתוח הרצליה בע"מ</t>
  </si>
  <si>
    <t>אגף ת.ב.ל</t>
  </si>
  <si>
    <t>אגף ש.א.י.פ.ה</t>
  </si>
  <si>
    <t>שדרוג גן שלווה</t>
  </si>
  <si>
    <t>הצבת קולרים ברחבי העיר</t>
  </si>
  <si>
    <t>רשות החופים</t>
  </si>
  <si>
    <t>סככות צל חוף הכוכבים 2017</t>
  </si>
  <si>
    <t>משקפות למצילים 2017</t>
  </si>
  <si>
    <t>הכשרת חניון העוגן</t>
  </si>
  <si>
    <t xml:space="preserve">אגף חינוך </t>
  </si>
  <si>
    <t>3.6</t>
  </si>
  <si>
    <t>קרנות הרשות - צפי תנועה באלפי ₪</t>
  </si>
  <si>
    <t>תאור</t>
  </si>
  <si>
    <t>מקורות</t>
  </si>
  <si>
    <t>יתרה צפויה 1.1</t>
  </si>
  <si>
    <t xml:space="preserve">היטלי השבחה ופיתוח שנה שוטפת </t>
  </si>
  <si>
    <t xml:space="preserve">העמקת גביה מהיטלי פיתוח שנה שוטפת </t>
  </si>
  <si>
    <t>סה"כ מקורות</t>
  </si>
  <si>
    <t>שימושים</t>
  </si>
  <si>
    <t>השתתפות בפרעון מילוות מים,ביוב ופיתוח</t>
  </si>
  <si>
    <t>השתתפות בשכ"ע הנדסה לפיתוח ותכנון</t>
  </si>
  <si>
    <t>עודכן ב - 920 אלפי ₪ עדכון איילת 22.9.16</t>
  </si>
  <si>
    <t>מימון תקציב בלתי רגיל</t>
  </si>
  <si>
    <t>סה"כ שימושים</t>
  </si>
  <si>
    <t>31.10.16:</t>
  </si>
  <si>
    <t>עדכון של איילת: 644 אלפי ₪ משיכה נוספת.</t>
  </si>
  <si>
    <t>1.</t>
  </si>
  <si>
    <t>מבוא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</si>
  <si>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</si>
  <si>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</si>
  <si>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>מקורות המימון לתב"ר הינם :</t>
  </si>
  <si>
    <t>מענקים ממקורות שלטוניים ובעיקר ממשרדי ממשלה.</t>
  </si>
  <si>
    <t xml:space="preserve">מקורות עצמיים של הרשות הכוללים היטלי השבחה , היטלי פיתוח , העברות מתקציב רגיל, </t>
  </si>
  <si>
    <t>תרומות, מימוש נכסים.</t>
  </si>
  <si>
    <t>הלוואות לזמן ארוך.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</si>
  <si>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</si>
  <si>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</si>
  <si>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>ב – 16.3.2014 הכריז משרד הפנים על עיריית הרצליה כעל עירייה איתנה.</t>
  </si>
  <si>
    <t>חברי וועדת הכספים/מועצת העיר מתבקשים לאשר בזאת :</t>
  </si>
  <si>
    <t xml:space="preserve">באלפי ₪ </t>
  </si>
  <si>
    <t>מתוך אומדן כולל של הפרויקטים בסכום של</t>
  </si>
  <si>
    <t>2.</t>
  </si>
  <si>
    <t>מקורות המימון באלפי ₪ היו כדלקמן -</t>
  </si>
  <si>
    <t>קרן מכירת רכוש</t>
  </si>
  <si>
    <t>משרדי ממשלה ואחרים</t>
  </si>
  <si>
    <t>סה"כ תקציב</t>
  </si>
  <si>
    <t xml:space="preserve">משרדי ממשלה ואחרים </t>
  </si>
  <si>
    <t>אחוז ביצוע</t>
  </si>
  <si>
    <t xml:space="preserve">סה"כ </t>
  </si>
  <si>
    <t xml:space="preserve">המשך ההשקעות בבניה חדשה כולל שדרוגים של מוסדות חינוך ברחבי העיר. </t>
  </si>
  <si>
    <t>עבודות פיתוח תשתיות, פארק, מוסדות חינוך ומבני ציבור במתחם גליל ים.</t>
  </si>
  <si>
    <t>הצעת התקציב הבלתי רגיל מסתכמת בהשקעה של</t>
  </si>
  <si>
    <t>3.</t>
  </si>
  <si>
    <t>שם פרק</t>
  </si>
  <si>
    <t>החברה לפיתוח הרצליה</t>
  </si>
  <si>
    <t>אגף בטחון,פיקוח וסדר ציבורי</t>
  </si>
  <si>
    <t>אומדן מקורות המימון  באלפי ₪  מפורט להלן -</t>
  </si>
  <si>
    <t>מקור</t>
  </si>
  <si>
    <t>קרן לעבודות פיתוח</t>
  </si>
  <si>
    <t>סה"כ משרדי ממשלה ואחרים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</si>
  <si>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</si>
  <si>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</si>
  <si>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</si>
  <si>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</si>
  <si>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רשות מינהל מקרקעי ישראל</t>
  </si>
  <si>
    <t>מפעל הפייס</t>
  </si>
  <si>
    <t>הכנסות בעד עבודות</t>
  </si>
  <si>
    <t>(*)</t>
  </si>
  <si>
    <t xml:space="preserve"> תקצוב הפרויקטים נשוא מימון משרדי ממשלה ואחרים כמפורט לעיל מותנה בקבלת מסמך </t>
  </si>
  <si>
    <t>התחייבות כספית חתום על ידי מורשי חתימה של הגורם המממן.</t>
  </si>
  <si>
    <t>4.</t>
  </si>
  <si>
    <t>תב"רים לסגירה בשנת 2016</t>
  </si>
  <si>
    <t>כללי :</t>
  </si>
  <si>
    <t xml:space="preserve">הנחיות משרד הפנים קובעות :  </t>
  </si>
  <si>
    <t xml:space="preserve">תב"ר שהגיע לסיומו או לא הוחל בביצועו או לא הוצאו בגינו התחייבויות כספיות , עליו להיגרע מקובץ </t>
  </si>
  <si>
    <t xml:space="preserve">התב"רים במערכת הכספית של הרשות המקומית. </t>
  </si>
  <si>
    <t>עודף סופי בחשבון התב"ר יועבר לקרנות הרשות . יש לאשר את סגירת התב"רים במועצת העיר.</t>
  </si>
  <si>
    <t xml:space="preserve">במהלך שנת 2016 אושרה במועצת העיר  סגירת  פרויקטים שהסתיימו/לא נוצלו לשנת 2016 והחזרת </t>
  </si>
  <si>
    <t xml:space="preserve">עודפים לקרנות הרשות בסכום של </t>
  </si>
  <si>
    <t>פרויקטים בביצוע החברה לפיתוח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</si>
  <si>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</si>
  <si>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</si>
  <si>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מקורות מימון אחרים - פרוט</t>
  </si>
  <si>
    <t>אגף/מחלקה</t>
  </si>
  <si>
    <t>המשרד להגנת הסביבה</t>
  </si>
  <si>
    <t xml:space="preserve">הכנסות בעד עבודות </t>
  </si>
  <si>
    <t xml:space="preserve">החברה לפיתוח הרצליה </t>
  </si>
  <si>
    <t xml:space="preserve">החברה לפיתוח תיירות </t>
  </si>
  <si>
    <t>רשות  מקרקעי ישראל</t>
  </si>
  <si>
    <t xml:space="preserve">אגף החינוך </t>
  </si>
  <si>
    <t>תוכן</t>
  </si>
  <si>
    <t>עמודים</t>
  </si>
  <si>
    <t>ריכוזים ודברי הסבר</t>
  </si>
  <si>
    <t xml:space="preserve">אגף בטחון פיקוח וסדר ציבורי     </t>
  </si>
  <si>
    <t>מימוש תקציב</t>
  </si>
  <si>
    <t>מרץ</t>
  </si>
  <si>
    <t>אפריל</t>
  </si>
  <si>
    <t>נכסים ציבוריים</t>
  </si>
  <si>
    <t>נכסים</t>
  </si>
  <si>
    <t>תכנון בנין עיר</t>
  </si>
  <si>
    <t>מינהל כללי</t>
  </si>
  <si>
    <t>שרותים עירוניים שונים</t>
  </si>
  <si>
    <t>מבני דת ציבוריים</t>
  </si>
  <si>
    <t>עלויות</t>
  </si>
  <si>
    <t>תקציב</t>
  </si>
  <si>
    <t>ועדת כספים</t>
  </si>
  <si>
    <t>מועצה</t>
  </si>
  <si>
    <t>אומדן כולל לפרויקט
מעודכן</t>
  </si>
  <si>
    <t>אומדן מאושר בתוכנית הפיתוח</t>
  </si>
  <si>
    <t>תוספת אומדן לאישור המועצה מעבר לתוכנית הפיתוח</t>
  </si>
  <si>
    <t>פרויקט השכרת אופניים</t>
  </si>
  <si>
    <t>סה"כ החברה לתיירות</t>
  </si>
  <si>
    <t>שיפוץ אולם ספורט היובל</t>
  </si>
  <si>
    <t>קרן ייעודית</t>
  </si>
  <si>
    <t>קרן יעודית  מתחם גליל ים</t>
  </si>
  <si>
    <t>סמטת ניסנוב</t>
  </si>
  <si>
    <t>תכנון חניון מרינה לי</t>
  </si>
  <si>
    <t>ביכנ"ס מקדש מלך</t>
  </si>
  <si>
    <t>ריכוז</t>
  </si>
  <si>
    <t xml:space="preserve">החברה לפיתוח התיירות הרצליה     </t>
  </si>
  <si>
    <t xml:space="preserve">אגף תקשוב ומערכות מידע     </t>
  </si>
  <si>
    <t>מספר הפרויקטים המטופל ע"י אגף הנדסה :</t>
  </si>
  <si>
    <t>מקורות מימון לפרויקטים :</t>
  </si>
  <si>
    <t>מקורות מימון</t>
  </si>
  <si>
    <t>סכום</t>
  </si>
  <si>
    <t>מספר הפרויקטים המטופל ע"י החברה לפיתוח בע"מ :</t>
  </si>
  <si>
    <t>אחוז</t>
  </si>
  <si>
    <t>פרויקט</t>
  </si>
  <si>
    <t xml:space="preserve">מתחם גליל ים </t>
  </si>
  <si>
    <t xml:space="preserve">פרויקטים שונים </t>
  </si>
  <si>
    <t xml:space="preserve">מתוכם העיקריים : </t>
  </si>
  <si>
    <t>קרן ייעודית גליל ים</t>
  </si>
  <si>
    <t>מספר הפרויקטים המטופל ע"י האגף  :</t>
  </si>
  <si>
    <t>אגף ביטחון , פיקוח וסדר ציבורי</t>
  </si>
  <si>
    <t>מספר הפרויקטים המטופל ע"י האגף :</t>
  </si>
  <si>
    <t>אגף חינוך</t>
  </si>
  <si>
    <t>האגף אחראי בין היתר על רשות החופים והיחידה לאיכות הסביבה.</t>
  </si>
  <si>
    <t>החברה לפיתוח התיירות בהרצליה</t>
  </si>
  <si>
    <t>מתוקצב כולו מקרן עבודות פיתוח.</t>
  </si>
  <si>
    <t>וסכומי התקציב, הנדרש, אם בכלל, אינם ידועים מראש ותלויים לעיתים בהליכים משפטיים.</t>
  </si>
  <si>
    <t>אגף תקשוב  ומערכות מידע</t>
  </si>
  <si>
    <t>תיכון ראשונים</t>
  </si>
  <si>
    <t>ריכוז לפי פרקים</t>
  </si>
  <si>
    <t>העברה מעודפי תקציב רגיל שנים קודמות</t>
  </si>
  <si>
    <t xml:space="preserve">התקנת מערך שליטה ובקרה מצלמות מוסדות חינוך ומבני ציבור, פריסת תשתיות </t>
  </si>
  <si>
    <t>פרויקטים דחופים בלתי צפויים מראש/מימוני ביניים.</t>
  </si>
  <si>
    <t>פרק</t>
  </si>
  <si>
    <t>פרויקטים לביצוע ע"י החברה לפיתוח הרצליה</t>
  </si>
  <si>
    <t>מספר הפרויקטים :</t>
  </si>
  <si>
    <t>מדידת נכסים בעת ביצוע עב' פיתוח לצורך חיוב הנכסים עפ"י שטחם בפועל.</t>
  </si>
  <si>
    <t>בדיקת תשלומי היטלי פיתוח בגין נכסים בעת ביצוע עב' פיתוח.</t>
  </si>
  <si>
    <t>עלויות כלליות בקשר עם רכישת מקרקעין.</t>
  </si>
  <si>
    <t>פיצויי הפקעה נכס גוש 6524/21,22 פטריאלי.</t>
  </si>
  <si>
    <t>פיצויי הפקעה נכס גוש 6524/58,68 הרשקוביץ שושנה.</t>
  </si>
  <si>
    <t>פיצויי הפקעה נכס הר' 1982,1929 גוש 6524/52. הרחבת ז'בוטינסקי ושטח הפארק.</t>
  </si>
  <si>
    <t>קרן ייעודית מתחם גליל ים</t>
  </si>
  <si>
    <t>תאור הפרויקט</t>
  </si>
  <si>
    <t>עדכון מע. מידע הנדסי כתוצאה משינוי ייעודי קרקע עקב החלטות ועדות התכנון.</t>
  </si>
  <si>
    <t>סל עבודות ניקוז ברחבי העיר .</t>
  </si>
  <si>
    <t>פיתוח הרחובות משער הים צפונה - תשתיות תאורה וגינון, הנשיא והתאנה.</t>
  </si>
  <si>
    <t>הכנת תוכנית מתאר כוללנית על מנת לאפשר לעיריה לתכנן תוכניות בסמכות וועדה מקומית.</t>
  </si>
  <si>
    <t>העסקת צוות יועצים שילווה את התכנון והביצוע של הפרויקט.</t>
  </si>
  <si>
    <t>העצמת הזכויות הנוספות לבנינים לצורך הגברת הכדאיות של ביצוע חיזוק מבנים.</t>
  </si>
  <si>
    <t>תב"ע הר' 2394 (לשעבר הר  2159 )</t>
  </si>
  <si>
    <t>חיבור פארק שלב ב' עם שכונת המסילה בגשר הולכי רגל מעל כביש 20.</t>
  </si>
  <si>
    <t>הליך התנעה לתכנון מתחם לפינוי בינוי מול התחנה.</t>
  </si>
  <si>
    <r>
      <rPr>
        <sz val="11"/>
        <rFont val="David"/>
        <family val="2"/>
      </rPr>
      <t xml:space="preserve">תכנון </t>
    </r>
    <r>
      <rPr>
        <sz val="11"/>
        <rFont val="David"/>
        <family val="2"/>
        <charset val="177"/>
      </rPr>
      <t>שינוי גבולות העיר</t>
    </r>
  </si>
  <si>
    <t>עלויות לצורך מתן מענה לדיון במשרד הפנים עקב אישורה של תוכנית תמ"ל מס' 1068.</t>
  </si>
  <si>
    <t>שדרות ה - 93 הבאר</t>
  </si>
  <si>
    <t>יהודה הנשיא רבי עקיבא רזיאל</t>
  </si>
  <si>
    <t>תכנון אסטרטגי ציר מעפילים</t>
  </si>
  <si>
    <t>פיתוח מתחם מבנה משכן אומנים</t>
  </si>
  <si>
    <t>תכנון וביצוע רחוב משה דיין כולל חיבור לכביש 20, הילס, אופני דן.</t>
  </si>
  <si>
    <t>נילי - עבודות פיתוח והסדרת תנועה</t>
  </si>
  <si>
    <t>החלפת קו ניקוז בדוד המלך</t>
  </si>
  <si>
    <t>פיתוח וביצוע שידרוג ויזואלי מתחם בני בניימין הנדיב</t>
  </si>
  <si>
    <t>רחוב הפרטיזנים</t>
  </si>
  <si>
    <t>שיכון דרום הר' 2312</t>
  </si>
  <si>
    <t>הר מירון בר כוכבא הר' 2266</t>
  </si>
  <si>
    <t>ביצוע הריסות עפ"י צווים</t>
  </si>
  <si>
    <t>תוכנית מתאר איזור התעסוקה הר/2440</t>
  </si>
  <si>
    <t>תוכנית לשיקום מעברת רשף והקמת שכונת מגורים חדשה בשילוב שטחי ציבור , שטחים פתוחים ותיירות.</t>
  </si>
  <si>
    <t>שינוי תוכנית גליל ים א' ב'</t>
  </si>
  <si>
    <t>שצ"פ דליה רביקוביץ בשכונת אלתרמן (הר/1920)</t>
  </si>
  <si>
    <t>שביל מתחם העצמאות הרב גורן הבנים</t>
  </si>
  <si>
    <t>עבודות פיתוח מערך שבילים בין הרחובות העצמאות הרב גורן ורחוב הבנים.</t>
  </si>
  <si>
    <t>סל עבודות קטנות עפ"י דרישה.</t>
  </si>
  <si>
    <t>סל עבודות תכנון עפ"י דרישה.</t>
  </si>
  <si>
    <t>מרכז פיס לתרבות מוסיקה קהילה</t>
  </si>
  <si>
    <t>שצ"פ רבי עקיבא דרומה (השביל הירוק)</t>
  </si>
  <si>
    <t>תכנון להקמת רכבת עילית מתחנת הרכבת לאיזור התעשיה.</t>
  </si>
  <si>
    <t>מתחם קמפוס הרצליה (יד גיורא)</t>
  </si>
  <si>
    <t>פיתוח חורשת הפרחים</t>
  </si>
  <si>
    <t>תכנון מתנ"ס רחוב המסילה</t>
  </si>
  <si>
    <t>החלפת עמודי תאורה באיזור תעשיה</t>
  </si>
  <si>
    <t>החלפת עמודי מחסום איזור תעשיה</t>
  </si>
  <si>
    <t>גנ"י נווה עמל ציפורן מוריה</t>
  </si>
  <si>
    <t>גנ"י מרכז ויצמן תמר תאנה</t>
  </si>
  <si>
    <t>גן ילדים מתחם זרובבל</t>
  </si>
  <si>
    <t>עבודות פיתוח בכנ"ס אברהם אבינו</t>
  </si>
  <si>
    <t>שיפוץ בית הורים</t>
  </si>
  <si>
    <t>הכשרת החוף הנפרד</t>
  </si>
  <si>
    <t>בית ספר בן גוריון</t>
  </si>
  <si>
    <t>סינמטק בבנין עיריה חדש</t>
  </si>
  <si>
    <t>מועדון טלוויזיה קהילתית בשכונת צמרות</t>
  </si>
  <si>
    <t xml:space="preserve">כיתות מעון 5 יום 5 כיתות גן-. 404 גליל ים ב' </t>
  </si>
  <si>
    <t>גן 3 כיתות 402 גליל ים ב'(כולל חניון)</t>
  </si>
  <si>
    <t>בית ספר יסודי 18 כיתות מגרש 304 גלילי ים א'</t>
  </si>
  <si>
    <t>סה"כ פרויקטים מתחם גליל ים</t>
  </si>
  <si>
    <t>סל לייעוץ ותכנון הנדסי.</t>
  </si>
  <si>
    <t>החלפת גגות אסבסט במוסדות ציבור עפ"י רשימה  ובעקבות החוק הקשור במבני אסבסט.</t>
  </si>
  <si>
    <t>סל לשיפוץ בתי כנסת ע"פ תוכנית שתוגש במהלך השנה.</t>
  </si>
  <si>
    <t>סל להחלפה ושדרוג מזגנים במוסדות עירייה.</t>
  </si>
  <si>
    <t>סל לשיפוץ ובינוי נכסים עירוניים.</t>
  </si>
  <si>
    <t>סל לשדרוג ריהוט בגני ילדים.</t>
  </si>
  <si>
    <t>שדרוג כבישים מדרכות תשתיות</t>
  </si>
  <si>
    <t>שיפוצי מוסדות חינוך שונים  (לב טוב ,גורדון)</t>
  </si>
  <si>
    <t>עבודות שיקום לשיפור איכות ומראה המים באגם.</t>
  </si>
  <si>
    <t>עבודות שיקום חזיתות המקווה.</t>
  </si>
  <si>
    <t xml:space="preserve"> התקנת גופי תאורה בטכנולוגיה מתקדמת במגרשי הספורט</t>
  </si>
  <si>
    <t>התקנת גופי תאורה בטכנולוגיה מתקדמת במגרשי ספורט.</t>
  </si>
  <si>
    <t>עבודות השלמת קירוי הפטיו במתנ"ס.</t>
  </si>
  <si>
    <t>שיפוץ יסודי מעון בן סרוק כולל הצטיידות</t>
  </si>
  <si>
    <t>שיפוץ מעבדת רובוטיקה בהנדסאים</t>
  </si>
  <si>
    <t>שיפוץ אולם אירועים, מרפסת,מדרגות  מועצה דתית</t>
  </si>
  <si>
    <t>תוספת כיתות /חדרי ספח ברנדיס</t>
  </si>
  <si>
    <t>שיפוץ מבנה אגף תבל ואגף הבטחון</t>
  </si>
  <si>
    <t>ספירת מלאי וסימון הרכוש העירוני</t>
  </si>
  <si>
    <t>הצטיידות לחמ"ל החדש</t>
  </si>
  <si>
    <t>הקמת חפ"ק עירוני חדש</t>
  </si>
  <si>
    <t>הצטיידות כיתות חדשות בעקבות גידול עפ"י צפי במס' תלמידים.</t>
  </si>
  <si>
    <t>הצטיידות בר אילן לאחר שיפוץ</t>
  </si>
  <si>
    <t>הצטיידות בי"ס בר אילן אחרי השיפוץ.</t>
  </si>
  <si>
    <t>הצטיידות בי"ס יצחק נבון אלתרמן</t>
  </si>
  <si>
    <t>הצטידות גנ"י חדשים  גליל ים מגרש301/2</t>
  </si>
  <si>
    <t>נגישות אקוסטית מ.החינוך 2017</t>
  </si>
  <si>
    <t>המשך הצטיידות אופק אחרי השיפוץ.</t>
  </si>
  <si>
    <t>סדנת רובוטיקה בהנדסאים</t>
  </si>
  <si>
    <t>מרחבי למידה</t>
  </si>
  <si>
    <t>עבודות שונות,שיפוצים, ציוד בספריות, מרכזים קהילתיים, מוזיאונים.לפי פרוט.</t>
  </si>
  <si>
    <t>הצטיידות מבנה תרבות מערב העיר</t>
  </si>
  <si>
    <t>מקרן דיגיטלי לסינמטק</t>
  </si>
  <si>
    <t xml:space="preserve">שיקום שדרוג,הקמה ונגישות גינות ציבוריות </t>
  </si>
  <si>
    <t>הסרת גגות אסבסט ממבנים בעיר וסיוע לתושבים לאיסוף אסבסט בהיקפים קטנים.</t>
  </si>
  <si>
    <t>רכישת מיכלי אצירה מפלסטיק ומתכת לפסולת ומיחזור.</t>
  </si>
  <si>
    <t>בי"ס אלון פיתוח חצר אחורית</t>
  </si>
  <si>
    <t>הקמת פינות מיחזור ברחבי העיר (פינות המרכזות מיכלי אצירה לסוגים שונים של פסולת כגון: בקבוקים, זכוכית, נייר, אריזות ועוד).</t>
  </si>
  <si>
    <t>ספורטק חידוש מתחם מתקני משחק</t>
  </si>
  <si>
    <t>סקר טבע עירוני</t>
  </si>
  <si>
    <t xml:space="preserve">ארלוזרוב - דרך ירושלים </t>
  </si>
  <si>
    <t xml:space="preserve">שדרוג גן דפנה אילת </t>
  </si>
  <si>
    <t>הסדרת החוף הנפרד</t>
  </si>
  <si>
    <t>תחנת הצלה חוף הכוכבים 2017</t>
  </si>
  <si>
    <t>מיול לפיקוח והצלה 2018</t>
  </si>
  <si>
    <t>אופנוע ים כולל זיווד 2018</t>
  </si>
  <si>
    <t>ציוד הצלה ובטיחות 2018</t>
  </si>
  <si>
    <t>תשתיות תקשורת אלחוטית וסיבים אופטיים לעיר חכמה במוס"ח וברחבי העיר בהתאם לתוכנית רב שנתית.</t>
  </si>
  <si>
    <t xml:space="preserve">תשתיות פס רחב מוס"ח </t>
  </si>
  <si>
    <t xml:space="preserve">הקמת מרכז שליטה ובקרה  עירוני </t>
  </si>
  <si>
    <t xml:space="preserve">הקמת אתר עירוני ופורטל </t>
  </si>
  <si>
    <t>פיצויי הפקעה הר' 1940 6664/105</t>
  </si>
  <si>
    <t>פיצויי הפקעה הר'1929 6424/52</t>
  </si>
  <si>
    <t>סה"כ אגף חינוך</t>
  </si>
  <si>
    <t>שיפוץ פנים הדירות של דיירי עמידר הנמצאים במצב סוציו אוקונומי קשה. העבודה מבוצעת ע"י חברת עמידר השתתפות העיריה 50%.</t>
  </si>
  <si>
    <t>פיצויי הפקעה בגוש 6525/6 הר/ 1704. טרם שולמו הפיצויים ליתרת בעלי המקרקעין.</t>
  </si>
  <si>
    <t>פיצויי הפקעה בגוש 6525 חלקות 130,131 הר/ 1704. טרם שולמו הפיצויים ליתרת בעלי המקרקעין. טרם הסתיים ההליך המשפטי.</t>
  </si>
  <si>
    <t>עלויות בקשר עם תביעה של פינוי נכס גוש 6521 חלק' 21-23, 67-68. משפחת רחמים. טרם הסתיים ההליך המשפטי.</t>
  </si>
  <si>
    <t>פרויקט בניה עצמית בו לעיריה 3 יח"ד בבית מגורים משותף.</t>
  </si>
  <si>
    <t>אגף  נכסים וביטוח</t>
  </si>
  <si>
    <t>אגף ת.נ.ו.ס</t>
  </si>
  <si>
    <t>סל להקמת ושדרוג תשתיות כולל עמודי תאורה והתקנת גופי תאורה בטכנולוגיה מתקדמת עפ"י תוכנית רב שנתית.</t>
  </si>
  <si>
    <t xml:space="preserve">שדרוג המרחב הציבורי באיזור התעשיה </t>
  </si>
  <si>
    <t>עבודות הרחבת והכשרת חלקות נוספות בבית העלמין החדש.</t>
  </si>
  <si>
    <t>המשך עבודות פיתוח במתחם הרחובות הנוריות, אנצו סירני , דב גרונר , שלמה בן יוסף , חביבה רייך.</t>
  </si>
  <si>
    <t>המשך עבודות פיתוח במתחם אלוני ים הר' 2030.</t>
  </si>
  <si>
    <t xml:space="preserve">מימון רמ"י. </t>
  </si>
  <si>
    <t>בניית גן ילדים במתחם זרובבל.</t>
  </si>
  <si>
    <t>בניית גנ"י - גן רשל ובב"ס אילנות.</t>
  </si>
  <si>
    <t>עבודות פיתוח ביכנ"ס "אברהם אבינו" בשכונת יד התשעה.</t>
  </si>
  <si>
    <t>סה"כ רשות החופים</t>
  </si>
  <si>
    <t>מספר פרויקטים</t>
  </si>
  <si>
    <t>סה"כ אגף נכסים וביטוח</t>
  </si>
  <si>
    <t>הכנת תוכנית אב לקיימות בעיריית הרצליה</t>
  </si>
  <si>
    <t>תוכנית הצטיידות  מיחשוב מוס"ח</t>
  </si>
  <si>
    <t>אגף תקשוב ומע. מידע</t>
  </si>
  <si>
    <t>סה"כ מינהל כללי</t>
  </si>
  <si>
    <t>אגף נכסים וביטוח</t>
  </si>
  <si>
    <t>אגף תקשוב ומערכות מידע</t>
  </si>
  <si>
    <t>פרויקט המושתת על מערכת GIS: שדרוג, הרחבת שרתים,תוספות לאפליקציות חדשות.</t>
  </si>
  <si>
    <t>הקרן לשמירה על שטחים פתוחים</t>
  </si>
  <si>
    <t>סל הוצאות בקשר עם תביעות סעיף 197.</t>
  </si>
  <si>
    <t>הכנת תב"ע בשיתוף מועצת כפר שמריהו לתכנון קישוריות שביל אופניים ופארק בתחום המסילה המתפנה ואפשרות לבחינת חיבור תחבורתי נוסף להרצליה ב'.</t>
  </si>
  <si>
    <t>תב"ע תוכנית שיקום המסילה המתפנה הר '2435</t>
  </si>
  <si>
    <t>סל לביצוע עבודות פרויקטים קטנים הנדרשים ע"י האגף מעת לעת.</t>
  </si>
  <si>
    <t>משרד נייד (רכב)  הכולל :
מרכז תקשורת רב ערוצית ,תורן תקשורת טלסקופי,עמדת מחשב,קיר תדרוך,עזרים שונים , בלון תאורה להארה של זירת ארוע ,מיזוג אויר,תאורה,מרכז אנרגיה.</t>
  </si>
  <si>
    <t>פרויקטים דחופים בצ"מ 2019/2020</t>
  </si>
  <si>
    <t>עב' פיתוח דחופות בלתי צפויות, מימוני ביניים, שיתעוררו במהלך השנה ויבוצעו עפ"י החלטות הנהלת העיר. שנים 2019/2020.</t>
  </si>
  <si>
    <t>הפרשה לתביעות תלויות בעקבות הנחיית אגף הביקורת של משה"פ במסגרת הדוחות הכספיים.</t>
  </si>
  <si>
    <t>במסגרת סיכום עקרונות בין משרד האוצר לשלטון המקומי  מ - 12.5.2013.</t>
  </si>
  <si>
    <t>טרם הסתיים הליך רישום החנויות ע"ש העיריה בפנקסי הרישום.</t>
  </si>
  <si>
    <t>טרם הסתיים הליך רישום הנכס ע"ש העיריה בפנקסי הרישום.</t>
  </si>
  <si>
    <t>פיצויי הפקעה בפארק.</t>
  </si>
  <si>
    <t>פיצויי הפקעה בפארק תוכנית הר' 1941.</t>
  </si>
  <si>
    <t>פיצויי הפקעה בעקבות פס"ד. טרם הושלם הדיון מול רשויות המס.</t>
  </si>
  <si>
    <t>תשלום פיצויי הפקעה בקשר עם תוכנית  הר' 1940 6664/105.</t>
  </si>
  <si>
    <t>הכנת תוכנית לצרכי רישום מתחם מלון דניאל.</t>
  </si>
  <si>
    <t>סה"כ אגף תקשוב ומערכות מידע</t>
  </si>
  <si>
    <t>שדרוג תשתיות אינטרנט במוס"ח.</t>
  </si>
  <si>
    <t>מימון משרד הפנים.</t>
  </si>
  <si>
    <t>החלפה והוספת ציוד הצלה ובטיחות. מימון משרד הפנים.</t>
  </si>
  <si>
    <t xml:space="preserve"> אגף ת.ב.ל</t>
  </si>
  <si>
    <t>סה"כ מינהל הנדסה</t>
  </si>
  <si>
    <t xml:space="preserve">מינהל  הנדסה </t>
  </si>
  <si>
    <t>מינהל הנדסה</t>
  </si>
  <si>
    <t>סל עבודות פיתוח קטנות מזדמנות הנדרשות במהלך השנה.</t>
  </si>
  <si>
    <t>סל תכנון של תוכניות ופרויקטים, מדידות ותכנון ראשוני.</t>
  </si>
  <si>
    <t>הכנת תב"עות לשימור אתרים.</t>
  </si>
  <si>
    <t>סל תכנון של תב"עות הנדרשות במהלך השנה.</t>
  </si>
  <si>
    <t>הערכות להתנגדות לתוכנית שמקדם מינהל התכנון והועדה המחוזית לכל צפון הרצליה ללא שיתוף העירייה.</t>
  </si>
  <si>
    <t>עלויות אכיפה צווי בית משפט במרינה.</t>
  </si>
  <si>
    <t>תכנון שינוי תב"ע משצ"פ למגורים בעקבות היתרים קיימים משנות ה - 90 שאינם תואמים למצב הסטטוטורי הקיים.</t>
  </si>
  <si>
    <t>תכנון מתחם מעונות שרה לפינוי ובינוי.מימון משרד הבינוי.</t>
  </si>
  <si>
    <t>הכנת תב"ע לבניית חניון מתחת לשצ"פ במתחם "מרינה לי".</t>
  </si>
  <si>
    <t>סה"כ אגף ש.א.י.פ.ה</t>
  </si>
  <si>
    <t>סה"כ אגף ת.נ.ו.ס</t>
  </si>
  <si>
    <t>סה"כ אגף בטחון פיקוח וסדר ציבורי</t>
  </si>
  <si>
    <t>סה"כ אגף ת.ב.ל</t>
  </si>
  <si>
    <t>הכנת פרוגרמות עירוניות : שטחים מבונים,איזור תעשיה, מרחב ציבורי,תוכניות תמ"א 38, סוקולוב.</t>
  </si>
  <si>
    <t>התקציב מיועד לפיתוח חופי רחצה היערכות לקראת עונת הרחצה.</t>
  </si>
  <si>
    <t>התאמות נגישות מוס"ח</t>
  </si>
  <si>
    <t>בניית בי"ס ירוק ברח' משה</t>
  </si>
  <si>
    <t>הארכת דרך ירושלים והתחברות אליה</t>
  </si>
  <si>
    <t>צומת הבריגדה היהודית -מנחם בגין- בטיחות</t>
  </si>
  <si>
    <t>פיתוח מתחם הרחובות יהודה המכבי, זוהר טל, האצל, הגבורה. תכנון ותחילת ביצוע.</t>
  </si>
  <si>
    <t xml:space="preserve">ליווי יועצי תנועה, איכות הסביבה, במסגרת סלילת כביש 531 וכביש 20. </t>
  </si>
  <si>
    <t>תכנון פיתוח מתחם התחנה.</t>
  </si>
  <si>
    <t>תכנון צומת הבריגדה היהודית -מנחם בגין עקב ריבוי תאונות דרכים עפ"י נתוני הרלב"ד. מימון מ. התחבורה.</t>
  </si>
  <si>
    <t>תקשורת ברחבי העיר ומוסדות חינוך, תוכנית הצטיידות מיחשוב מוסדות חינוך.</t>
  </si>
  <si>
    <t>פרויקט בביצוע .</t>
  </si>
  <si>
    <t>תב"ע משולש המנהרה הר' 2350</t>
  </si>
  <si>
    <t>תכנון תב"ע לשכונה חדשה בהרצליה הצעירה. שטח בגודל של כ - 50 דונם , כ - 300 יח"ד.</t>
  </si>
  <si>
    <t>תכנון איזור תעשיה ושכונת מגורים במשולש התחבורה. מקודם בותמ"ל .</t>
  </si>
  <si>
    <t>העסקת צוות יועצים לתכנון התב"ע  לדיור בר השגה רח' בן ציון.</t>
  </si>
  <si>
    <t>תוכנית מתארית ומפורטת חלקית לאורך רחוב המנהרה ועד פארק הואדי. התוכנית כוללת מתחם לשימור. יש עתירה לבימ"ש של בעלי קרקע פרטיים.</t>
  </si>
  <si>
    <t>לאור החלטת בימ"ש שהעיריה תבצע שינויים גיאומטרים וקיר.</t>
  </si>
  <si>
    <r>
      <t>הפיכת תוכנית אסטרטגית  לתוכנית סטטוטורית, לתוכנית מתאר בועדה המחוזית בהתאם ליו"ר הועדה המחוזית.</t>
    </r>
    <r>
      <rPr>
        <sz val="11"/>
        <color rgb="FFFF0000"/>
        <rFont val="David"/>
        <family val="2"/>
      </rPr>
      <t xml:space="preserve"> </t>
    </r>
  </si>
  <si>
    <t>תכנון צומת השרון בר אילן  עקב ריבוי תאונות דרכים עפ"י נתוני הרלב"ד. מימון מ. התחבורה.</t>
  </si>
  <si>
    <t>פיתוח שצ"פ בגבעת הפרחים כולל הנגשה.</t>
  </si>
  <si>
    <t>תכנון מתנ"ס ברחוב המסילה.</t>
  </si>
  <si>
    <t xml:space="preserve">שיפוץ אולם ספורט היובל כולל פיתוח המבואה והמתחם. </t>
  </si>
  <si>
    <t>עבודות פיתוח. מימון רמ"י במסגרת הסכם "הגג".</t>
  </si>
  <si>
    <t>מתחם המשתלה  תב"ע 1874</t>
  </si>
  <si>
    <t>הקמת בריכה ומרכז לאומנויות לחימה</t>
  </si>
  <si>
    <t>פיתוח מתחם מתנ"ס נווה עמל ומגרשי טניס</t>
  </si>
  <si>
    <t>הסדרת צומת ברנר בר כוכבא בן גוריון</t>
  </si>
  <si>
    <t>קירוי והצללה מגרשי ספורט עירוניים</t>
  </si>
  <si>
    <t>השקעה בתשתיות והרחבת  חניונים</t>
  </si>
  <si>
    <t>הקמת אולם ספורט הנגיד הנדיב</t>
  </si>
  <si>
    <t>מימון רמ"י במסגרת הסכם "הגג".</t>
  </si>
  <si>
    <t>החלפת צילרים אולמות ספורט נ. ישראל,סמדר ,נוף ים</t>
  </si>
  <si>
    <t>סל לשדרוג כבישים במקביל לעבודת תאגיד המים ומדרכות ברחבי העיר עפ"י תוכנית עבודה שתאושר ע"י הנהלת העיר.</t>
  </si>
  <si>
    <t xml:space="preserve">עבודות במסגרת מערכות כיבוי אש והמשך שדרוג מערכת מיזוג במוזיאון. </t>
  </si>
  <si>
    <t>בנית פיר מעלית חיצוני בעקבות ביקורת של יועץ נגישות וקושי הנדסי לבנות את הפיר בתוך המבנה.</t>
  </si>
  <si>
    <t>התאמת מבנה ושיפוץ יסודי של 2 גנ"י.</t>
  </si>
  <si>
    <t>עבודות מיזוג, חשמל, נגרות תקשורת  והצטיידות לחמ"ל האחורי.</t>
  </si>
  <si>
    <t>פרויקט שיגור לווין 3  בשיתוף פעולה עם המועצה האזורית שער הנגב  הנמצא בשלבים הסופיים לפני שיגור.</t>
  </si>
  <si>
    <t xml:space="preserve">הצטיידות מעבדה בהנדסאים הנמצא בבניה. </t>
  </si>
  <si>
    <t>פרויקט לווינים - ישראל 70</t>
  </si>
  <si>
    <t>פרויקט שיגור 70 לווינים בשיתוף עם 70 ערים ומועצות עירוניות. מימון מ. המדע.</t>
  </si>
  <si>
    <t>הקמה שיפוץ רצפות פרקט אולמות ספורט</t>
  </si>
  <si>
    <t>עבודות התאמה לתקן חדש מגרשי ספורט</t>
  </si>
  <si>
    <t>עבודות שיפוץ במתקנים במגרשי הספורט בהתאם לדוחות מכון התקנים.</t>
  </si>
  <si>
    <t>תוכנית  אב להפחתת זיהום אויר</t>
  </si>
  <si>
    <t>פיתוח נופי דרך ירושלים כביש 531</t>
  </si>
  <si>
    <t>הרצליה ב' שצ" פ המסילה, מ.מסחרי</t>
  </si>
  <si>
    <t>הסדרת השטח לאורך רח' ארלוזרוב קטע: בית"ר-דרך ירושלים. ייצוב פני הקרקע למניעת סחף והסדרת שיפועים וניקוזים, הסדרת המדרכה וגינון והשקייה.</t>
  </si>
  <si>
    <t>רכישה והתקנת שילוט מסוגים שונים ברחבי העיר: שלטי רחוב, מספור על הבתים, שלטי הכוונה למוסדות מקומיים ואזוריים, שלטי כניסה לשכונות וכו'.</t>
  </si>
  <si>
    <t>הסדרת הגן המרכזי בשכונת גן רש"ל כולל: מתקני משחק, משטח גומי, עבודות גינון, השקייה, פיתוח והנגשה.</t>
  </si>
  <si>
    <t>הכנת תב"ע .</t>
  </si>
  <si>
    <t>שיקום ופיתוח המצודה בתל מיכל.</t>
  </si>
  <si>
    <t>עבודות פיתוח בחוף הדרומי.</t>
  </si>
  <si>
    <t>מימון רמ"י.</t>
  </si>
  <si>
    <t>תכנון להסדרת ייעודיי קרקע בטיילת החוף.</t>
  </si>
  <si>
    <t>פריסת תשתיות תקשורת ברחבי העיר ומוס"ח</t>
  </si>
  <si>
    <t>התקנת מערכות  שו"ב מצלמות מוס"ח מבני ציבור</t>
  </si>
  <si>
    <t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t>
  </si>
  <si>
    <t>הכנת תצ"ר רישום זכויות תבע 574א</t>
  </si>
  <si>
    <t>מינהל כללי (61)</t>
  </si>
  <si>
    <t>תכנון ובנין עיר (73)</t>
  </si>
  <si>
    <t>נכסים ציבוריים (74)</t>
  </si>
  <si>
    <t>חופים (747)</t>
  </si>
  <si>
    <t>שרותים עירוניים שונים (76)</t>
  </si>
  <si>
    <t>חינוך (81)</t>
  </si>
  <si>
    <t>ספורט (82)</t>
  </si>
  <si>
    <t>מבני דת ציבוריים (85)</t>
  </si>
  <si>
    <t>איכות הסביבה (87)</t>
  </si>
  <si>
    <t>מס' פרק</t>
  </si>
  <si>
    <t>רווחה (84)</t>
  </si>
  <si>
    <t>נכסים (93)</t>
  </si>
  <si>
    <t>תשלומים בלתי רגילים (99)</t>
  </si>
  <si>
    <t>טיפול במרחב ציבורי (848)</t>
  </si>
  <si>
    <t>טיפול במרחב ציבורי</t>
  </si>
  <si>
    <t xml:space="preserve">תרבות הדיור </t>
  </si>
  <si>
    <t xml:space="preserve">ראה פרוט נוסף בעמוד 15 </t>
  </si>
  <si>
    <t xml:space="preserve">אגף נכסים וביטוח </t>
  </si>
  <si>
    <t xml:space="preserve">אגף תקשוב ומערכות מידע </t>
  </si>
  <si>
    <t>תרבות הדיור (764)</t>
  </si>
  <si>
    <t>הכשרת סינמטק בבניין העיריה החדש.</t>
  </si>
  <si>
    <t>הקמת מועדון טלויזיה קהילתית במרכז יום לקשיש בצמרות.</t>
  </si>
  <si>
    <r>
      <t>סל עבודות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לשדרוג במרחב הציבורי כולל ריהוט רחוב באיזור התעשיה.</t>
    </r>
  </si>
  <si>
    <t>השקעה בתשתיות ובמערכות מיכון בחניונים ברחבי העיר.</t>
  </si>
  <si>
    <t>שיפוצים שונים מוס"ח</t>
  </si>
  <si>
    <t>סל להקמת מערכות בטחוניות.</t>
  </si>
  <si>
    <t xml:space="preserve">אגף נכסים וביטוח         </t>
  </si>
  <si>
    <t xml:space="preserve">שיקום ושדרוג גינות ציבוריות כולל  הנגשה, שדרוג מע. השקייה, מתקני משחק. </t>
  </si>
  <si>
    <t xml:space="preserve">פרויקט שיפוצי חזיתות בתים במסגרת אגודת תרבות הדיור. </t>
  </si>
  <si>
    <t>מרבית הפרויקטים של האגף הינם פיצויי הפקעה. פרויקטים אלו נמשכים זמן רב</t>
  </si>
  <si>
    <t>פיתוח מתחם רזיאל מע' תב"ע 1706</t>
  </si>
  <si>
    <t>אוצר הצמחים ,הראשונים ואבן אודם</t>
  </si>
  <si>
    <t>צומת הרב גורן מוהליבר - בטיחות</t>
  </si>
  <si>
    <t>צומת השרון בר אילן -בטיחות</t>
  </si>
  <si>
    <t>תכנון כולל לסוגיית חיזוק הקשר בין מזרח העיר למערבה באמצעות תוספות של גשרים להולכי רגל ורכב דו גלגלי.</t>
  </si>
  <si>
    <t>הגדלת קו הניקוז ברח' דוד המלך בקטע קרן היסוד - מדינת היהודים בתאום עם עבודות מים וביוב של תאגיד המים.</t>
  </si>
  <si>
    <t>סקר חריגות בניה ברחבי העיר</t>
  </si>
  <si>
    <t>בדיקת התכנות והכנת תב"עות של מתחמים מפוצלים בין מס' בעלים באיזהת"ש החשובים מבחינה ציבורית.</t>
  </si>
  <si>
    <t>תכנון פיתוח מתחם שיכון דרום.</t>
  </si>
  <si>
    <t>פיתוח רח' צ.ה.ל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</si>
  <si>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  באזור תעשייה מערבי </t>
    </r>
  </si>
  <si>
    <t>שדרוג כבישים מדרכות ,תשתיות</t>
  </si>
  <si>
    <t>(3) גנ"י מדעיים באלתרמן</t>
  </si>
  <si>
    <t>התקנה שדרוג מזגנים במוסדות העיריה</t>
  </si>
  <si>
    <t xml:space="preserve">מערכות הקרנה דיגיטליות, באמצעות מקרןdcp, במטרה לאפשר הקרנת סרטים בשיטה חדשנית שתגרום להרחבת היצע התכנים לקהל. </t>
  </si>
  <si>
    <t>סל עבודות איטום מקלטים  עפ"י תוכנית.</t>
  </si>
  <si>
    <t>עבודות נגישות לאנשים עם מוגבלויות, מדידות נכסים ובדיקות נכסים לצורך גביית היטלי פיתוח,</t>
  </si>
  <si>
    <t xml:space="preserve">חינוך </t>
  </si>
  <si>
    <t xml:space="preserve">תרבות וספורט </t>
  </si>
  <si>
    <t xml:space="preserve">רווחה </t>
  </si>
  <si>
    <t>שנת  2020</t>
  </si>
  <si>
    <t>שנת 2020</t>
  </si>
  <si>
    <t>העברה מתקציב רגיל 2019</t>
  </si>
  <si>
    <t>אומדן לביצוע שנת 2021 ואילך</t>
  </si>
  <si>
    <t>יתרת תקציב פנויה 31.12.2019</t>
  </si>
  <si>
    <t>תקציב נוסף נדרש במסגרת תוכנית עבודה 2019</t>
  </si>
  <si>
    <t>תקציב נוסף נדרש מעבר לתוכנית עבודה 2019</t>
  </si>
  <si>
    <t>סה"כ תקציב נוסף נדרש 2019</t>
  </si>
  <si>
    <t>תקציב נוסף נדרש במסגרת תוכנית עבודה2019</t>
  </si>
  <si>
    <t>תקציב נוסף נדרש מעבר לתוכנית עבודה2019</t>
  </si>
  <si>
    <r>
      <t xml:space="preserve">תכנון </t>
    </r>
    <r>
      <rPr>
        <sz val="11"/>
        <rFont val="David"/>
        <family val="2"/>
        <charset val="177"/>
      </rPr>
      <t xml:space="preserve">וביצוע  תוכנית אב לשבילי אופניים </t>
    </r>
  </si>
  <si>
    <r>
      <rPr>
        <sz val="11"/>
        <rFont val="David"/>
        <family val="2"/>
        <charset val="177"/>
      </rPr>
      <t>התחדשות עירונית יד  התשעה</t>
    </r>
    <r>
      <rPr>
        <b/>
        <sz val="11"/>
        <rFont val="David"/>
        <family val="2"/>
      </rPr>
      <t xml:space="preserve"> </t>
    </r>
  </si>
  <si>
    <t>הפרש</t>
  </si>
  <si>
    <t>בניית מרחבי למידה  ב - 30 בי"ס לפי אומדן ממוצע של 50 אלפי ₪ לבי"ס בשנים 2019 -2020.יתכן השתתפות מ. החינוך.</t>
  </si>
  <si>
    <r>
      <t xml:space="preserve">שיפוץ מבני </t>
    </r>
    <r>
      <rPr>
        <sz val="11"/>
        <rFont val="David"/>
        <family val="2"/>
      </rPr>
      <t xml:space="preserve"> תרבות ונוער </t>
    </r>
  </si>
  <si>
    <t xml:space="preserve">סירות מתקנים מועדון ימי </t>
  </si>
  <si>
    <r>
      <t xml:space="preserve">הקמת פינות מיחזור </t>
    </r>
    <r>
      <rPr>
        <sz val="11"/>
        <rFont val="David"/>
        <family val="2"/>
      </rPr>
      <t>וגזם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ברחבי העיר </t>
    </r>
  </si>
  <si>
    <t xml:space="preserve">סל עבודות פיתוח והיערכות לקראת פתיחת עונת הרחצה ובמהלכה. </t>
  </si>
  <si>
    <t>הבקשה/תאור</t>
  </si>
  <si>
    <t>הנדסה</t>
  </si>
  <si>
    <t>כיכר העוגן השונית</t>
  </si>
  <si>
    <t>סה"כ הנדסה</t>
  </si>
  <si>
    <t>הגנה על מצוקי הים</t>
  </si>
  <si>
    <t>תבל</t>
  </si>
  <si>
    <t>שיפוץ ושדרוג תיכון אחיה</t>
  </si>
  <si>
    <t>רכישת רכבים</t>
  </si>
  <si>
    <t>שיפוץ אולם ספורט נווה ישראל</t>
  </si>
  <si>
    <t>סה"כ תבל</t>
  </si>
  <si>
    <t>אגף פיקוח בטחון וסדר ציבורי</t>
  </si>
  <si>
    <t>סה"כ אגף פיקוח בטחון וסדר ציבורי</t>
  </si>
  <si>
    <t>חידוש ריהוט בי"ס</t>
  </si>
  <si>
    <t>אגף תנוס</t>
  </si>
  <si>
    <t>סה"כ אגף תנוס</t>
  </si>
  <si>
    <t>סה"כ ש.א.י.פ.ה</t>
  </si>
  <si>
    <t>שילוט חופים 2019</t>
  </si>
  <si>
    <t>ציוד הצלה ובטיחות 2019</t>
  </si>
  <si>
    <t>אופנוע ים 2019</t>
  </si>
  <si>
    <t>סה"כ חופים</t>
  </si>
  <si>
    <t>החברה לתיירות</t>
  </si>
  <si>
    <t>סה"כ מצטבר</t>
  </si>
  <si>
    <t>מסגרת ביצוע  עבודות מדרכות לאחר השלמת עבודות בניה כתוצאה מהיתרים.</t>
  </si>
  <si>
    <t>פרויקט ממשלתי המתוקצב ע"י המדינה במקביל לרשות. הביצוע העירוני מתעכב עקב בעית פולש והמינהל.</t>
  </si>
  <si>
    <t xml:space="preserve"> תוכנית המתאר הכוללנית </t>
  </si>
  <si>
    <t xml:space="preserve"> תכנון חיבוריות בין מזרח למערב </t>
  </si>
  <si>
    <r>
      <t xml:space="preserve">בדיקת התכנות של מתחמי פינוי בינוי ותכנון פרויקטים להתחדשות עירונית ופינוי בינוי. </t>
    </r>
    <r>
      <rPr>
        <b/>
        <sz val="11"/>
        <rFont val="David"/>
        <family val="2"/>
      </rPr>
      <t>איחוד עם תב"ר 1674.</t>
    </r>
  </si>
  <si>
    <t>תכנון חניון תת קרקעי במתחם התחנה המרכזית הישנה.</t>
  </si>
  <si>
    <r>
      <t>הכנת מסמכי מדיניות להתחדשות עירונית בשכונות לגיבוש מדיניות לחידוש המרקם הקיים בשכונות.</t>
    </r>
    <r>
      <rPr>
        <b/>
        <sz val="11"/>
        <rFont val="David"/>
        <family val="2"/>
      </rPr>
      <t xml:space="preserve"> איחוד עם תב"ר 1759.</t>
    </r>
  </si>
  <si>
    <r>
      <t>תוכנית אסטרטגית להתייעלות עירונית במרכז העיר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ובשכונות </t>
    </r>
  </si>
  <si>
    <r>
      <t xml:space="preserve">תוכנית אסטרטגית </t>
    </r>
    <r>
      <rPr>
        <sz val="11"/>
        <rFont val="David"/>
        <family val="2"/>
        <charset val="177"/>
      </rPr>
      <t>באזהת"ש</t>
    </r>
    <r>
      <rPr>
        <b/>
        <sz val="11"/>
        <rFont val="David"/>
        <family val="2"/>
      </rPr>
      <t xml:space="preserve"> </t>
    </r>
  </si>
  <si>
    <t>תשלומי פיצויים להפקעות לביצוע שביל אופניים זמני ע"י משרד התחבורה.</t>
  </si>
  <si>
    <t>עבודות עקב פרויקט " מהיר לעיר" כולל תוספת חיפוי קיר בטון.</t>
  </si>
  <si>
    <t>תכנית פיתוח של המרחב הציבורי תל מיכל</t>
  </si>
  <si>
    <t xml:space="preserve">תקציב נוסף נדרש במסגרת תוכנית עבודה 2019 </t>
  </si>
  <si>
    <t xml:space="preserve">תקציב נוסף נדרש מעבר לתוכנית עבודה 2019   </t>
  </si>
  <si>
    <t xml:space="preserve">השלמת רח' משכית, פיתוח החושלים, השלמת שצ"פים והשלמת תכנון רח' שנקר. </t>
  </si>
  <si>
    <t xml:space="preserve">עבודות בביצוע.כולל גינת כלבים והשלמת שצ"פים. </t>
  </si>
  <si>
    <t>השלמת עבודות גינון ותיקונים במתחם. לקראת סגירת תב"ר.</t>
  </si>
  <si>
    <t>יתרת עבודות השלמה שינויים קומה  0 ו - 3. לקראת סיום.</t>
  </si>
  <si>
    <t>הקמת מבנה תרבות כולל חדרי מחול וקונסבטוריון . מימון מפעל הפייס. לקראת סיום.</t>
  </si>
  <si>
    <t>ממתין לחן סופי.</t>
  </si>
  <si>
    <t>פיתוח שביל כניסה והסדרת גישה לבתים. ממתין לחן סופי.</t>
  </si>
  <si>
    <t>פיתוח תשתיות. בשלבי סיום.</t>
  </si>
  <si>
    <t>המשך עבודות פיתוח שצ"פ בשכונת צמרות. ממתין לחן סופי.</t>
  </si>
  <si>
    <t>תוספת קומה בביכנ"ס אור זרוע ברח' אבן עזרא. לקראת סיום.</t>
  </si>
  <si>
    <t>תכנון במסגרת שינוי תב"ע חניונים הר' 1900. חניונים: משכית (השלמה לתכנון מפורט), גלגלי הפלדה.</t>
  </si>
  <si>
    <t xml:space="preserve">עבודות פיתוח כולל קו ניקוז רחוב שער הים. מימון תאגיד המים. </t>
  </si>
  <si>
    <t>המשך תכנון חניון ברח' מדינת היהודים.</t>
  </si>
  <si>
    <t>המשך תכנון חניון ברח' המדע.</t>
  </si>
  <si>
    <t>הכשרת חניון העוגן במרינה לחניון בתשלום. ממתין להיתר.</t>
  </si>
  <si>
    <t>ממתין לחן סופי ותקבול מימון מ. החינוך.</t>
  </si>
  <si>
    <t>בניית גנ"י בויצמן. פינסקר פינת מנדלבלט.</t>
  </si>
  <si>
    <t>גן רשל, גנ"י בבי"ס אילנות</t>
  </si>
  <si>
    <r>
      <t xml:space="preserve">אולם ספורט ויצמן  תכנון </t>
    </r>
    <r>
      <rPr>
        <sz val="11"/>
        <rFont val="David"/>
        <family val="2"/>
      </rPr>
      <t xml:space="preserve">וביצוע </t>
    </r>
  </si>
  <si>
    <t>בניית אולם ספורט בבי"ס ויצמן. ב - 2020: ביצוע.</t>
  </si>
  <si>
    <t xml:space="preserve">עבודות הכשרת החוף הנפרד, מעברים ושיפוץ כולל גשר מעבר. </t>
  </si>
  <si>
    <t>עיצוב חצר לימודית בי"ס גורדון</t>
  </si>
  <si>
    <t>פיתוח מתחם גליל ים הר' 1985 א'</t>
  </si>
  <si>
    <r>
      <t>פארק גליל ים</t>
    </r>
    <r>
      <rPr>
        <b/>
        <sz val="11"/>
        <rFont val="David"/>
        <family val="2"/>
      </rPr>
      <t xml:space="preserve"> </t>
    </r>
  </si>
  <si>
    <t xml:space="preserve">מתוקצב 7.4 מלשח רמ"י. </t>
  </si>
  <si>
    <r>
      <t>קיריית החינוך ( מגרש 406)-</t>
    </r>
    <r>
      <rPr>
        <sz val="11"/>
        <rFont val="David"/>
        <family val="2"/>
      </rPr>
      <t>ספריה, מרכז קהילתי</t>
    </r>
    <r>
      <rPr>
        <b/>
        <sz val="11"/>
        <rFont val="David"/>
        <family val="2"/>
      </rPr>
      <t xml:space="preserve"> </t>
    </r>
  </si>
  <si>
    <t>השלמת 6 כיתות בנבון</t>
  </si>
  <si>
    <t>מתקן חניה עילי בספיר</t>
  </si>
  <si>
    <t>גנ"י חדשים</t>
  </si>
  <si>
    <t>חורשת האקליפטוסים במתחם הר 1960</t>
  </si>
  <si>
    <t>מתחם בזק</t>
  </si>
  <si>
    <t>בית ספר בן צבי</t>
  </si>
  <si>
    <t xml:space="preserve">מימון מ. התחבורה. עבר מהנדסה. </t>
  </si>
  <si>
    <t>תכנון צומת הרב גורן מוהליבר עקב ריבוי תאונות דרכים עפ"י נתוני הרלב"ד. מימון מ. התחבורה. עבר מהנדסה.</t>
  </si>
  <si>
    <r>
      <t>הצללות בי"ס וגנ"י</t>
    </r>
    <r>
      <rPr>
        <b/>
        <sz val="11"/>
        <rFont val="David"/>
        <family val="2"/>
      </rPr>
      <t xml:space="preserve">  </t>
    </r>
    <r>
      <rPr>
        <sz val="11"/>
        <rFont val="David"/>
        <family val="2"/>
      </rPr>
      <t xml:space="preserve">ומתנס"ים </t>
    </r>
  </si>
  <si>
    <t>עבודות שונות בפארק כולל שביל גישה ליער מאכל, חידוש מסלול שלב ב' צפוני.</t>
  </si>
  <si>
    <t>מימון מ. החינוך. ממתין לתקבול סופי.</t>
  </si>
  <si>
    <t>החלפת מערכות צ'לרים באולמות הספורט מימון מ. האנרגיה.</t>
  </si>
  <si>
    <t>התקנת מעליות, שרותים ,רמפות בבי"ס עפ"י תוכנית רב שנתית. מימון מ. החינוך בי"ס רמב"ם.</t>
  </si>
  <si>
    <t>מסגרת עבודות במרחב הציבורי.</t>
  </si>
  <si>
    <t>בניית בית ספר ברח' משה-12 כתות. מימון מ. החינוך. היתר בשלב סופי. ממתין להרשאה מ. החינוך.</t>
  </si>
  <si>
    <t>עבודות חיפוי חיצוני עפ"י דרישת מינהל הנדסה.</t>
  </si>
  <si>
    <t>ייסגר עם קבלת תקבולי מ. החינוך.</t>
  </si>
  <si>
    <t>הכנת תוכנית לניהול הבטיחות בעיריה עפ"י דרישות החוק.</t>
  </si>
  <si>
    <t>שיפוצים מוס.רווחה</t>
  </si>
  <si>
    <t>מרכז שלום המשפחה בהסתדרות 4 , נתיבים להורות בויצמן 19.</t>
  </si>
  <si>
    <t>החלפת מזגנים והחלפת תאורה ללדים במוס"ח. מומן מ. הכלכלה והתעשיה.</t>
  </si>
  <si>
    <t>עבודות שיפוץ ושדרוג ביה"ס.</t>
  </si>
  <si>
    <t>החלפת רכבים קיימים ורכישת תוספת רכבים עפ"י רשימה.</t>
  </si>
  <si>
    <t>עבודות שיפוץ האולם כולל הצטיידות.</t>
  </si>
  <si>
    <t>החלפת מזגנים , החלפת תאורה ללדים  ובקרת מבנים במוס"ח ובמוסדות עירוניים. מימון מ. הכלכלה והתעשיה.</t>
  </si>
  <si>
    <t>גידור מרחב האירועים בפארק</t>
  </si>
  <si>
    <t>עבודות גידור קבוע, תאורה תשתיות ושערים במרחב האירועים בפארק.</t>
  </si>
  <si>
    <t>הקמת יחידת חילוץ הצטיידות</t>
  </si>
  <si>
    <t>הצטיידות  של יחידת חילוץ מתנדבים שעברו הכשרה בפיקוד העורף לתפקוד במצבי חרום .</t>
  </si>
  <si>
    <t>הנגשת כיתות ליקווי שמיעה. ייסגר עם קבלת  יתרת התקבולים ממ. החינוך.</t>
  </si>
  <si>
    <t>הצטיידות  גנים חדשים כולל  ח"מ שנבנו לאחרונה או יבנו לקראת תש"פ ופתיחת גנים במבנים קיימים.</t>
  </si>
  <si>
    <t>שינוי מימון מ. החינוך.</t>
  </si>
  <si>
    <t>פרויקט החלפת ריהוט המותאם למאה ה - 21  בכל ביה"ס. תוכנית רב שנתית. ב - 2020: 3 שכבות גיל.</t>
  </si>
  <si>
    <t xml:space="preserve">בניית חדרי מייקרס בבתי הספר לפי חלוקה גאוגרפית. חדר אחד ישמש מס' בתי הספר. אומדן של חדר אחד - 80 אלף ₪ </t>
  </si>
  <si>
    <t>הצטיידות מעבדות תיכון ראשונים</t>
  </si>
  <si>
    <t>הצטיידות חדשה של מעבדות בתיכון ראשונים עקב גידול משמעותי במספר התלמידים ומספר הפעילויות .</t>
  </si>
  <si>
    <t xml:space="preserve">עיצוב חדשני של כיתות האם </t>
  </si>
  <si>
    <t>הקמת מרחבי למידה חדשניים בשכבת כיתות ז' בחט"ב רעות הכולל ריהוט ועיצוב פנים.</t>
  </si>
  <si>
    <t>המשך חידוש ציפוי מגרשי הספורט לפי התוכנית השנתית. אילנות, היובל, רעות, שיכון דרום, סמדר.</t>
  </si>
  <si>
    <t>שיפוץ מבנה מועדון נוער הכוכב השמיני</t>
  </si>
  <si>
    <t>שיפוץ מועדון הנוער יוסף נבו 18 הכולל איטום גגות וקירות, החלפות תקרות.</t>
  </si>
  <si>
    <t>הצללת אזורים של מתקני משחקים לנוחות הציבור. נחקק חוק חדש שאושר בוועדת הפנים המחייב את הרשויות להקים הצללות בגני משחקים.</t>
  </si>
  <si>
    <t>קידום אמנת ברית ערים כתוכנית המשך לתוכנית להפחתת פליטות של פורום ה-15.</t>
  </si>
  <si>
    <r>
      <t>שדרוג</t>
    </r>
    <r>
      <rPr>
        <sz val="11"/>
        <rFont val="David"/>
        <family val="2"/>
        <charset val="177"/>
      </rPr>
      <t xml:space="preserve"> וטיפול המרחב הציבורי</t>
    </r>
  </si>
  <si>
    <t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t>
  </si>
  <si>
    <t>הקמת גינות קהילתיות בית ספריות במימון קרן הועדה החקלאית.</t>
  </si>
  <si>
    <t>עבודות במתחם מתקני הכושר:החלפת חול,דשא סינטטי. החלפת מתקני משחק וגידור.</t>
  </si>
  <si>
    <t>עבודות פיתוח השטח בין שכונת יד התשעה לקיר האקוסטי של כביש 531, כולל פיתוח השצ"פ.</t>
  </si>
  <si>
    <t>עבודות פיתוח ושדרוג החצר האחורית במתחם בי"ס אלון כולל הצללה. העבודות הסתיימו.</t>
  </si>
  <si>
    <r>
      <t xml:space="preserve">הסדרת שטחי </t>
    </r>
    <r>
      <rPr>
        <sz val="11"/>
        <rFont val="David"/>
        <family val="2"/>
      </rPr>
      <t>מוס"ח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ברחב</t>
    </r>
    <r>
      <rPr>
        <sz val="11"/>
        <rFont val="David"/>
        <family val="2"/>
        <charset val="177"/>
      </rPr>
      <t xml:space="preserve">י העיר </t>
    </r>
  </si>
  <si>
    <t>ביצוע שצ"פ רחוב המסילה כולל גידור, הסדרת המרכז המסחרי אל-על נורדאו, עבודות גינון נוספות. העבודות הסתיימו.</t>
  </si>
  <si>
    <t>שדרוג מתחם המשקל העירוני</t>
  </si>
  <si>
    <t>עבודות במתחם המשקל העירוני להסדרת נושא הבטיחות.</t>
  </si>
  <si>
    <t>שדרוג רחוב וינגגיט</t>
  </si>
  <si>
    <t>שדרוג רחוב בן גוריון</t>
  </si>
  <si>
    <t>עבודות שדרוג ושיקום שטחי הגינון  לצידי הרחוב במקטעים שטרם שודרגו. שטח של כ- 4.5 דונם.</t>
  </si>
  <si>
    <t>הקמת סככות המתנה לאוטובוס כולל תשתיות</t>
  </si>
  <si>
    <t>הקמת 25 סככות המתנה משודרגות מתוכן 5 ממוזגות.</t>
  </si>
  <si>
    <t>קידום ושימור הטבע העירוני בעיר</t>
  </si>
  <si>
    <t>הקטנת תקציב , שינוי מימון מימון מ. להגנת הסביבה. סגירת תב"ר.</t>
  </si>
  <si>
    <t>טרם הסתיימה עבודה בתחנת הצלה חוף הכוכבים .</t>
  </si>
  <si>
    <r>
      <t>פיתוח חופי רחצה</t>
    </r>
    <r>
      <rPr>
        <strike/>
        <sz val="11"/>
        <rFont val="David"/>
        <family val="2"/>
      </rPr>
      <t/>
    </r>
  </si>
  <si>
    <t>מימון משרד הפנים. עבור רכישת 2 סככות נוספות הצללה לחוף הכוכבים.</t>
  </si>
  <si>
    <t>מימון משרד הפנים. יבוצעו עבודות נוספות בחוף הנפרד.</t>
  </si>
  <si>
    <t>מימון משרד הפנים.בניית התחנה טרם הסתיימה. ממתינים להיתר בנייה.</t>
  </si>
  <si>
    <t>תוספות שינויים ושיפורים שדרוג מערכות הליבה החברה לאוטומציה וציוד חומרה.</t>
  </si>
  <si>
    <t xml:space="preserve">מיזמים קהילתיים </t>
  </si>
  <si>
    <t>הטמעת מערכת הגנה מפני אלימות ברשת תחת פלטפורמה קהילות לומדות EACH. הקמת מערכת ניטור קולי התראות לפיקוח במסגרת עיר חכמה. הכל בשיתוף פעולה עם מרכז היזמות העירוני.</t>
  </si>
  <si>
    <t>.</t>
  </si>
  <si>
    <t>הכנת תב"ע . מימון רמ"י.</t>
  </si>
  <si>
    <t>משרד  לבטחון הפנים</t>
  </si>
  <si>
    <t>בניית בי"ס יסודי 18 כיתות,  אולם ספורט בינוני (לקבל מימון מ. הספורט) , מגרש ספורט , חדר שנאים, חניון תתקרקעי 2 מפלסים. 2020 : אומדן מימון מ. החינוך בי"ס.</t>
  </si>
  <si>
    <r>
      <t xml:space="preserve">בניית בי"ס יסודי 18 כיתות, 5 כיתות גן, מועדון תנועת נוער, אולם ספורט בינוני (לקבל מימון מ. הספורט) , מגרש ספורט משולב, חדר שנאים , חניון תתקרקעי 2 מפלסים. </t>
    </r>
    <r>
      <rPr>
        <sz val="11"/>
        <rFont val="David"/>
        <family val="2"/>
      </rPr>
      <t>לו"ז לאיכלוס 8/2022. 2020:אומדן מימון מ. החינוך בי"ס וגנ"י.</t>
    </r>
  </si>
  <si>
    <t>פיתוח רח' הארז והחרוב</t>
  </si>
  <si>
    <t>פיתוח רחובות הארז והחרוב. תכנון וביצוע.</t>
  </si>
  <si>
    <t>סקר תשתיות קיימות</t>
  </si>
  <si>
    <r>
      <t xml:space="preserve">בניית אולם ספורט חדש בחטיבה. </t>
    </r>
    <r>
      <rPr>
        <sz val="11"/>
        <rFont val="David"/>
        <family val="2"/>
      </rPr>
      <t xml:space="preserve">בקשת מימון מ. התרבות והספורט. </t>
    </r>
  </si>
  <si>
    <t>שיפוץ חלקי של בית משותף בו מצויים הספריה והחניון בבעלות העיריה. סוקולוב 56.</t>
  </si>
  <si>
    <t>הצטיידות כלי שייט עבור המרכז לחינוך וספורט ימי כולל החינוך המיוחד. התקבל מימון מ. התרבות והספורט.</t>
  </si>
  <si>
    <t>תיקון ליקויים סקר כיבוי אש מוס"ח  ועיריה</t>
  </si>
  <si>
    <t>סל לעבודות הסדרת ליקויים כיבוי אש במוס"ח ובמוסדות עיריה  לפי סקר.</t>
  </si>
  <si>
    <t>תוכנת ניהול ותאום תשתיות</t>
  </si>
  <si>
    <t>עבודות פיתוח. מימון רמ"י במסגרת הסכם "הגג". שינוי מימון  רמ"י.</t>
  </si>
  <si>
    <t>ביצוע  עבודות סלילה ופיתוח סופי רח' דן שומרון. תכנון רח' דורי.</t>
  </si>
  <si>
    <t xml:space="preserve">פינוי בינוי סוקולוב רח' ירושלים . מימון מ. הבינוי. </t>
  </si>
  <si>
    <t xml:space="preserve">עבודות השלמה סופיות  לרבות מתכננים ופיקוח עקב התארכות תקופת הביצוע של הפרויקט. </t>
  </si>
  <si>
    <r>
      <t>תכנון ציר המעפילים הכניסה הצפונית לעיר בשיתוף מועצה מקומית כפר שמריהו.</t>
    </r>
    <r>
      <rPr>
        <b/>
        <sz val="11"/>
        <rFont val="David"/>
        <family val="2"/>
      </rPr>
      <t xml:space="preserve"> </t>
    </r>
  </si>
  <si>
    <r>
      <t>תוספת גלריה בהיכל אומנויות הבמה.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בשלבי תכנון והיתר. הביצוע מתוכנן ב - 2021.</t>
    </r>
  </si>
  <si>
    <t>תכנון עבודות שיפוץ בית ההורים ברחוב אנה פרנק. בשנת 2020 עבודות שדרוג ושיפוץ כללי.</t>
  </si>
  <si>
    <r>
      <t>עבודות הקמת אולם ספורט בנגיד ובנדיב  כולל הריסת אולמות ומקלט קיימים.</t>
    </r>
    <r>
      <rPr>
        <b/>
        <sz val="11"/>
        <rFont val="David"/>
        <family val="2"/>
      </rPr>
      <t xml:space="preserve"> </t>
    </r>
  </si>
  <si>
    <t>המשך עבודות פיתוח במתחם. פיתוח השצ"פ.</t>
  </si>
  <si>
    <t>המשך עבודות פיתוח במתחם הר' 1903 הרצליה הילס. פיתוח שצ"פ מערבי.</t>
  </si>
  <si>
    <t>המשך עבודות בניית בי"ס חדש ברחוב אלתרמן. ח-ן סופיים.</t>
  </si>
  <si>
    <r>
      <t xml:space="preserve">הוספת 6 כיתות כולל מיקלוט במתחם בי"ס נבון. </t>
    </r>
    <r>
      <rPr>
        <sz val="11"/>
        <rFont val="David"/>
        <family val="2"/>
      </rPr>
      <t>הצטיידות בחינוך.</t>
    </r>
    <r>
      <rPr>
        <b/>
        <sz val="11"/>
        <rFont val="David"/>
        <family val="2"/>
      </rPr>
      <t xml:space="preserve"> </t>
    </r>
  </si>
  <si>
    <t>הקמת ארנה</t>
  </si>
  <si>
    <t>תכנון ציר הרחובות ירושלים יבנה/הנגב המסתמן להיות אחד מעורקי התחבורה הראשיים בעיר.</t>
  </si>
  <si>
    <t>תוכנית שבילי אופניים בשצ"פים עירוניים</t>
  </si>
  <si>
    <t>הכנת תוכנית לניצול יעיל לשצ"פים ברחבי העיר לשימושי שבילי אופניים והתקנת מצללות.</t>
  </si>
  <si>
    <t xml:space="preserve">רכישת אופנוע ים כולל זיווד. מימון משרד הפנים. </t>
  </si>
  <si>
    <t xml:space="preserve">החלפה והוספת ציוד הצלה ובטיחות. מימון משרד הפנים. </t>
  </si>
  <si>
    <t>תכנון וביצוע שבילי אופנים וביצוע ברחבי העיר . ב - 2020 : תכנון: רח' הבנים, גן רשל, ארלוזרוב,הדר ,לפקין שחק.</t>
  </si>
  <si>
    <t xml:space="preserve">עבודה סלילה, גינון ותאורה במתחם. </t>
  </si>
  <si>
    <t xml:space="preserve">תוכנית לבחינת הקשר בין השביל הירוק המטרופולוני לאורך רחוב אבא אבן תל מיכל והמרחב הציבורי של המרינה לחיזוק הקישוריות העיר אל המרינה וחוף הים. נדרש בעקבות דיון בוולחו"ף. </t>
  </si>
  <si>
    <t xml:space="preserve">ביצוע והשלמת תכנון פארק צפון. </t>
  </si>
  <si>
    <t xml:space="preserve">פיתוח רחוב גבעת החלומות לרבות עבודות ניקוז ותאורה. עדכון תכנון וביצוע . </t>
  </si>
  <si>
    <t xml:space="preserve">המשך עבודות הקמת חדרי פעילויות, בית קפה לרבות תוספת שרותים. </t>
  </si>
  <si>
    <t xml:space="preserve">ביצוע פיתוח ותשתית במתחם "מרינה לי". מימון מ. התחבורה. </t>
  </si>
  <si>
    <t xml:space="preserve"> תכנון וביצוע בניית מתנ"ס חדש בשכונת נווה עמל כולל הקמת מגרש טניס ושדרוג המתחם.</t>
  </si>
  <si>
    <t xml:space="preserve">התקנת קירוי קשיח במגרשי ספורט 2020/2021: דור, תיכון חדש, גורדון,לב טוב,נבון. </t>
  </si>
  <si>
    <t>העבודות:מבנים יבילים,הקמת טריבונות, ארונות שחקנים, עבודות בטיחות. שינוי מימון מ. הספורט בגין אי ביצוע מלתחות.</t>
  </si>
  <si>
    <t xml:space="preserve">השלמת תכנון וביצוע פיתוח קטע הרחוב מרבי עקיבא עד דוד רזיאל. </t>
  </si>
  <si>
    <t xml:space="preserve">תכנון החניון מתחת לשצ"פ במתחם המרינה לי. </t>
  </si>
  <si>
    <r>
      <t xml:space="preserve">מסגרת </t>
    </r>
    <r>
      <rPr>
        <sz val="11"/>
        <rFont val="David"/>
        <family val="2"/>
        <charset val="177"/>
      </rPr>
      <t>עבודות של החלפת עמודי תאורה באיזור התעשיה.</t>
    </r>
  </si>
  <si>
    <r>
      <t xml:space="preserve">פיתוח מתחם ומבנה משכן האומנים. </t>
    </r>
    <r>
      <rPr>
        <b/>
        <sz val="11"/>
        <rFont val="David"/>
        <family val="2"/>
      </rPr>
      <t/>
    </r>
  </si>
  <si>
    <r>
      <t xml:space="preserve">תכנון שיפוץ/הריסה ובניה מחדש של בי"ס. </t>
    </r>
    <r>
      <rPr>
        <sz val="11"/>
        <rFont val="David"/>
        <family val="2"/>
        <charset val="177"/>
      </rPr>
      <t xml:space="preserve">ב - 2020: המשך תכנון. </t>
    </r>
  </si>
  <si>
    <r>
      <t xml:space="preserve">תכנון שצ"פים במתחם  הר' 1960 : קורן,דן שומרון ,דורי ומשה שמיר. </t>
    </r>
    <r>
      <rPr>
        <sz val="11"/>
        <rFont val="David"/>
        <family val="2"/>
      </rPr>
      <t>עבר מהנדסה.</t>
    </r>
  </si>
  <si>
    <r>
      <t xml:space="preserve">תכנון פיתוח רחוב הפרטיזנים. </t>
    </r>
    <r>
      <rPr>
        <sz val="11"/>
        <rFont val="David"/>
        <family val="2"/>
      </rPr>
      <t>עבר מהנדסה.</t>
    </r>
  </si>
  <si>
    <r>
      <t>תכנון פיתוח הרחובות הר מירון בר כוכבא בעקבות אישור תוכנית התחדשות עירונית.</t>
    </r>
    <r>
      <rPr>
        <sz val="11"/>
        <rFont val="David"/>
        <family val="2"/>
      </rPr>
      <t xml:space="preserve"> עבר מהנדסה.</t>
    </r>
    <r>
      <rPr>
        <b/>
        <sz val="11"/>
        <rFont val="David"/>
        <family val="2"/>
      </rPr>
      <t xml:space="preserve"> </t>
    </r>
  </si>
  <si>
    <t xml:space="preserve">ביצוע שצ"פ בקטע רח' דליה רביקוביץ פינת אסתר רהב. עבר מהנדסה. </t>
  </si>
  <si>
    <r>
      <t>שטח 408 גליל ים ב'</t>
    </r>
    <r>
      <rPr>
        <sz val="11"/>
        <rFont val="David"/>
        <family val="2"/>
      </rPr>
      <t>-גנ"י, בי"ס, ספריה</t>
    </r>
    <r>
      <rPr>
        <b/>
        <sz val="11"/>
        <rFont val="David"/>
        <family val="2"/>
      </rPr>
      <t xml:space="preserve"> </t>
    </r>
  </si>
  <si>
    <t>בי"ס יסודי בשטח 304.ב - 2020: תכנון.</t>
  </si>
  <si>
    <t xml:space="preserve">פיתוח מתחם הרחובות אוצר הצמחים, אבן אודם, הראשונים. 
</t>
  </si>
  <si>
    <t>מערכות מתקדמות לעיר חכמה כולל שו"ב מצלמות , ציוד נלווה ותשתיות מיחשוב. הוגשה בקשה למימון מ. לשיוויון חברתי.</t>
  </si>
  <si>
    <t>פרויקטים סביבתתים לשיפור איכות הסביבה. ממומן ע"י מ. להגנת הסביבה.</t>
  </si>
  <si>
    <t>התקציב מיועד לשדרוג מקלטים ציבוריים .</t>
  </si>
  <si>
    <t>סקר עצים מסוכנים, רכישת מיכלי אצירה,הקמת סככות המתנה לאוטובוסים.</t>
  </si>
  <si>
    <t>הקמת אתר עירוני ופורטל.</t>
  </si>
  <si>
    <t xml:space="preserve">עבודות הנגשה של מוס"ח ומבני ציבור כנדרש עפ"י החוק במסגרת תוכנית רב שנתית. </t>
  </si>
  <si>
    <t xml:space="preserve">מסגרת עבודות של  פרויקטים תחבורתיים עפ"י החלטות ועדת תנועה ופניות הציבור. </t>
  </si>
  <si>
    <t>רכישת זכויות דיירת מוגנת בנכס-חנות מרכז מסחרי נוף ים.</t>
  </si>
  <si>
    <r>
      <t xml:space="preserve">הקמת מרכז שליטה ובקרה  במיקום שיקבע ע"י הנהלת העיר כולל אמצעי מולטי מדיה למתן מענה לתשתית העיר החכמה. הההקמה כוללת עבודות בינוי, מולטימדיה וריהוט. </t>
    </r>
    <r>
      <rPr>
        <b/>
        <sz val="11"/>
        <rFont val="David"/>
        <family val="2"/>
      </rPr>
      <t/>
    </r>
  </si>
  <si>
    <t xml:space="preserve">מס' תב"ר </t>
  </si>
  <si>
    <t>הקמת 2 סככות צל בחוף זבולון ו- 2 סככות בחוף נוף ים בהתאם לממצאי דוח משרד הפנים.  תוגש בקשה למימון ממשרד הפנים בשנת 2020.</t>
  </si>
  <si>
    <t>שיפוץ חזיתות בתים כולל: פיתוח חצרות, חדרי מדרגות, מעלית (רכוש משותף). בשיתוף האגודה לתרבות הדיור.</t>
  </si>
  <si>
    <t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t>
  </si>
  <si>
    <t>חינוך לקיימות. קול קורא לשנים 2018-2020. מימון מ. להגנת הסביבה.</t>
  </si>
  <si>
    <t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t>
  </si>
  <si>
    <t xml:space="preserve">עבודות במרחב הציבורי בשכונות השונות ברחבי העיר כולל ריהוט רחוב עפ"י תוכנית עבודה שתאושר ע"י הנהלת העיר. </t>
  </si>
  <si>
    <t>סקירת עצים מסוכנים בפארקים, שצ"פים, רחובות וחורשות אקליפטוסים.</t>
  </si>
  <si>
    <t>שדרוג תשתיות בגינות קהילתיות קיימות , החווה החקלאית גליל ים, והקמת יער  נוסף .</t>
  </si>
  <si>
    <t>הצבת מתקני שתייה מקוררים ברחבי העיר לרווחת התושבים.</t>
  </si>
  <si>
    <t>עבודות שדרוג ושיקום ערוגות הגינון  לצידי הרחוב והכיכרות המרכזיות. מרחוב וינגייט ועד רח' הקונגרס שטח של כ- 2.6 דונם.</t>
  </si>
  <si>
    <t>פעילות חד פעמית בעקבות ממצאי סקר טבע עירוני. הפעילות כוללת: סילוק מינים פולשים של צמחייה , סגירת אזורים עם בולדרים,שילוט .</t>
  </si>
  <si>
    <t xml:space="preserve">הקמת גינות כלבים כולל: פיתוח שבילים, גידור, תאורה, ברזיות, ריהוט גן תואם,גינון והשקייה. </t>
  </si>
  <si>
    <t xml:space="preserve">הקמת מתקנים בחוף כוכבים וחוף זבולון. בשנת 2020 מתוכנן בחוף הנכים והשרון. </t>
  </si>
  <si>
    <t>הצטיידות גנ"י ילדים גליל ים (מגרש 401)</t>
  </si>
  <si>
    <r>
      <t xml:space="preserve">המשך הצטיידות כולל מיחשוב בי"ס חדש  יצחק נבון. כולל בגין </t>
    </r>
    <r>
      <rPr>
        <sz val="11"/>
        <rFont val="David"/>
        <family val="2"/>
      </rPr>
      <t>תוספת 6 כיתות לבניה 2020 החב. לפיתוח.</t>
    </r>
  </si>
  <si>
    <r>
      <t xml:space="preserve">סל עבודות שיפוצים שונות במוס"ח לרבות שיפוצים יסודיים </t>
    </r>
    <r>
      <rPr>
        <sz val="11"/>
        <rFont val="David"/>
        <family val="2"/>
      </rPr>
      <t xml:space="preserve">והתאמת מבנים גנ"י  </t>
    </r>
    <r>
      <rPr>
        <sz val="11"/>
        <rFont val="David"/>
        <family val="2"/>
        <charset val="177"/>
      </rPr>
      <t>על פי רשימה שתאושר ע"י הנהלת העיר.</t>
    </r>
  </si>
  <si>
    <t>ספירת רכוש במוסדות חינוך ויחידות עירוניות וסימון הרכוש העירוני.</t>
  </si>
  <si>
    <t>התקנת חיבורים חיצוניים לגנרטורים  במבני חינוך וציבור לשימוש בעת הצורך.</t>
  </si>
  <si>
    <t>חסכון,התייע' אנרגטית מוסח/ציבור</t>
  </si>
  <si>
    <t>עבודות מבנה קט רגל והשלמת פיתוח בשטחים "ריקים" הגובלים בפטנק ומגרשי קטרגל.</t>
  </si>
  <si>
    <t>השלמת חיבור כניסה מכביש 2 לרח' החרש. ממתין לחן סופי.</t>
  </si>
  <si>
    <t xml:space="preserve">בניית ביכנ"ס ברח' מקדש מלך. תכנון.  </t>
  </si>
  <si>
    <t>בניית גנ"י בנווה עמל. חלקות בבעלות רמ"י. נדחה עד הכרת מ. החינוך והסכם חכירה רמ"י.</t>
  </si>
  <si>
    <t xml:space="preserve">עבר משאיפה/איכות הסביבה. </t>
  </si>
  <si>
    <t>תכנון מבנה מעונות לסטודנטים ברח' בן שפרוט.חשבונות סופיים.יש היתר.</t>
  </si>
  <si>
    <t>הקמת מע.השכרת אופניים ברחבי העיר ובאיזור התעסוקה,חלק מתוכנית אב להפחתת פליטות גזי חממה.מימון מ.להגנת הסביבה.</t>
  </si>
  <si>
    <r>
      <t>עבודות בניה ופיתוח גנ"י מדעיים באלתרמן.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מבנה 3 קומות ופיתוח.</t>
    </r>
  </si>
  <si>
    <t xml:space="preserve">תכנון מתחם חוף התכלת. עתירה של בעלי הקרקע הפרטיים על השתהות בקידום  התוכנית . </t>
  </si>
  <si>
    <t>תכנון התחדשות עירונית ביד התשעה במסגרת תוכנית כללית/תוכניות מתחמיות.</t>
  </si>
  <si>
    <t xml:space="preserve">הקמת מערכת בקרת רמזורים ברחבי העיר. </t>
  </si>
  <si>
    <t xml:space="preserve">פיתוח סימטה שהפכה לדרך במסגרת תב"ע 2029 בנווה עמל. </t>
  </si>
  <si>
    <r>
      <t>הארכת דרך ירושלים  מרחוב סוקולוב עד ליפקין שחק כול דרך ושביל אופניים .</t>
    </r>
    <r>
      <rPr>
        <strike/>
        <sz val="11"/>
        <rFont val="David"/>
        <family val="2"/>
      </rPr>
      <t xml:space="preserve"> </t>
    </r>
  </si>
  <si>
    <t>נדרש ביצוע סקר חריגות בנייה עפ"י תיקון לחוק הרשויות.</t>
  </si>
  <si>
    <t>בהמשך לסקר חריגות בניה, נדרש לבצע צווים שיפוטיים ולבצע הריסות במקרים בהם לא בוצעו.</t>
  </si>
  <si>
    <t>פיתוח  ברח' העפרוני וזאב במתחם. הביצוע כולל תאורה וסלילת רחוב משולב .</t>
  </si>
  <si>
    <t>69-71</t>
  </si>
  <si>
    <t xml:space="preserve">פרויקט : ז'בוטינסקי </t>
  </si>
  <si>
    <t>הרצליה : "עיר חכמה" : במסגרת פרויקט התקנת מערכות שו"ב , מצלמות ופריסת תשתיות תקשורת ברחבי העיר</t>
  </si>
  <si>
    <t>תכנון ראשוני בי"ס בן צבי.</t>
  </si>
  <si>
    <t>גנ"י מרכז ויצמן תמר ותאנה</t>
  </si>
  <si>
    <t>אולם ספורט חטיבת  זאב</t>
  </si>
  <si>
    <t>תכנון ראשוני הקמת מעון לאנשים עם מוגבלויות ביד התשעה.</t>
  </si>
  <si>
    <t>הקמת מתקן חניה עילי בחניון ספיר.</t>
  </si>
  <si>
    <t>תכנון ראשוני של פיתוח מתחם "בזק".</t>
  </si>
  <si>
    <t>עיצוב חצר לימודית בי"ס גורדון. מימון חלקי מ. החינוך.</t>
  </si>
  <si>
    <t>הקמה ושיפוץ רצפות פרקט:חידוש באולם היובל , הקמה באולם נוף ים , חידוש אולם בנווה ישראל. מימון מ. התרבות והספורט.</t>
  </si>
  <si>
    <t xml:space="preserve">תכנון וביצוע  תוכנית אב לשבילי אופניים </t>
  </si>
  <si>
    <t xml:space="preserve">הקמת חניות והסדרים גיאומטרים ליד מבנה לזכר השואה שיוקם ע"י היזם (ליאור דינור ואחרים). מימון היזם מובטח בערבות. </t>
  </si>
  <si>
    <t>תכנון מתחם צומת כדורי לפינוי ובינוי.מימון מ. הבינוי.</t>
  </si>
  <si>
    <t>הסדרת דרכי גישה למבני מגורים והסדרת פלישות לשטחי ציבור. המשך תכנון השצ"פים כ - 1,300 מ"ר.</t>
  </si>
  <si>
    <t>פיתוח מתחם אולפני הרצליה תב"ע הר' 2180. תכנון.</t>
  </si>
  <si>
    <t>פיתוח חניון זמני במתחם אגד. סיום.חן סופיים.</t>
  </si>
  <si>
    <t>עבודות פיתוח במתחם הרחובות והרחבתם.סיום. חן סופיים.</t>
  </si>
  <si>
    <t>הסדרת שבילי גישה רגלית וכניסת כלי רכב לחניות,שביל פינוי אשפה,פיתוח כולל גינון ותאורה.ב-2020 מתוכנן מרכז "מייקרים" בשיתוף אדריכלית השימור.</t>
  </si>
  <si>
    <t>שינוי לתוכנית הר' 1985 ב' עקב ריבוי יח"ד והצורך לספק שטחים ציבוריים בגינם.</t>
  </si>
  <si>
    <t xml:space="preserve">מיחשוב כלל התשתיות הקיימות במרחב הציבורי. </t>
  </si>
  <si>
    <t xml:space="preserve">בניית אתר הנדסי לתשתיות וסנכרון בין עבודות התשתית השונות ברחבי העיר. </t>
  </si>
  <si>
    <r>
      <t>הקמת מסוף תחבורה חדש , חניון ל -60 אוטובוסים , הסדרת ציר תנועה רחוב בן ציון מיכאלי. מימון מ.התחבורה.</t>
    </r>
    <r>
      <rPr>
        <b/>
        <sz val="11"/>
        <rFont val="David"/>
        <family val="2"/>
      </rPr>
      <t>הביצוע עובר לנת"י.</t>
    </r>
  </si>
  <si>
    <r>
      <t>המשך פיתוח רחוב צ.ה.ל כולל סובה הורדת/העלאת תלמידים ליד ביה"ס.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מימון מ. התחבורה</t>
    </r>
    <r>
      <rPr>
        <sz val="11"/>
        <color rgb="FFFF0000"/>
        <rFont val="David"/>
        <family val="2"/>
      </rPr>
      <t>.</t>
    </r>
  </si>
  <si>
    <t>הסדרת ניקוז בצומת הרחובות. מימון מ. התחבורה. חן סופיים.</t>
  </si>
  <si>
    <t xml:space="preserve">הקמה של קמפוס המדעים:בי"ס להנדסאים ותיכון חדש. </t>
  </si>
  <si>
    <t xml:space="preserve">גיבוש תוכנית פעולות לעבודות הגנה על מצוקי חופי הים . ב - 2020 תכנון. בהמשך הביצוע במימון חלקי של מ. הפנים. </t>
  </si>
  <si>
    <r>
      <rPr>
        <sz val="11"/>
        <rFont val="David"/>
        <family val="2"/>
      </rPr>
      <t>ביצוע שצ"פ מלכי יהודה (האקליפטוס) תב"ע 1960</t>
    </r>
    <r>
      <rPr>
        <b/>
        <sz val="11"/>
        <rFont val="David"/>
        <family val="2"/>
      </rPr>
      <t>.</t>
    </r>
    <r>
      <rPr>
        <sz val="11"/>
        <rFont val="David"/>
        <family val="2"/>
      </rPr>
      <t xml:space="preserve"> עבר מהנדסה.</t>
    </r>
  </si>
  <si>
    <r>
      <rPr>
        <sz val="11"/>
        <rFont val="David"/>
        <family val="2"/>
      </rPr>
      <t xml:space="preserve"> כיתות גן (2) וכיתות מעון (5).מתוקצב 8.9 מלשח רמ"י</t>
    </r>
    <r>
      <rPr>
        <b/>
        <sz val="11"/>
        <rFont val="David"/>
        <family val="2"/>
      </rPr>
      <t xml:space="preserve">. </t>
    </r>
    <r>
      <rPr>
        <sz val="11"/>
        <rFont val="David"/>
        <family val="2"/>
      </rPr>
      <t>2020:אומדן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מ.החינוך גנ"י</t>
    </r>
    <r>
      <rPr>
        <b/>
        <sz val="11"/>
        <rFont val="David"/>
        <family val="2"/>
      </rPr>
      <t xml:space="preserve">. </t>
    </r>
  </si>
  <si>
    <t>במקביל,תבר חדש הצטיידות בחינוך .</t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</si>
  <si>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</t>
    </r>
    <r>
      <rPr>
        <sz val="11"/>
        <rFont val="David"/>
        <family val="2"/>
      </rPr>
      <t>תקציב מקרנות הרשות.</t>
    </r>
    <r>
      <rPr>
        <b/>
        <sz val="11"/>
        <rFont val="David"/>
        <family val="2"/>
      </rPr>
      <t/>
    </r>
  </si>
  <si>
    <t>סל להחלפה ושדרוג מזגנים במוסדות חינוך.</t>
  </si>
  <si>
    <t xml:space="preserve">הצללות קבועות מעל מגרשי ספורט  עפ"י תוכנית רב שנתית. </t>
  </si>
  <si>
    <t>עבר מהנדסה.</t>
  </si>
  <si>
    <t>שלב ב' של עבודות שיפוצים יסודיים הרחבות בקומת הקרקע, מטבח, חזיתות. ממתין להיתר.</t>
  </si>
  <si>
    <t>פרויקט  בניית אודיטוריום ,תוספת 6 כתות ו-2 ממ"דים , שיפוץ כללי.</t>
  </si>
  <si>
    <t>עבודות שיפוץ כללי למשרדי האגפים כולל חדר ישיבות.</t>
  </si>
  <si>
    <t xml:space="preserve">במקביל לבנית גנ"י בביצוע של החב. לפיתוח. </t>
  </si>
  <si>
    <t>גדר בגובה 4 מ' סביב מגרשי אימונים במתחם האצטדיון מול משרדי תבל .</t>
  </si>
  <si>
    <t>עבודות בגן גלעד וגן קלישר. לקראת סיום.</t>
  </si>
  <si>
    <t>ביצוע של החלפת משטחי גומי ישנים מאוד בגינות קיימות. לקראת סיום.</t>
  </si>
  <si>
    <t>החלפת מתחם ישן ורעוע עשוי מלוחות עץ נרקבים שעומד שעומד לפני פסילת מכון התקנים.</t>
  </si>
  <si>
    <t xml:space="preserve">לקראת סיום. </t>
  </si>
  <si>
    <t xml:space="preserve">מימון משרד הפנים. </t>
  </si>
  <si>
    <t>פיתוח מתחם "מרינה לי".</t>
  </si>
  <si>
    <t>המשך תכנון וביצוע מערך שבילי אופניים ברחבי העיר.</t>
  </si>
  <si>
    <t>פרויקטים של חסכון והתייעלות אנרגטית במוסדות חינוך ובמבני ציבור.</t>
  </si>
  <si>
    <t xml:space="preserve">פרויקט "עיר חכמה" - התקנת מערכות שליטה ובקרה,מצלמות ופריסת תשתיות ברחבי העיר. </t>
  </si>
  <si>
    <t xml:space="preserve">פיתוח והקמת מתנ"סים. </t>
  </si>
  <si>
    <t xml:space="preserve">פיתוח והקמת אולמות ספורט. </t>
  </si>
  <si>
    <t>חן סופיים.</t>
  </si>
  <si>
    <t>מסגרת עבודות של החלפת עמודי מחסום באיזור התעשיה. חן סופיים.</t>
  </si>
  <si>
    <t xml:space="preserve">מתחמים (2) בשז"ר ומתחמים (2) באיזור לב טוב. כל מתחם 3 גנ"י. לפי אומדן של 7.5 מלשח למתחם. ב - 2020 תכנון. </t>
  </si>
  <si>
    <t>ב - 2020 : תכנון ראשוני הקמת ארנה באיזור האיצטדיון.</t>
  </si>
  <si>
    <r>
      <t xml:space="preserve">בניית החניון במימון  חברת אפריקה ישראל. </t>
    </r>
    <r>
      <rPr>
        <sz val="11"/>
        <rFont val="David"/>
        <family val="2"/>
      </rPr>
      <t>גנ"י: אומדן מימון מ. החינוך.</t>
    </r>
  </si>
  <si>
    <t xml:space="preserve">ב – 10.2.2014 אושר במליאת הכנסת חוק רשויות איתנות על פיו ניתנו לרשויות איתנות המתנהלות </t>
  </si>
  <si>
    <t xml:space="preserve">בהתאם לקריטריונים שנקבעו , הקלות מבחינת האסדרה של משרד הפנים , בין היתר בתחום התקציב. </t>
  </si>
  <si>
    <t>לתקופה של שנת תקציב.</t>
  </si>
  <si>
    <t xml:space="preserve">פיתוח ותשתיות, שיפוץ ובניה , בהיקף תקציבי נכבד המבוצעות במשך תקופה ארוכה ואינם מוגבלים </t>
  </si>
  <si>
    <t>עבודות הנגשה כולל מעלית ושיפוץ אולם והכשרת היתר הבניה לכל המבנה. ממתין להיתר.</t>
  </si>
  <si>
    <t>תוספת כיתות וחדרי ספח בקומת המסד בבי"ס ברנדיס. ממתין להיתר.</t>
  </si>
  <si>
    <t>התקנת מצלמות במרכזים קהילתיים שמשמשים את הנוער : בית פוסטר,יבור, נחלת עדה, נוף ים. בשיתוף עם אגף המיחשוב.מימון מ. לביטחון פנים.</t>
  </si>
  <si>
    <t>מימון מ. הפנים. ממתין לתקבול סופי.</t>
  </si>
  <si>
    <t>תוכנית הצטיידות למיחשוב כל מוס"ח ביחס של 1:5.החלפת מחשבים ניידים והשלמה למורים חדשים,החלפת מקרנים מעבדות, החלפת מחשבים מזכירויות, מקרנים גנ"י. תוכנית רב שנתית. מימון מפעל הפיס.</t>
  </si>
  <si>
    <t>יתרה לביצוע צפוי עד 31.12.2020</t>
  </si>
  <si>
    <t>אומדן לביצוע שנת 2021</t>
  </si>
  <si>
    <t>אומדן לביצוע שנת 2022 ואילך</t>
  </si>
  <si>
    <t>תקציב נוסף נדרש במסגרת תוכנית עבודה 2020</t>
  </si>
  <si>
    <t>תקציב נוסף נדרש מעבר לתוכנית עבודה 2020</t>
  </si>
  <si>
    <t>סה"כ תקציב נוסף נדרש 2020</t>
  </si>
  <si>
    <t>יתרת תקציב פנויה 31.12.2020</t>
  </si>
  <si>
    <t>תקציב נדרש 2021</t>
  </si>
  <si>
    <t>פינוי בינוי גורדון</t>
  </si>
  <si>
    <t>גנ"י מתחם זרובבל</t>
  </si>
  <si>
    <t>גנ"י דוד השמעוני</t>
  </si>
  <si>
    <t>ליווי פרויקטים פינוי בינוי</t>
  </si>
  <si>
    <t>תכנון שב"צ דן שומרון בי"ס על יסודי</t>
  </si>
  <si>
    <t>תוספת 6 כיתות לימוד בי"ס שז"ר</t>
  </si>
  <si>
    <t>כיתות גן 3 נוספות מגרש 302 גליל ים</t>
  </si>
  <si>
    <t>נגישות אקוסטית 2019 מ. החינוך</t>
  </si>
  <si>
    <t>חסכון, התיעלות אנרגטית מוסח/ציבור 2020</t>
  </si>
  <si>
    <t>התקנת חיבורים חיצוניים לגנרטורים מוסח/ציבור</t>
  </si>
  <si>
    <t>עב.הק מבני כיתות  חלופי איצטדי</t>
  </si>
  <si>
    <t>תוכ. אב רב שנתית שיפוצים מוס"ח</t>
  </si>
  <si>
    <t>תיכון היובל</t>
  </si>
  <si>
    <t>טיפול דחוף תקרת בטון מבנה סוקולוב 32</t>
  </si>
  <si>
    <t>שיקום חזית מבנה דיור לקשיש</t>
  </si>
  <si>
    <t>טיפול במפגעי בטיחות במצוק</t>
  </si>
  <si>
    <t>סה"כ החברה לפיתוח</t>
  </si>
  <si>
    <t>סה"כ אגף תבל</t>
  </si>
  <si>
    <t>סה"כ אגף שאיפה</t>
  </si>
  <si>
    <t>סה"כ אגף החינוך</t>
  </si>
  <si>
    <r>
      <t xml:space="preserve">מסמכי מדיניות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ותוכניות אסטרטגיות</t>
    </r>
    <r>
      <rPr>
        <sz val="11"/>
        <rFont val="David"/>
        <family val="2"/>
        <charset val="177"/>
      </rPr>
      <t xml:space="preserve"> להתחדשות עירונית בשכונות</t>
    </r>
    <r>
      <rPr>
        <b/>
        <sz val="11"/>
        <rFont val="David"/>
        <family val="2"/>
      </rPr>
      <t xml:space="preserve"> </t>
    </r>
  </si>
  <si>
    <r>
      <t xml:space="preserve">מעון לאנשים עם מוגבלויות - 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</si>
  <si>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 xml:space="preserve">תקציב </t>
  </si>
  <si>
    <t xml:space="preserve">מקורות מימון </t>
  </si>
  <si>
    <t>סה"כ תקציב נדרש</t>
  </si>
  <si>
    <t>מקורות מימון סה"כ מימוש תקציב עד 31.12.20</t>
  </si>
  <si>
    <t>יתרה פנויה לביצוע</t>
  </si>
  <si>
    <t>תקציב מקורי  שנת 2020</t>
  </si>
  <si>
    <t>תקציב שטרם הוזרם</t>
  </si>
  <si>
    <t>מסגרת תקציב שאושרה שנת 2020</t>
  </si>
  <si>
    <t xml:space="preserve"> ינואר</t>
  </si>
  <si>
    <t xml:space="preserve"> פברואר</t>
  </si>
  <si>
    <t xml:space="preserve"> מרץ</t>
  </si>
  <si>
    <t xml:space="preserve"> אפריל</t>
  </si>
  <si>
    <t>סה"כ תקציב שהוזרם</t>
  </si>
  <si>
    <t>תקציב נדרש מתקציב שטרם הוזרם</t>
  </si>
  <si>
    <t>תקציב נדרש מיתרה פנויה לביצוע</t>
  </si>
  <si>
    <t>נימוקי האגף</t>
  </si>
  <si>
    <t>תוספת תקציב נדרשת לביצוע</t>
  </si>
  <si>
    <t>תקציב פנוי לביצוע</t>
  </si>
  <si>
    <t>לביצוע עד 31.12.20</t>
  </si>
  <si>
    <t>2021 ואילך</t>
  </si>
  <si>
    <t>תקציב נדרש</t>
  </si>
  <si>
    <t>הקטנת יתרת תקציב  פנויה</t>
  </si>
  <si>
    <t>תוספת תקציב</t>
  </si>
  <si>
    <t>הערות האגף</t>
  </si>
  <si>
    <t>מאי 2020</t>
  </si>
  <si>
    <t>יוני 2020</t>
  </si>
  <si>
    <t>יולי 2020</t>
  </si>
  <si>
    <t>אוגוסט 2020</t>
  </si>
  <si>
    <t>סה"כ מימוש עד 30.9.20</t>
  </si>
  <si>
    <t>סה"כ מימוש עד 31.12.20</t>
  </si>
  <si>
    <t>סה"כ תקציב שמומש/ימומש עד 31.12.20</t>
  </si>
  <si>
    <t>עבור  יועץ נגישות , טיפול בבקשות נגישות פרטניות (טל) , הנגשת מוזיאון הרצליה ובית יד לבנים (מבנה שנמצא במעקב הנציבות, אומדן תב"ל) , השלמת עבודות נגישות בבית פוסטר , עבודות החב. לפיתוח</t>
  </si>
  <si>
    <t>עבור עבודות בטיחות המחויבים על פי חוק המחוייבים בביצוע מבחינת משרד התחבורה , יבודות החב. לפיתוח.</t>
  </si>
  <si>
    <r>
      <t xml:space="preserve">פרויקטים דחופים בצ"מ 2017/2018 </t>
    </r>
    <r>
      <rPr>
        <b/>
        <sz val="11"/>
        <rFont val="David"/>
        <family val="2"/>
      </rPr>
      <t>(*) נסגר 2020</t>
    </r>
  </si>
  <si>
    <t>עב' פיתוח דחופות בלתי צפויות, מימוני ביניים, לביצוע עפ"י החלטות הנהלת העיר. שנים 2018/2019. ממתין לחן סופי.</t>
  </si>
  <si>
    <t>רזרבה</t>
  </si>
  <si>
    <t>המשמעות התקציבית</t>
  </si>
  <si>
    <t>ההקטנות בוצעו</t>
  </si>
  <si>
    <t>31.5.20</t>
  </si>
  <si>
    <t>טרם בוצע</t>
  </si>
  <si>
    <t>התוספות בוצעו</t>
  </si>
  <si>
    <r>
      <t>תב"ע חוף הים</t>
    </r>
    <r>
      <rPr>
        <sz val="11"/>
        <color rgb="FFFF0000"/>
        <rFont val="David"/>
        <family val="2"/>
      </rPr>
      <t xml:space="preserve"> </t>
    </r>
  </si>
  <si>
    <r>
      <t xml:space="preserve">חוף דרומי-כניסה חוף,טיילת העוגן </t>
    </r>
    <r>
      <rPr>
        <b/>
        <sz val="11"/>
        <rFont val="David"/>
        <family val="2"/>
      </rPr>
      <t>(*) נסגר 2020</t>
    </r>
  </si>
  <si>
    <r>
      <t xml:space="preserve">פיתוח גן לאומי אפולוניה </t>
    </r>
    <r>
      <rPr>
        <b/>
        <sz val="11"/>
        <rFont val="David"/>
        <family val="2"/>
      </rPr>
      <t>(*) נסגר 2020</t>
    </r>
  </si>
  <si>
    <t>ת.ע. 2020</t>
  </si>
  <si>
    <t>פרטני 2020</t>
  </si>
  <si>
    <r>
      <t xml:space="preserve">שילוט 2016 </t>
    </r>
    <r>
      <rPr>
        <b/>
        <sz val="11"/>
        <rFont val="David"/>
        <family val="2"/>
      </rPr>
      <t>(*) נסגר 2020</t>
    </r>
  </si>
  <si>
    <r>
      <t xml:space="preserve">הסדרת החוף הנפרד </t>
    </r>
    <r>
      <rPr>
        <sz val="11"/>
        <rFont val="David"/>
        <family val="2"/>
      </rPr>
      <t>(מ. הפנים)</t>
    </r>
  </si>
  <si>
    <r>
      <t xml:space="preserve">כסאות לנכים 2017 </t>
    </r>
    <r>
      <rPr>
        <b/>
        <sz val="11"/>
        <rFont val="David"/>
        <family val="2"/>
      </rPr>
      <t>(*) נסגר 2020</t>
    </r>
  </si>
  <si>
    <r>
      <t xml:space="preserve">שילוט חופי רחצה 2017 </t>
    </r>
    <r>
      <rPr>
        <sz val="11"/>
        <rFont val="David"/>
        <family val="2"/>
      </rPr>
      <t>(</t>
    </r>
    <r>
      <rPr>
        <b/>
        <sz val="11"/>
        <rFont val="David"/>
        <family val="2"/>
      </rPr>
      <t>*) נסגר 2020</t>
    </r>
  </si>
  <si>
    <r>
      <t>אופנוע ים כולל זיווד 2018</t>
    </r>
    <r>
      <rPr>
        <sz val="11"/>
        <rFont val="David"/>
        <family val="2"/>
      </rPr>
      <t xml:space="preserve"> (מ. הפנים)</t>
    </r>
  </si>
  <si>
    <r>
      <t xml:space="preserve">ציוד הצלה ובטיחות 2018 </t>
    </r>
    <r>
      <rPr>
        <sz val="11"/>
        <rFont val="David"/>
        <family val="2"/>
      </rPr>
      <t>(מ. הפנים)</t>
    </r>
  </si>
  <si>
    <r>
      <t xml:space="preserve">ציוד הצלה ובטיחות 2019 </t>
    </r>
    <r>
      <rPr>
        <sz val="11"/>
        <rFont val="David"/>
        <family val="2"/>
      </rPr>
      <t>(מ. הפנים)</t>
    </r>
  </si>
  <si>
    <r>
      <t xml:space="preserve">אופנוע ים 2019 </t>
    </r>
    <r>
      <rPr>
        <sz val="11"/>
        <rFont val="David"/>
        <family val="2"/>
      </rPr>
      <t>(מ. הפנים)</t>
    </r>
  </si>
  <si>
    <r>
      <t xml:space="preserve">שימור רצועת החוף </t>
    </r>
    <r>
      <rPr>
        <b/>
        <sz val="11"/>
        <rFont val="David"/>
        <family val="2"/>
      </rPr>
      <t>(*) נסגר 2020</t>
    </r>
  </si>
  <si>
    <r>
      <t>שדרוג מערכת השקייה ממוחשבות (</t>
    </r>
    <r>
      <rPr>
        <sz val="11"/>
        <rFont val="David"/>
        <family val="2"/>
      </rPr>
      <t>חדשים</t>
    </r>
    <r>
      <rPr>
        <b/>
        <sz val="11"/>
        <rFont val="David"/>
        <family val="2"/>
        <charset val="177"/>
      </rPr>
      <t>) (*) נסגר 2020</t>
    </r>
  </si>
  <si>
    <t>לקראת סיום.</t>
  </si>
  <si>
    <t>מימון ביניים של העיריה. נדרש רק עבור פרויקטים שהחלו.</t>
  </si>
  <si>
    <t>עבור גינת פאו לון, קלישר ודרישות ההנהלה.</t>
  </si>
  <si>
    <t xml:space="preserve">הקמת גינות לכלבים </t>
  </si>
  <si>
    <t xml:space="preserve">עבור ביצוע גינת הכלבים בליל הגשרים בביצוע הח. לפיתוח. </t>
  </si>
  <si>
    <t>מעבר להמלצות הראשוניות.</t>
  </si>
  <si>
    <t>פרויקט עיר ללא פלסטיק בהוראת ראה"ע.</t>
  </si>
  <si>
    <t>לסגירה.</t>
  </si>
  <si>
    <r>
      <t xml:space="preserve">הטמעת עקרונות הקיימות בחינוך </t>
    </r>
    <r>
      <rPr>
        <sz val="11"/>
        <rFont val="David"/>
        <family val="2"/>
      </rPr>
      <t>(מ. הגנת הסביבה)</t>
    </r>
  </si>
  <si>
    <t>מיועד לחינוך סביבתי.</t>
  </si>
  <si>
    <t>מדובר בבטיחות.</t>
  </si>
  <si>
    <r>
      <t xml:space="preserve">הקמת גינות בי"ס קהילתיות </t>
    </r>
    <r>
      <rPr>
        <sz val="11"/>
        <rFont val="David"/>
        <family val="2"/>
      </rPr>
      <t>(קרן הועדה החקלאית)</t>
    </r>
  </si>
  <si>
    <t>מימון קרן הועדה החקלאית.</t>
  </si>
  <si>
    <r>
      <t xml:space="preserve">פרויקטים סביבתיים </t>
    </r>
    <r>
      <rPr>
        <sz val="11"/>
        <rFont val="David"/>
        <family val="2"/>
      </rPr>
      <t>(מ. הגנת הסביבה)</t>
    </r>
  </si>
  <si>
    <t>מימון מ. הגנת הסביבה.</t>
  </si>
  <si>
    <t>נדרש לרכישת מיכלי אצירה לשכונות בעיר.</t>
  </si>
  <si>
    <t>מיועד לטיפול שטחי מוס"ח לאחר שיפוץ.</t>
  </si>
  <si>
    <t>המתקן בספורטק אינו בטיחותי.</t>
  </si>
  <si>
    <t>תוספת. תב"ר חדש.</t>
  </si>
  <si>
    <t>הוזרם 2/2020</t>
  </si>
  <si>
    <t>ללא שינוי ביתרת התקציב.</t>
  </si>
  <si>
    <t>אין התייחסות</t>
  </si>
  <si>
    <r>
      <t xml:space="preserve">הקמה שיפוץ רצפות פרקט אולמות ספורט </t>
    </r>
    <r>
      <rPr>
        <sz val="11"/>
        <rFont val="David"/>
        <family val="2"/>
      </rPr>
      <t>(מ. הספורט)</t>
    </r>
  </si>
  <si>
    <r>
      <t xml:space="preserve">הנגשת כיתות ליקויי שמיעה </t>
    </r>
    <r>
      <rPr>
        <sz val="11"/>
        <rFont val="David"/>
        <family val="2"/>
      </rPr>
      <t>(מ.החינוך)</t>
    </r>
  </si>
  <si>
    <t>אם לא יבוצעו גנ"י פינסקר מנדלבליט הח. לפיתוח ניתן להוריד עוד 180 אלשח.</t>
  </si>
  <si>
    <r>
      <t xml:space="preserve">הצטידות חדשה בי"ס לב טוב </t>
    </r>
    <r>
      <rPr>
        <sz val="11"/>
        <rFont val="David"/>
        <family val="2"/>
      </rPr>
      <t>(מ. החינוך)</t>
    </r>
  </si>
  <si>
    <r>
      <t xml:space="preserve">נגישות אקוסטית בי"ס </t>
    </r>
    <r>
      <rPr>
        <sz val="11"/>
        <rFont val="David"/>
        <family val="2"/>
      </rPr>
      <t>(מ. החינוך)</t>
    </r>
  </si>
  <si>
    <r>
      <t xml:space="preserve">הצטיידות חדשה בי"ס יוחנני </t>
    </r>
    <r>
      <rPr>
        <sz val="11"/>
        <rFont val="David"/>
        <family val="2"/>
      </rPr>
      <t>(מ. החינוך)</t>
    </r>
  </si>
  <si>
    <r>
      <t>הצטידות גנ"י חדשים  גליל ים מגרש301/2</t>
    </r>
    <r>
      <rPr>
        <sz val="11"/>
        <rFont val="David"/>
        <family val="2"/>
      </rPr>
      <t xml:space="preserve"> (מ. החינוך)</t>
    </r>
  </si>
  <si>
    <t>תוספת . לא היה בהמלצות.</t>
  </si>
  <si>
    <r>
      <t>פרויקט לווינים - ישראל 70</t>
    </r>
    <r>
      <rPr>
        <sz val="11"/>
        <rFont val="David"/>
        <family val="2"/>
      </rPr>
      <t xml:space="preserve"> (מ. המדע)</t>
    </r>
  </si>
  <si>
    <t>תוספת . לא היה בהמלצות. תלוי בביצוע של הח. לפיתוח.</t>
  </si>
  <si>
    <r>
      <t xml:space="preserve">עיצוב מרחבי למידה מוס"ח </t>
    </r>
    <r>
      <rPr>
        <sz val="11"/>
        <rFont val="David"/>
        <family val="2"/>
      </rPr>
      <t>(מ.חינוך)</t>
    </r>
  </si>
  <si>
    <t>עבר לחברה הכלכלית לא? מקור מימון חיצוני מלא</t>
  </si>
  <si>
    <t>מרכיבי עלות</t>
  </si>
  <si>
    <r>
      <t xml:space="preserve">סוכם שלאחר שיבוצע תכנון ע"י יועץ יוחלט מה יבוצע, החוזה עם היועץ בסבב חתימות. </t>
    </r>
    <r>
      <rPr>
        <sz val="11"/>
        <color rgb="FFFF0000"/>
        <rFont val="David"/>
        <family val="2"/>
      </rPr>
      <t>יתרת תקציב ללא שינוי.</t>
    </r>
  </si>
  <si>
    <t>ע"פ ההמלצות - מוקפא אך נדרש לשלם ליועץ , במידה והתב"ר ישקל שנית לביצוע המכרז כבר כמעט מוכן</t>
  </si>
  <si>
    <t>לא צויין ברשימת פרוייקטים כי בתב"ר זה משתמשים קבוע להחלפת מזגנים והתקנת חדשים</t>
  </si>
  <si>
    <t>ממליצים להשאיר לצורכי רזרבה</t>
  </si>
  <si>
    <t>ע"פ תוכנית הצללות שהועברה בנפרד</t>
  </si>
  <si>
    <t>יש פרויקטים נוספים שהועברו לאישור הנהלה- גלי התכלת ופרוייקטים מול תאגיד המים.</t>
  </si>
  <si>
    <t>הועברה בקשה לאישור פרוייקט לניקוז  ושיקום מסלול הליכה</t>
  </si>
  <si>
    <r>
      <t xml:space="preserve">נגישות ליקויי שמיעה </t>
    </r>
    <r>
      <rPr>
        <sz val="11"/>
        <rFont val="David"/>
        <family val="2"/>
      </rPr>
      <t>(מ.החינוך)</t>
    </r>
  </si>
  <si>
    <r>
      <t>שיפוצי מוסדות חינוך שונים  (לב טוב ,גורדון)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(מ. החינוך)</t>
    </r>
  </si>
  <si>
    <t>נדרש לבצע עבודות ביוב , קרצוף וריבוד מסלול אספלט במקטעים שמהווים בעיית בטיחות. האגם יובש ונדרש לשקמו.</t>
  </si>
  <si>
    <t>בבדיקה נוספת  נדרש סכום זה לבטיחות לסיום הפרוייקט</t>
  </si>
  <si>
    <r>
      <t xml:space="preserve">לא הוגש בתוכנית המקורי אך מדובר בנושאי בטיחות ומומלץ </t>
    </r>
    <r>
      <rPr>
        <sz val="11"/>
        <color rgb="FFFF0000"/>
        <rFont val="David"/>
        <family val="2"/>
      </rPr>
      <t>לשקול שנית</t>
    </r>
  </si>
  <si>
    <r>
      <t xml:space="preserve">שיפוץ ותוספת בניה בי"ס בר אילן </t>
    </r>
    <r>
      <rPr>
        <sz val="11"/>
        <rFont val="David"/>
        <family val="2"/>
      </rPr>
      <t>(מ. החינוך)</t>
    </r>
  </si>
  <si>
    <r>
      <t xml:space="preserve">התקנת מעלית בי"ס שז"ר </t>
    </r>
    <r>
      <rPr>
        <sz val="11"/>
        <rFont val="David"/>
        <family val="2"/>
      </rPr>
      <t>(מ. החינוך)</t>
    </r>
  </si>
  <si>
    <r>
      <t xml:space="preserve">מע. תאורה LED ברחבי העיר </t>
    </r>
    <r>
      <rPr>
        <sz val="11"/>
        <rFont val="David"/>
        <family val="2"/>
      </rPr>
      <t>(מ. הכלכלה)</t>
    </r>
  </si>
  <si>
    <r>
      <t>פיר מעלית ומעלית בנין המועצה הדתית</t>
    </r>
    <r>
      <rPr>
        <b/>
        <sz val="11"/>
        <color rgb="FFFF0000"/>
        <rFont val="David"/>
        <family val="2"/>
        <charset val="177"/>
      </rPr>
      <t xml:space="preserve"> </t>
    </r>
    <r>
      <rPr>
        <sz val="11"/>
        <rFont val="David"/>
        <family val="2"/>
      </rPr>
      <t>(מ. הדתות)</t>
    </r>
  </si>
  <si>
    <t>השלמת העבודה תידרש ב - 2021.</t>
  </si>
  <si>
    <t>כולל אופק שזר ועבודות נגישות יתרה פנויה כ-700 אלף מול פרוייקטים מאושרים,  אלו פרוייקטים של מוס"ח</t>
  </si>
  <si>
    <t>כרגע אושר רק תכנון והיתר יש לקחת בחשבון כי במידה וניתן יהיה להתקדם נזדקק ליתרה</t>
  </si>
  <si>
    <r>
      <t xml:space="preserve">לא הוגש ברשימת המשימות אך </t>
    </r>
    <r>
      <rPr>
        <sz val="11"/>
        <color rgb="FFFF0000"/>
        <rFont val="David"/>
        <family val="2"/>
      </rPr>
      <t>נדרשת</t>
    </r>
    <r>
      <rPr>
        <sz val="11"/>
        <rFont val="David"/>
        <family val="2"/>
        <charset val="177"/>
      </rPr>
      <t xml:space="preserve"> </t>
    </r>
    <r>
      <rPr>
        <sz val="11"/>
        <color rgb="FFFF0000"/>
        <rFont val="David"/>
        <family val="2"/>
      </rPr>
      <t>הגדלה לסיום העבודה</t>
    </r>
  </si>
  <si>
    <t>עבור פיקוח ובצמ</t>
  </si>
  <si>
    <t>לא הומלץ להמשיך , המלצה לשקול שנית. סוף תכנון חסרות כיתות</t>
  </si>
  <si>
    <r>
      <t xml:space="preserve">נגישות אקוסטית מ.החינוך 2017 </t>
    </r>
    <r>
      <rPr>
        <sz val="11"/>
        <rFont val="David"/>
        <family val="2"/>
      </rPr>
      <t>(מ. החינוך)</t>
    </r>
  </si>
  <si>
    <t>לא הוגש ברשימת הפרויקטים אך מחוייב לבצע</t>
  </si>
  <si>
    <t>לא הופיע ברשימת הפרוייקטים המומלצים אך התקבל תקציב ממשרד הפנים  ע"ס 350 אלף</t>
  </si>
  <si>
    <t>לא הוגש ברשימת פרויקטים אך נדרש לסיום הפרויקט</t>
  </si>
  <si>
    <r>
      <t xml:space="preserve">קיים  מענק חיצוני יש לשקול 
</t>
    </r>
    <r>
      <rPr>
        <sz val="11"/>
        <color rgb="FFFF0000"/>
        <rFont val="David"/>
        <family val="2"/>
      </rPr>
      <t>מקור ק. עודפים. סכום 3.48 מלשח.</t>
    </r>
  </si>
  <si>
    <t xml:space="preserve">לא הוגש ברשימת הפרויקטים המאושרים  אך נדרש להחליף טרקטור ורכבים להחלטת הנהלה </t>
  </si>
  <si>
    <r>
      <t xml:space="preserve">נגישות אקוסטית 2019 </t>
    </r>
    <r>
      <rPr>
        <sz val="11"/>
        <rFont val="David"/>
        <family val="2"/>
      </rPr>
      <t>(מ. החינוך)</t>
    </r>
  </si>
  <si>
    <t>חסכון,התייע' אנרגטית מוסח/ציבור 2020</t>
  </si>
  <si>
    <r>
      <t xml:space="preserve">לא נכלל ברשימת הפרויקטים שהוגשו אך קיים מענק חיצוני יש לשקול הנושא. </t>
    </r>
    <r>
      <rPr>
        <sz val="11"/>
        <color rgb="FFFF0000"/>
        <rFont val="David"/>
        <family val="2"/>
      </rPr>
      <t>מקור  ק.עודפים. סכום  3.5 מלשח.</t>
    </r>
  </si>
  <si>
    <t>התקנת חיבורים חיצוניים לגנרטורים במוס"ח וציבור</t>
  </si>
  <si>
    <t>כיתות לימוד ומבני שרותים כולל פיתוח חלופי למבנים באיצטדיון העירוני. אושר 2/2020.</t>
  </si>
  <si>
    <t>לא הופיע ברשימת הפרויקטים  המומלצים אך יש לשקול שוב. 2.1 מלשח.</t>
  </si>
  <si>
    <t>הערכות במסגרת בניית תוכנית אב רב שנתית שיפוצים מוס"ח. אושר 2/2020.</t>
  </si>
  <si>
    <t xml:space="preserve">תיכון היובל </t>
  </si>
  <si>
    <t>בניית 3 כיתות (קרוואנים), מעבדות,תכנון תוספת כיתות. אושר 2/2020.</t>
  </si>
  <si>
    <t>חינוך?</t>
  </si>
  <si>
    <t>רחוב החושלים נמצא בביצוע</t>
  </si>
  <si>
    <t>בביצוע-סיום שלב נוכחי והמשך תכנון שלב הבא.</t>
  </si>
  <si>
    <t xml:space="preserve">בביצוע-עבודות פיתוח השצ"פ </t>
  </si>
  <si>
    <t xml:space="preserve">נדרש להמשך תכנון בגלל דרישת אביבה להטמנת קווי חח"י. </t>
  </si>
  <si>
    <t>מכרז מוכן. ככל שיהיה אישור הנהלה לביצוע נידרש ל -5 מיליון.</t>
  </si>
  <si>
    <t>עבודות בביצוע</t>
  </si>
  <si>
    <t>חן סופי</t>
  </si>
  <si>
    <t>בביצוע</t>
  </si>
  <si>
    <t>השלמת מסירות.תיקון ליקויים וחן סופי</t>
  </si>
  <si>
    <r>
      <t xml:space="preserve">באחריות אביבה.
 התקציב </t>
    </r>
    <r>
      <rPr>
        <sz val="11"/>
        <rFont val="David"/>
        <family val="2"/>
      </rPr>
      <t>מימון כ - 8 מלשח  מ. התחבורה.</t>
    </r>
  </si>
  <si>
    <r>
      <t xml:space="preserve">מועדון פטנג בספורטק </t>
    </r>
    <r>
      <rPr>
        <b/>
        <sz val="11"/>
        <rFont val="David"/>
        <family val="2"/>
      </rPr>
      <t>(*) נסגר 2020</t>
    </r>
  </si>
  <si>
    <t>הקמת מבנה מועדון במגרשי הפטנג.</t>
  </si>
  <si>
    <r>
      <t xml:space="preserve">בביצוע. </t>
    </r>
    <r>
      <rPr>
        <sz val="11"/>
        <color rgb="FFFF0000"/>
        <rFont val="David"/>
        <family val="2"/>
      </rPr>
      <t>הערת ארנה : טרם התקבלה התחייבות מ. הספורט.</t>
    </r>
  </si>
  <si>
    <r>
      <t xml:space="preserve">בניית מתנ"ס חדש בשכונה. </t>
    </r>
    <r>
      <rPr>
        <sz val="11"/>
        <rFont val="David"/>
        <family val="2"/>
      </rPr>
      <t/>
    </r>
  </si>
  <si>
    <t>מחכים להיתר לקראת ביצוע</t>
  </si>
  <si>
    <t>בביצוע שלב א'</t>
  </si>
  <si>
    <t>מימון רמ"י</t>
  </si>
  <si>
    <t>ביצוע תשתיות בחניונים</t>
  </si>
  <si>
    <r>
      <t xml:space="preserve">שיפוץ הספריה נורדאו </t>
    </r>
    <r>
      <rPr>
        <b/>
        <sz val="11"/>
        <rFont val="David"/>
        <family val="2"/>
      </rPr>
      <t>(*) נסגר 2020</t>
    </r>
  </si>
  <si>
    <t>הערה : נדרשת הגדלת אומדן פרויקט לסך של 54 מיליון ₪</t>
  </si>
  <si>
    <t>נגיד בביצוע-נדיב בתכנון</t>
  </si>
  <si>
    <t>הערה : תידרש הגדלת תב"ר לביצוע 6 גנים.  טרם ידוע.</t>
  </si>
  <si>
    <t>נדרש כסף לתכנון  - זה כבר לא אולם זה כמו הנדיב. יסוכם יום א בסטטוס מוס"ח</t>
  </si>
  <si>
    <t>ביצוע ע"פ החלטת בית משפט</t>
  </si>
  <si>
    <r>
      <t xml:space="preserve">מעון לאנשים עם מוגבלויות -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</si>
  <si>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>ליזמים יש כבר היתרים ודי מהר נדרש להיכנס לביצוע</t>
  </si>
  <si>
    <t>נדרשת הגדלת תקציב בסכום של 800 אלשח.</t>
  </si>
  <si>
    <t xml:space="preserve">שביל מתחם העצמאות הרב גורן הבנים </t>
  </si>
  <si>
    <t>נדרשת הגדלת תקציב בסכום של 1.1 מלשח.</t>
  </si>
  <si>
    <t>מימון מ. התחבורה.</t>
  </si>
  <si>
    <t>בוצעו התקשרויות לתכנון ראשוני</t>
  </si>
  <si>
    <r>
      <t>לבדיקה מול אגף חינוך האם נדרש התקציב.</t>
    </r>
    <r>
      <rPr>
        <sz val="11"/>
        <rFont val="David"/>
        <family val="2"/>
      </rPr>
      <t xml:space="preserve"> מימון מ. החינוך 300 אלשח.</t>
    </r>
  </si>
  <si>
    <t>נדרשת תוספת תקציב בסכום של  2.5 מיליון ₪ (סה"כ אומדן פרויקט של 6.5 מליון ₪).לא כולל את דרישות המנהלת/הורים להצללות נוספות. להחלטת הנהלה.</t>
  </si>
  <si>
    <t xml:space="preserve">בית ספר בן צבי </t>
  </si>
  <si>
    <t xml:space="preserve">גנ"י מתחם זרובבל </t>
  </si>
  <si>
    <t>תכנון גנ"י במתחם  זרובבל. בהתאם לתכנון יוחלט על מספר גנ"י.</t>
  </si>
  <si>
    <t>רוצים את הגנים ל-9/21 יידרש תקציב לביצוע(במהלך 2020)</t>
  </si>
  <si>
    <t xml:space="preserve">גנ"י דוד השמעוני </t>
  </si>
  <si>
    <t>תכנון גנ"י ברחוב השמעוני. בהתאם לתכנון יוחלט על מספר גנ"י.</t>
  </si>
  <si>
    <t xml:space="preserve">ליווי פרויקטים פינוי בינוי </t>
  </si>
  <si>
    <t>תוספת .התקבלה התחיבות רמ"י.</t>
  </si>
  <si>
    <t>לבדיקה מול אביבה(האם נדרש?)</t>
  </si>
  <si>
    <t>סה"כ  תקציב נדרש</t>
  </si>
  <si>
    <t>ניתן להקטין תקציב שטרם הוזרם ל-130 אשח</t>
  </si>
  <si>
    <t>ניתן להקטין יתרה</t>
  </si>
  <si>
    <t>לא לסגור תב"ר.יתרה תנוצל</t>
  </si>
  <si>
    <t>ניתן להקטין יתרה. רמ"י לא רוצים לממן כרגע</t>
  </si>
  <si>
    <t>ניתן להקטין תקציב שטרם הוזרם ל-200 אשח</t>
  </si>
  <si>
    <t>נדרש לטובת תכנון השלמת מדרכות בפרויקטים קיימים</t>
  </si>
  <si>
    <t>ניתן להקטין תקציב שטרם הוזרם ל-350 אשח</t>
  </si>
  <si>
    <t xml:space="preserve">ניתן להקטין תקציב שטרם הוזרם </t>
  </si>
  <si>
    <t>ניתן להקטין תקציב שטרם ל-300 אשח</t>
  </si>
  <si>
    <t>ניתן להקטין יתרה ל- 900 אשח</t>
  </si>
  <si>
    <t>ניתן להקטין תקציב שטרם הוזרם ב-3 משח</t>
  </si>
  <si>
    <t>לקראת סיום ביצוע</t>
  </si>
  <si>
    <r>
      <t xml:space="preserve">בדיקת התכנות טרם קביעת ותוך כדי בחינת מתחמי פינוי בינוי. </t>
    </r>
    <r>
      <rPr>
        <b/>
        <sz val="11"/>
        <color rgb="FFFF0000"/>
        <rFont val="David"/>
        <family val="2"/>
        <charset val="177"/>
      </rPr>
      <t>ראה תב"ר 1660.</t>
    </r>
  </si>
  <si>
    <t>ניתן להקטין תקציב שטרם הוזרם (0.4 משח) ויתרה ב-287 אשח</t>
  </si>
  <si>
    <r>
      <t xml:space="preserve">מסמכי מדיניות </t>
    </r>
    <r>
      <rPr>
        <b/>
        <sz val="11"/>
        <rFont val="David"/>
        <family val="2"/>
      </rPr>
      <t xml:space="preserve"> ו</t>
    </r>
    <r>
      <rPr>
        <sz val="11"/>
        <rFont val="David"/>
        <family val="2"/>
      </rPr>
      <t>תוכניות אסטרטגיות להתחדשות</t>
    </r>
    <r>
      <rPr>
        <sz val="11"/>
        <rFont val="David"/>
        <family val="2"/>
        <charset val="177"/>
      </rPr>
      <t xml:space="preserve"> עירונית בשכונות</t>
    </r>
    <r>
      <rPr>
        <b/>
        <sz val="11"/>
        <rFont val="David"/>
        <family val="2"/>
      </rPr>
      <t xml:space="preserve"> </t>
    </r>
  </si>
  <si>
    <t>ניתן להקטין תקציב שטרם הוזרם ב-300 אשח</t>
  </si>
  <si>
    <r>
      <t xml:space="preserve">תוכנית לצורך מידע מה וכמה ניתן לבנות  בהתאם לתשתיות הקיימות במרכז ותוכנית לבחינת הנדרש לאוכלוסיה בשכונות עפ"י תחזיות גידול האוכלוסיה. </t>
    </r>
    <r>
      <rPr>
        <b/>
        <sz val="11"/>
        <color rgb="FFFF0000"/>
        <rFont val="David"/>
        <family val="2"/>
        <charset val="177"/>
      </rPr>
      <t>ראה תב"ר 1756.</t>
    </r>
  </si>
  <si>
    <t>ניתן להקטין ולהעביר לתב"ר 1674</t>
  </si>
  <si>
    <t>לא נדרש 1,958--כנראה יבוטל</t>
  </si>
  <si>
    <t>ההיתרים בדרך</t>
  </si>
  <si>
    <t xml:space="preserve">ניתן להקטין יתרה </t>
  </si>
  <si>
    <r>
      <t xml:space="preserve">נדרש לטובת מדידה וביצוע מפה טופוגרפית. </t>
    </r>
    <r>
      <rPr>
        <b/>
        <sz val="9"/>
        <color rgb="FFFF0000"/>
        <rFont val="David"/>
        <family val="2"/>
      </rPr>
      <t>: תוספת לא תוקצבה במקור .</t>
    </r>
  </si>
  <si>
    <t>ניתן להקטין תקציב שטרם הוזרם ל-150 אשח</t>
  </si>
  <si>
    <t>תקצוב משה"ת</t>
  </si>
  <si>
    <t>תלוי במימוש תב"ע ארנה וחג'ג. לא ודאי</t>
  </si>
  <si>
    <t>פיצויים סעיף 197 תוכנית הר' 1839 עפ"י החלטת שמאי מכריע ובעקבות פס"ד.</t>
  </si>
  <si>
    <t>פינוי בינוי גורדון. אושר 2/2020.</t>
  </si>
  <si>
    <t>פינוי בינוי מימון מ. הבינוי.</t>
  </si>
  <si>
    <t>פרטני 2019</t>
  </si>
  <si>
    <t>תבר 1250</t>
  </si>
  <si>
    <t>התקציב הבלתי רגיל לשנת 2020 - ביצוע</t>
  </si>
  <si>
    <t>מימוש תקציב בלתי רגיל במסגרת תוכנית הפיתוח השנתית המעודכנת 2020</t>
  </si>
  <si>
    <t>התקציב הבלתי רגיל לשנת 2020</t>
  </si>
  <si>
    <t xml:space="preserve">הצעת התקציב הבלתי רגיל לשנת 2020  אושרה במועצת העיר בחודש נובמבר 2019 . </t>
  </si>
  <si>
    <r>
      <t xml:space="preserve">הצעת התקציב הבלתי רגיל לשנת 2020 הסתכמה בסכום של  </t>
    </r>
    <r>
      <rPr>
        <b/>
        <sz val="12"/>
        <color theme="1"/>
        <rFont val="David"/>
        <family val="2"/>
        <charset val="177"/>
      </rPr>
      <t>502,826 אלפי ₪ .</t>
    </r>
  </si>
  <si>
    <t>בעקבות משבר "הקורונה" הוגש תקציב פיתוח מעודכן שאושר במועצת העיר  בחודש מאי 2020.</t>
  </si>
  <si>
    <t xml:space="preserve">להלן נתוני ביצוע באלפי ₪ של התקציב הבלתי רגיל המעודכן לשנת 2020 : </t>
  </si>
  <si>
    <t>ביצוע כולל צפי עד 31.12.2020</t>
  </si>
  <si>
    <r>
      <t xml:space="preserve">במהלך ינואר - מרץ 2020 בוצעו תקציבים בסכום כולל של </t>
    </r>
    <r>
      <rPr>
        <b/>
        <sz val="12"/>
        <color theme="1"/>
        <rFont val="David"/>
        <family val="2"/>
      </rPr>
      <t>47,521</t>
    </r>
    <r>
      <rPr>
        <sz val="12"/>
        <color theme="1"/>
        <rFont val="David"/>
        <family val="2"/>
        <charset val="177"/>
      </rPr>
      <t xml:space="preserve"> אלפי ₪ המהווים  </t>
    </r>
    <r>
      <rPr>
        <b/>
        <sz val="12"/>
        <color theme="1"/>
        <rFont val="David"/>
        <family val="2"/>
      </rPr>
      <t>9.5%</t>
    </r>
    <r>
      <rPr>
        <sz val="12"/>
        <color theme="1"/>
        <rFont val="David"/>
        <family val="2"/>
        <charset val="177"/>
      </rPr>
      <t>.</t>
    </r>
  </si>
  <si>
    <t xml:space="preserve">סך התקציב הנדרש בשנת 2021 ע"י מינהל הנדסה מסתכם ב - </t>
  </si>
  <si>
    <t>פרויקטים עיקריים בשנת 2021 :</t>
  </si>
  <si>
    <t xml:space="preserve">סך התקציב הנדרש בשנת 2021 ע"י החברה לפיתוח הרצליה  מסתכם ב - </t>
  </si>
  <si>
    <t xml:space="preserve">סך התקציב הנדרש בשנת 2021 ע"י האגף  מסתכם ב - </t>
  </si>
  <si>
    <t xml:space="preserve">סך התקציב הנדרש בשנת 2021 ע"י היחידה מסתכם ב - </t>
  </si>
  <si>
    <t xml:space="preserve">סך התקציב הנדרש בשנת 2021 ע"י החברה לפיתוח התיירות מסתכם ב - </t>
  </si>
  <si>
    <t xml:space="preserve">סך התקציב הנדרש בשנת 2021 במינהל הכללי  מסתכם ב - </t>
  </si>
  <si>
    <t>תב"רים לאישור מועצה מעבר לתוכנית הפיתוח השנתית המעודכנת</t>
  </si>
  <si>
    <t>מימוש</t>
  </si>
  <si>
    <t>אומדן לביצוע  עד 31.12.20 מעודכן</t>
  </si>
  <si>
    <t>תקציב פנוי לביצוע 31.12.20</t>
  </si>
  <si>
    <t>תקציב מעודכן עד 31.12.20</t>
  </si>
  <si>
    <t xml:space="preserve">תקציב מעודכן שאושר עד 31.12.20 </t>
  </si>
  <si>
    <t xml:space="preserve">מימוש 6/2020 
 </t>
  </si>
  <si>
    <t xml:space="preserve">מימוש 7/2020 
 </t>
  </si>
  <si>
    <t xml:space="preserve">מימוש 8/2020 
 </t>
  </si>
  <si>
    <t xml:space="preserve">מימוש 9/2020 
 </t>
  </si>
  <si>
    <t>עדכון אומדן בלבד.</t>
  </si>
  <si>
    <t>שינוי מימון. עפ"י הנחיות משה"פ.</t>
  </si>
  <si>
    <t>5/31.5.20</t>
  </si>
  <si>
    <t>שינוי מימון. תקבול מ. התרבות והספורט.</t>
  </si>
  <si>
    <t>המשך עבודות מבנה קט רגל דשא סינטטי בספורטק.</t>
  </si>
  <si>
    <t>חדש. תכנון לתוספת 6 כיתות בי"ס שז"ר.</t>
  </si>
  <si>
    <t>כיתות גן (3) נוספות מגרש 302 גליל ים</t>
  </si>
  <si>
    <t>חדש. תכנון 3כיתות גן חדשות נוספות במגרש 302 גליל ים.</t>
  </si>
  <si>
    <t>הקטנת תקציב. מימון מ. התחבורה שלא יבוצע. פרויקט באחריות מינהל הנדסה וביצוע של הח. לפיתוח.</t>
  </si>
  <si>
    <t>תכנון וביצוע הקמת 4 כיתות גן במתחם זרובבל.</t>
  </si>
  <si>
    <t>תכנון וביצוע הקמת 7 כיתות גן במתחם השמעוני.</t>
  </si>
  <si>
    <t>תכנון ביצוע תוספת 3  כיתות גן במתחם גליל ים מגרש 302.</t>
  </si>
  <si>
    <t>תכנון ביצוע הקמת 6  כיתות גן במרכז ויצמן.</t>
  </si>
  <si>
    <t>הקדמת תקציב  מ - 2021. תוספת 6 כיתות כולל מיקלוט במתחם בי"ס נבון.</t>
  </si>
  <si>
    <t>הקדמת תקציב  מ - 2021. מימון גביית היטלי השבחה אזורים האחים עופר עפ"י הסכם .</t>
  </si>
  <si>
    <t>תוספת תקציב מימון רמ"י עבור תשתיות חיבור בר כוכבא.</t>
  </si>
  <si>
    <t>פארק גליל ים</t>
  </si>
  <si>
    <t>השלמת התחייבות רמ"י  במסגרת הסכם הגג.</t>
  </si>
  <si>
    <t>תוספת תקציב.שיפוץ קומה עליונה אגף כיתןות יב'.</t>
  </si>
  <si>
    <t>תוספת תקציב. המשך תכנון.</t>
  </si>
  <si>
    <t>טיפול דחוף בתקרת בטון במבנה מסוכן בסוקולוב 32.</t>
  </si>
  <si>
    <t xml:space="preserve">שינוי מימון. עדכון מקור מימון  במסגרת תקציב הפיתוח שנתי מעודכן 2020. </t>
  </si>
  <si>
    <t xml:space="preserve">שיקום חזית מבנה דיור לקשיש </t>
  </si>
  <si>
    <t>שיקום חזיתות בנין דיור לקשיש ברח' שמאי. ממון חלקי מקרן ייעודית.</t>
  </si>
  <si>
    <t>תוספת תקציב. עקב הצורך להקים מאגר מים וביצוע עבודות נוספות במסגרת הוצאת ההיתר ודרישות כיבוי אש.</t>
  </si>
  <si>
    <t>תוספת תקציב. נדרש תוך כדי ביצוע העבודה.</t>
  </si>
  <si>
    <t>הקמת בי"ס חלופי פארק הרצליה</t>
  </si>
  <si>
    <t>תכנון הקמת בי"ס חלופי בפארק.</t>
  </si>
  <si>
    <t>תוספת תקציב הצטיידות עקב בניית כיתות נוספות.</t>
  </si>
  <si>
    <t>תוספת תקציב הצטיידות עקב פתיחת כיתות נוספות.</t>
  </si>
  <si>
    <t>דחיית תקציב ל - 2021. לא נדרש.</t>
  </si>
  <si>
    <t>פרויקט לווינים - ישראל 70 (מ. המדע)</t>
  </si>
  <si>
    <t>הקטנת תקציב.לא נדרש. מימון משרד המדע.</t>
  </si>
  <si>
    <t>שיקום שדרוג הקמה ונגישות גינות ציבוריות</t>
  </si>
  <si>
    <t>תוספת. קרן ייעודית בעקבות הסכם פשרה תובענה ייצוגית.</t>
  </si>
  <si>
    <t xml:space="preserve">תב"ע חוף הים </t>
  </si>
  <si>
    <t>תוספת תקציב. המשך תכנון תב"ע חזית חוף הים.</t>
  </si>
  <si>
    <t>אגף מיחשוב</t>
  </si>
  <si>
    <t>הצטיידות מוס"ח ציוד מיחשוב היקפי</t>
  </si>
  <si>
    <t>סל הצטיידות מיחשוב היקפי לקידום למידה דיגיטלית ולמידה מרחוק בבי"ס.</t>
  </si>
  <si>
    <t>תוספת תקציב . סל הצטיידות מיחשוב היקפי לקידום למידה דיגיטלית ולמידה מרחוק בבי"ס.</t>
  </si>
  <si>
    <t>סה"כ אגף מיחשוב</t>
  </si>
  <si>
    <t>שינוי מימון. השתתפות מילגם בהכשרת מגרש חלופי עקב פינוי הקיים לצורך העבודות בפרויקט.</t>
  </si>
  <si>
    <t>שינוי מימון. תוספת מימון מ. החינוך. תקבול סופי.</t>
  </si>
  <si>
    <t>סה"כ צפי מימוש עד 31.12.20</t>
  </si>
  <si>
    <t>תקציב מעבר למסגרת תוכנית הפיתוח  המעודכנת כולל צפי עד 31.12.2020</t>
  </si>
  <si>
    <t>הצעת התקציב הבלתי רגיל לשנת 2021</t>
  </si>
  <si>
    <t>תקציב בלתי רגיל לשנת 2021 בהשקעה של</t>
  </si>
  <si>
    <t xml:space="preserve">לביצוע פרויקטים בשנת 2021 בסכום של  </t>
  </si>
  <si>
    <t xml:space="preserve">הפרויקטים הבולטים לשנת 2021 הינם :   </t>
  </si>
  <si>
    <t>שנת  2021</t>
  </si>
  <si>
    <t>חלוקת ההשקעה בתקציב  באלפי ₪ על פי מינהל/אגף/יחידה מפורטת להלן -</t>
  </si>
  <si>
    <t>שם מינהל/אגף/יחידה</t>
  </si>
  <si>
    <t>שנת 2021</t>
  </si>
  <si>
    <t>העברה מתקציב רגיל 2020</t>
  </si>
  <si>
    <t>לא להציג</t>
  </si>
  <si>
    <t>הקמה ושיפוץ רצפות פרקט: חידוש רצפה באולם תיכון חדש , חידוש רצפה אולם בנווה ישראל וחידוש רצפה בחדר מחול בלב טוב.</t>
  </si>
  <si>
    <t>המשך חידוש ציפוי מגרשי הספורט לפי התוכנית השנתית. בן גוריון, האשל, סמדר, 6 מגרשי טניס נווה עמל.</t>
  </si>
  <si>
    <t>המשך הצטיידות עפ"י התוכנית המקורית.</t>
  </si>
  <si>
    <t>הצטיידות כלי שייט עבור המרכז לחינוך וספורט ימי כולל החינוך המיוחד. ייסגר לאחר קבלת תקבול  מ. התרבות והספורט.</t>
  </si>
  <si>
    <t>מערכות הקרנה דיגיטליות, באמצעות מקרןdcp, במטרה לאפשר הקרנת סרטים בשיטה חדשנית שתגרום להרחבת היצע התכנים לקהל. התב"ר לסגירה.</t>
  </si>
  <si>
    <t>פינוי דיירים מוגנים גוש 6558 חלקה 151</t>
  </si>
  <si>
    <t>פינוי  2 דיירים מוגנים מרכז מסחרי כצלנסון גוש 6558 חלקה 151.</t>
  </si>
  <si>
    <t xml:space="preserve">סל לייעוץ ותכנון הנדסי. </t>
  </si>
  <si>
    <r>
      <t xml:space="preserve">התקנה שדרוג מזגנים </t>
    </r>
    <r>
      <rPr>
        <b/>
        <sz val="11"/>
        <rFont val="David"/>
        <family val="2"/>
        <charset val="177"/>
      </rPr>
      <t>במוס"ח</t>
    </r>
    <r>
      <rPr>
        <sz val="11"/>
        <rFont val="David"/>
        <family val="2"/>
        <charset val="177"/>
      </rPr>
      <t xml:space="preserve">  </t>
    </r>
    <r>
      <rPr>
        <strike/>
        <sz val="11"/>
        <rFont val="David"/>
        <family val="2"/>
        <charset val="177"/>
      </rPr>
      <t>במוסדות</t>
    </r>
    <r>
      <rPr>
        <sz val="11"/>
        <rFont val="David"/>
        <family val="2"/>
        <charset val="177"/>
      </rPr>
      <t xml:space="preserve"> ועיריה </t>
    </r>
    <r>
      <rPr>
        <b/>
        <sz val="11"/>
        <rFont val="David"/>
        <family val="2"/>
        <charset val="177"/>
      </rPr>
      <t>(*) עדכון שם</t>
    </r>
  </si>
  <si>
    <t>סל להחלפה ושדרוג מזגנים במוסדות חינוך ועירייה. איחוד עם תב"ר 1472.</t>
  </si>
  <si>
    <t>עבודות שונות בפארק כולל תוספת קווי ביוב,שיפוץ שרותים המשך עבודות חידוש מסלול.</t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</si>
  <si>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</t>
    </r>
  </si>
  <si>
    <r>
      <t>הצללות בי"ס וגנ"י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  <charset val="177"/>
      </rPr>
      <t xml:space="preserve">ומתנס"ים </t>
    </r>
  </si>
  <si>
    <t>הצללות קבועות מעל מגרשי ספורט  עפ"י תוכנית רב שנתית. 5 הצללות ב - 2021: היובל,זאב,וולפסון,בן צבי,יבור.</t>
  </si>
  <si>
    <t>משטחי בטיחות, מתקני חצר,גינון, דשא סינטטי.</t>
  </si>
  <si>
    <t>עב.הק מבני כיתות  חלופי איצטדיון</t>
  </si>
  <si>
    <t>כיתות לימוד ומבני שרותים כולל פיתוח חלופי למבנים באיצטדיון העירוני.</t>
  </si>
  <si>
    <t>בי"ס חלופי בפארק הרצליה</t>
  </si>
  <si>
    <t>השלמת תכנון וביצוע הקמת בי"ס חלופי בפארק.</t>
  </si>
  <si>
    <t>סל לשדרוג ריהוט בגני ילדים.התב"ר לסגירה.</t>
  </si>
  <si>
    <t>התקנת מעלית במימון חלקי של משרד החינוך.</t>
  </si>
  <si>
    <t>עבודות שיפוץ האולם כולל הצטיידות. לקראת סיום.</t>
  </si>
  <si>
    <t xml:space="preserve">מימון מ. החינוך. </t>
  </si>
  <si>
    <t>טיפול דחוף בתקרת בטון במבנה מסוכן בסוקולוב 32. לא נדרש. התב"ר לסגירה.</t>
  </si>
  <si>
    <t>בי"ס דמוקרטי- התאמת מבנה בחט"ב סמדר</t>
  </si>
  <si>
    <t>שדרוג חט"ב זאב</t>
  </si>
  <si>
    <t>עבודות שיפוצים וחזיתות מבנה ביה"ס בשטח של כ - 2,650 מ"ר, עבודות פיתוח ותשתיות מים וביוב. הקמת אולם הספורט החדש בביצוע החב. לפיתוח.</t>
  </si>
  <si>
    <t>הקמת מערכות pv מעל גגות מבני ציבור בהרצליה</t>
  </si>
  <si>
    <t>רישוי תחנת הדלק העירונית</t>
  </si>
  <si>
    <t>עלויות רישוי/היתר לתחנת הדלק העירונית במתחם אגף תבל.</t>
  </si>
  <si>
    <t>נגישות אקוסטית 2020 מ. החינוך</t>
  </si>
  <si>
    <t>נגישות אקוסטית גנ"י וכיתות בי"ס . מימון מ.החינוך.</t>
  </si>
  <si>
    <t>תוספות שינויים ושיפורים שדרוג מערכות הליבה החברה לאוטומציה וציוד חומרה. בהתאם לבקשות מעת לעת.</t>
  </si>
  <si>
    <t xml:space="preserve"> הקמת מערכת ניטור קולי התראות לפיקוח במסגרת עיר חכמה. הכל בשיתוף פעולה עם מרכז היזמות העירוני. פרויקט השקייה חכמה , מערכת לניהול פדגוגי בניהול אפליקציה ייעודית לגננות , ניהול דאטה בענן, מיזם לחיסכון אנרגיה.</t>
  </si>
  <si>
    <t xml:space="preserve">ציוד מחשוב היקפי ללמידה מרחוק </t>
  </si>
  <si>
    <t>שיקום ופיתוח המצודה הרומית בתל מיכל.</t>
  </si>
  <si>
    <t>תכנון להסדרת ייעודיי קרקע בטיילת החוף. קידום התב"ע בחלק של שדרוג תחנת השאיבה ודרכי הגישה אליה.</t>
  </si>
  <si>
    <t>שיקום מבנה החינוך הימי במרינה</t>
  </si>
  <si>
    <t>שיקום המבנה גג המבנה, שרותים ועבודות פיתוח.</t>
  </si>
  <si>
    <t xml:space="preserve">מסגרת עבודות של  פרויקטים תחבורתיים עפ"י החלטות ועדת תנועה ופניות הציבור : הסדרים בטיחותיים של צמתים , הסדרי חניה ותכנון תנועתי חדש. </t>
  </si>
  <si>
    <t xml:space="preserve">הצללת אזורים של מתקני משחקים לנוחות הציבור. נחקק חוק חדש שאושר בוועדת הפנים המחייב את הרשויות להקים הצללות בגני משחקים. </t>
  </si>
  <si>
    <t xml:space="preserve">עבודות במרחב הציבורי בשטחים ציבוריים בשכונות השונות ברחבי העיר כולל ריהוט רחוב עפ"י תוכנית עבודה שתאושר ע"י הנהלת העיר. </t>
  </si>
  <si>
    <t>התב"ר לסגירה.</t>
  </si>
  <si>
    <t xml:space="preserve">ביצוע סקר מקיף של כל העצים בעיר ע"י אגרונומים. זאת עפ"י דרישה מ. החקלאות עקב שינויי אקלים והזדקנות העצים במרחב הציבורי. </t>
  </si>
  <si>
    <t>פרויקטים סביבתתים לשיפור איכות הסביבה. מימון מלא מ. להגנת הסביבה.</t>
  </si>
  <si>
    <t>עבודות פיתוח השטח בין שכונת יד התשעה לקיר האקוסטי של כביש 531, כולל פיתוח השצ"פ. (שטח שהסתיימו בו עבודות הרכבת הקלה).</t>
  </si>
  <si>
    <t>ייסגר עם קבלת תקבולים מ. הגנת הסביבה.</t>
  </si>
  <si>
    <t>ביצוע עבודות לטיפול במפגעי בטיחות במצוק. מימון מ. הפנים.</t>
  </si>
  <si>
    <t>גן יניב - פיתוח והקמת מתקני כושר</t>
  </si>
  <si>
    <t>הקמת מתקני כושר ופיתוח בשטח הגבול בין גינת הכלבים וחיבור לגן הציבורי בשטח של 1.3 דונם.</t>
  </si>
  <si>
    <t xml:space="preserve">סל עבודות פיתוח גידור והיערכות לקראת פתיחת עונת הרחצה ובמהלכה. </t>
  </si>
  <si>
    <t>ציוד הצלה ובטיחות 2020</t>
  </si>
  <si>
    <t>מימון מ. הפנים.</t>
  </si>
  <si>
    <t>המשך הצטיידות אופק אחרי השיפוץ. לקראת סיום.</t>
  </si>
  <si>
    <t>עיצוב מרחבי למידה מוס"ח מ.חינוך</t>
  </si>
  <si>
    <t>מימון מ. החינוך.</t>
  </si>
  <si>
    <t>הצטיידות גנ"י ילדים גליל ים (מגרשים 303,302,404)</t>
  </si>
  <si>
    <t>הצטיידות בית ספר חלופי</t>
  </si>
  <si>
    <t>הצטיידות בי"ס דמוקרטי</t>
  </si>
  <si>
    <t>הצטיידות ריהוט ומיחשוב מבנה  בי"ס דמוקרטי בחט"ב סמדר.</t>
  </si>
  <si>
    <t xml:space="preserve">השלמת רח' משכית,  השלמת שצ"פים והשלמת תכנון רח' שנקר. </t>
  </si>
  <si>
    <t xml:space="preserve">עבודות השלמת שצ"פים וגינת כלבים. </t>
  </si>
  <si>
    <t xml:space="preserve">השלמת ביצוע דרום, ביצוע והשלמת תכנון פארק צפון. </t>
  </si>
  <si>
    <t>תוספת קומה והקמת חדרי פעילויות .</t>
  </si>
  <si>
    <t>המשך עבודות פיתוח שצ"פ בשכונת צמרות והשלמת עבודות ליד המשתלה.</t>
  </si>
  <si>
    <t>ביצוע פיתוח ותשתית במתחם "מרינה לי". התחלת ביצוע שלב ב'.</t>
  </si>
  <si>
    <t>השלמת תכנון עד להיתר לחניון אוטובוסים.</t>
  </si>
  <si>
    <t>המשך פיתוח רחוב צ.ה.ל .</t>
  </si>
  <si>
    <t>מתנ"ס קהילתי  בשטח של כ-4000 מ"ר הכולל גלריה מקומית, ספרייה חדשה,  חדרי חוגים, מועדון לגמלאים ובית קפה.</t>
  </si>
  <si>
    <t xml:space="preserve"> הקמת מבנה טניס חדש, קירוי 2 מגרשי טניס ופיתוח סביבתי לכל המתתחם.</t>
  </si>
  <si>
    <t xml:space="preserve">התקנת קירוי קשיח במגרשי ספורט 2020: דור, תיכון חדש. </t>
  </si>
  <si>
    <t xml:space="preserve">עבודות פיתוח כולל קו ניקוז רחוב שער הים. </t>
  </si>
  <si>
    <t>הסדרת הסמטה  המקשרת בין רח' אליעזר קפלן במזרח לרח' וינגייט  במערב.</t>
  </si>
  <si>
    <r>
      <rPr>
        <strike/>
        <sz val="11"/>
        <rFont val="David"/>
        <family val="2"/>
      </rPr>
      <t xml:space="preserve">תכנון </t>
    </r>
    <r>
      <rPr>
        <b/>
        <sz val="11"/>
        <rFont val="David"/>
        <family val="2"/>
      </rPr>
      <t>הקמת</t>
    </r>
    <r>
      <rPr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חניון מרינה לי </t>
    </r>
    <r>
      <rPr>
        <b/>
        <sz val="11"/>
        <rFont val="David"/>
        <family val="2"/>
      </rPr>
      <t xml:space="preserve">(*) עדכון שם </t>
    </r>
  </si>
  <si>
    <r>
      <t xml:space="preserve"> </t>
    </r>
    <r>
      <rPr>
        <b/>
        <sz val="11"/>
        <rFont val="David"/>
        <family val="2"/>
      </rPr>
      <t xml:space="preserve">מרכז מדעים וקהילה (*) עדכון שם </t>
    </r>
    <r>
      <rPr>
        <strike/>
        <sz val="11"/>
        <rFont val="David"/>
        <family val="2"/>
      </rPr>
      <t>(3) גנ"י מדעיים באלתרמן</t>
    </r>
  </si>
  <si>
    <r>
      <t>עבודות בניה ופיתוח מרכז מדעיים וקהילה באלתרמן.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מבנה 5 קומות ופיתוח.</t>
    </r>
  </si>
  <si>
    <r>
      <rPr>
        <strike/>
        <sz val="11"/>
        <rFont val="David"/>
        <family val="2"/>
      </rPr>
      <t>תכנון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הקמת</t>
    </r>
    <r>
      <rPr>
        <sz val="11"/>
        <rFont val="David"/>
        <family val="2"/>
        <charset val="177"/>
      </rPr>
      <t xml:space="preserve"> מתנ"ס רחוב המסילה </t>
    </r>
    <r>
      <rPr>
        <b/>
        <sz val="11"/>
        <rFont val="David"/>
        <family val="2"/>
      </rPr>
      <t>(*) עדכון שם</t>
    </r>
  </si>
  <si>
    <t>הקמת מתנ"ס ברחוב המסילה.</t>
  </si>
  <si>
    <r>
      <t>עבודות הקמת אולם ספורט בנגיד  כולל הריסת אולמות ומקלט קיימים.</t>
    </r>
    <r>
      <rPr>
        <b/>
        <sz val="11"/>
        <rFont val="David"/>
        <family val="2"/>
      </rPr>
      <t xml:space="preserve"> </t>
    </r>
  </si>
  <si>
    <t>פיתוח מתחם ומבנה משכן האומנים בגבעת הסופר.</t>
  </si>
  <si>
    <r>
      <rPr>
        <b/>
        <sz val="11"/>
        <rFont val="David"/>
        <family val="2"/>
      </rPr>
      <t xml:space="preserve">בי"ס </t>
    </r>
    <r>
      <rPr>
        <sz val="11"/>
        <rFont val="David"/>
        <family val="2"/>
        <charset val="177"/>
      </rPr>
      <t xml:space="preserve">ואולם ספורט ויצמן  </t>
    </r>
    <r>
      <rPr>
        <strike/>
        <sz val="11"/>
        <rFont val="David"/>
        <family val="2"/>
      </rPr>
      <t xml:space="preserve">תכנון וביצוע  </t>
    </r>
    <r>
      <rPr>
        <b/>
        <sz val="11"/>
        <rFont val="David"/>
        <family val="2"/>
      </rPr>
      <t>(*) עדכון שם</t>
    </r>
  </si>
  <si>
    <t xml:space="preserve">ביצוע שצ"פ בקטע רח' דליה רביקוביץ פינת אסתר רהב. </t>
  </si>
  <si>
    <r>
      <rPr>
        <b/>
        <sz val="11"/>
        <rFont val="David"/>
        <family val="2"/>
      </rPr>
      <t>בחינת התכנות</t>
    </r>
    <r>
      <rPr>
        <sz val="11"/>
        <rFont val="David"/>
        <family val="2"/>
        <charset val="177"/>
      </rPr>
      <t xml:space="preserve"> לגנ"י חדשים </t>
    </r>
    <r>
      <rPr>
        <b/>
        <sz val="11"/>
        <rFont val="David"/>
        <family val="2"/>
      </rPr>
      <t>במתחמים שונים. (*) עדכון שם</t>
    </r>
  </si>
  <si>
    <t xml:space="preserve">בדיקת התכנות לבניית גנ"י ב - 3 מתחמים שונים  מתחם אחד העם, הסתדרות, נוף ים .בהתאם לצרכים העירוניים מעת לעת. </t>
  </si>
  <si>
    <r>
      <rPr>
        <strike/>
        <sz val="11"/>
        <rFont val="David"/>
        <family val="2"/>
      </rPr>
      <t>חורשת האקליפטוסים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שצ"פים </t>
    </r>
    <r>
      <rPr>
        <sz val="11"/>
        <rFont val="David"/>
        <family val="2"/>
        <charset val="177"/>
      </rPr>
      <t>במתחם הר 1960</t>
    </r>
    <r>
      <rPr>
        <b/>
        <sz val="11"/>
        <rFont val="David"/>
        <family val="2"/>
      </rPr>
      <t xml:space="preserve"> (*) עדכון שם</t>
    </r>
  </si>
  <si>
    <t>המשך תכנון ראשוני הקמת ארנה באיזור האיצטדיון.</t>
  </si>
  <si>
    <t>ליווי פרויקטים של פינוי בינוי הכולל הכנת אומדנים ומפרטים ופיקוח על היתרים וביצוע בפועל.</t>
  </si>
  <si>
    <t xml:space="preserve">עבודות פיתוח. מימון רמ"י במסגרת הסכם "הגג". </t>
  </si>
  <si>
    <t>גשר מחבר בין הפארק לבין שבעת הכוכבים.</t>
  </si>
  <si>
    <t>מתחם בי"ס הנדיב</t>
  </si>
  <si>
    <t>בי"ס דמוקרטי</t>
  </si>
  <si>
    <t>אולם ספורט בי"ס יוחנני</t>
  </si>
  <si>
    <t xml:space="preserve">בניית אולם ספורט חדש במקום הקיים בבי"ס יוחנני. </t>
  </si>
  <si>
    <t>בי"ס נוף ים-תוספת 6 כיתות ומקלט</t>
  </si>
  <si>
    <t>חט"ב באלתרמן</t>
  </si>
  <si>
    <t>בית כנסת גליל ים</t>
  </si>
  <si>
    <t>מקווה גליל ים</t>
  </si>
  <si>
    <t>בית ספר ברנר (תוספת 6 כיתות)</t>
  </si>
  <si>
    <t>גנ"י (2) בסמטת סמדר</t>
  </si>
  <si>
    <r>
      <t xml:space="preserve">אומדן </t>
    </r>
    <r>
      <rPr>
        <b/>
        <sz val="11"/>
        <rFont val="David"/>
        <family val="2"/>
        <charset val="177"/>
      </rPr>
      <t>לשנת 2021</t>
    </r>
  </si>
  <si>
    <t>פיתוח  סופי ברח' זאב במתחם והתחברות כביש סלילה ליהודה הנשיא.</t>
  </si>
  <si>
    <t>ליווי תוכנית הקו הירוק , קו המטרו , מהיר לעיר ואחרים המבוצעים ע"י מ. התחבורה. יועצי תנועה, מפקחים, יועצי בטיחות.</t>
  </si>
  <si>
    <t>סל תכנון הכנת תב"עות לשימור אתרים. השלמת תנאים למתן תוקף.</t>
  </si>
  <si>
    <t>פיתוח סימטה שהפכה לדרך במסגרת תב"ע 2029 בנווה עמל. העבודות כוללות החלפת תשתיות תת קרקעיות,הריסת מבנה והתחברות לרח' כצלנסון.</t>
  </si>
  <si>
    <t xml:space="preserve">הכנת חוו"ד תכנונית והערכות להתנגדות לתוכנית שמקדם מינהל התכנון והועדה המחוזית לכל צפון הרצליה ללא שיתוף העירייה. </t>
  </si>
  <si>
    <t xml:space="preserve">תכנון פיתוח מתחם "ניצבא" כולל פיתוח רחוב העצמאות מבן גוריון עד קהילת ציון. </t>
  </si>
  <si>
    <t xml:space="preserve">תכנון תב"ע לשכונה חדשה בהרצליה הצעירה. שטח בגודל של כ - 50 דונם , כ - 300 יח"ד. </t>
  </si>
  <si>
    <t>ליווי ותכנון יועץ רמזורים לעדכון מערכת בקרת רמזורים ברחבי העיר עקב צמתים ורמזורים חדשים.</t>
  </si>
  <si>
    <t>פינוי בינוי גורדון. מימון מ. הבינוי.</t>
  </si>
  <si>
    <r>
      <t xml:space="preserve">פיתוח מתחם אולפני הרצליה תב"ע הר' 2180. תכנון. </t>
    </r>
    <r>
      <rPr>
        <b/>
        <sz val="11"/>
        <rFont val="David"/>
        <family val="2"/>
      </rPr>
      <t/>
    </r>
  </si>
  <si>
    <t xml:space="preserve">בדיקת התכנות והכנת תב"עות של מתחמים מפוצלים בין מס' בעלים באיזהת"ש החשובים מבחינה ציבורית. </t>
  </si>
  <si>
    <r>
      <t>השלמת ביצוע  עבודות סלילה ופיתוח סופי רח' דן שומרון. תכנון רח' דורי.</t>
    </r>
    <r>
      <rPr>
        <b/>
        <sz val="11"/>
        <rFont val="David"/>
        <family val="2"/>
      </rPr>
      <t xml:space="preserve"> </t>
    </r>
  </si>
  <si>
    <t>העצמת הזכויות הנוספות לבנינים לצורך הגברת הכדאיות של ביצוע חיזוק מבנים. בדיקת מבנים קיימים להיתכנות תמ"א והתאמת המדיניות בעיר לתמ"א החדשה שטרם סוכמה.</t>
  </si>
  <si>
    <t>תכנון מתחם צומת כדורי לפינוי ובינוי.התוכנית בשלב של הנעת התכנון לשלבים סטטוטוריים.מימון מ. הבינוי.</t>
  </si>
  <si>
    <t>שינוי תוכנית גליל ים א' ב' (=ט')</t>
  </si>
  <si>
    <t xml:space="preserve">שינוי לתוכנית הר' 1985 ב' עקב ריבוי יח"ד והצורך לספק שטחים ציבוריים בגינם. </t>
  </si>
  <si>
    <t xml:space="preserve">תכנון צומת הרב גורן מוהליבר עקב ריבוי תאונות דרכים עפ"י נתוני הרלב"ד. מימון מ. התחבורה. </t>
  </si>
  <si>
    <t>מיחשוב כלל התשתיות הקיימות במרחב הציבורי. ב - 2021 : מיפוי ואיסוף נתונים.</t>
  </si>
  <si>
    <t>צומת כצלנסון  - ירושלים</t>
  </si>
  <si>
    <t>ביצוע צומת כצלנסון ירושלים כולל הארכת הפניה שמאלה.  פרויקט בטיחותי.מימון מ. התחבורה.</t>
  </si>
  <si>
    <t>תכנון הסדרת צומת אשל- בזל</t>
  </si>
  <si>
    <t>תכנון צומת אשל בזל . פרויקט בטיחותי. מימון מ. התחבורה.</t>
  </si>
  <si>
    <t>עבודות ניקוז רחוב סוקולוב</t>
  </si>
  <si>
    <t>הפרדה בין מי נגר למערכת ביוב עירונית</t>
  </si>
  <si>
    <t>תוכנית תפעולית במסגרת "מהיר לעיר"</t>
  </si>
  <si>
    <t xml:space="preserve">עבודות ניקוז  רחוב רבינו תם </t>
  </si>
  <si>
    <t xml:space="preserve">תוכנית אב לביופילטרים ברחבי העיר   </t>
  </si>
  <si>
    <t xml:space="preserve">עבודות ניקוז   רחוב הרב גורן </t>
  </si>
  <si>
    <t>תכנון וביצוע ניקוז ברחוב הרב גורן בשיתוף עם תאגיד המים.</t>
  </si>
  <si>
    <t xml:space="preserve">עבודות ניקוז   רחוב רוחמה ושבטי ישראל </t>
  </si>
  <si>
    <t>תכנון וביצוע ניקוז ברחוב רוחמה ושבאי ישראל בשיתוף עם תאגיד המים.</t>
  </si>
  <si>
    <t>פיתוח דרך מזרחית מקבילה לקיבוץ גלויות</t>
  </si>
  <si>
    <t>פיתוח רחוב חדש המזרחי ביותר בנחלת עדה. בשנת 2021 : תכנון</t>
  </si>
  <si>
    <t>ליווי תוכניות ארציות</t>
  </si>
  <si>
    <t>פיתוח קיימות סביבה וחדשנות</t>
  </si>
  <si>
    <t>משרד הפנים</t>
  </si>
  <si>
    <r>
      <t xml:space="preserve">בניית 3 כיתות (קרוואנים), מעבדות,תכנון תוספת כיתות. </t>
    </r>
    <r>
      <rPr>
        <b/>
        <sz val="11"/>
        <rFont val="David"/>
        <family val="2"/>
      </rPr>
      <t/>
    </r>
  </si>
  <si>
    <t>הסרת גגות אסבסט ממבנים בעיר וסיוע לתושבים לאיסוף אסבסט בהיקפים קטנים. יהיה במסגרת תב"ר 1435.</t>
  </si>
  <si>
    <t>הקטנת תקציב. ייסגר עם קבלת תקבול  מ. להגנת הסביבה.</t>
  </si>
  <si>
    <r>
      <t xml:space="preserve">תכנון איזור תעשיה ושכונת מגורים במשולש התחבורה. מקודם בותמ"ל . </t>
    </r>
    <r>
      <rPr>
        <b/>
        <sz val="11"/>
        <rFont val="David"/>
        <family val="2"/>
      </rPr>
      <t xml:space="preserve"> </t>
    </r>
  </si>
  <si>
    <t xml:space="preserve">הגדלת קו הניקוז ברח' דוד המלך בקטע קרן היסוד - מדינת היהודים . </t>
  </si>
  <si>
    <t>הלוואות</t>
  </si>
  <si>
    <t>סל תכנון של תב"עות הנדרשות במהלך השנה כולל  תוכניות גגות מרתפים מבנים ציבוריים.</t>
  </si>
  <si>
    <t>סל תכנון של תוכניות ופרויקטים, מדידות ותכנון ראשוני כולל פיתוח רחבת העיריה ,אלתרמן.</t>
  </si>
  <si>
    <t xml:space="preserve">הכנת תוכנית מתאר כוללנית על מנת לאפשר לעיריה לתכנן תוכניות בסמכות וועדה מקומית. </t>
  </si>
  <si>
    <t>תב"ע בשיתוף מועצת כפר שמריהו לתכנון קישוריות שביל אופניים ופארק בתחום המסילה המתפנה ובחינת חיבור תחבורתי נוסף להרצליה ב'.</t>
  </si>
  <si>
    <t>עבודות לאיתור ליקויים עקב כמות עצומה של מי הנגר החודרים למערכת הביוב והגורמים להצפות ועבודות לתיקונם.</t>
  </si>
  <si>
    <t>שלב ב' של עבודות שיפוצים יסודיים הרחבות בקומת הקרקע, מטבח, חזיתות. עיכוב בהיתר.</t>
  </si>
  <si>
    <r>
      <t xml:space="preserve">בנית פיר מעלית חיצוני בעקבות ביקורת של יועץ נגישות וקושי הנדסי לבנות את הפיר בתוך המבנה. ממומן מ. הדתות. </t>
    </r>
    <r>
      <rPr>
        <sz val="11"/>
        <rFont val="David"/>
        <family val="2"/>
      </rPr>
      <t>ההיתר בשלבים מתקדמים.</t>
    </r>
  </si>
  <si>
    <t>הקמת מערכות סולאריות על גגות אולמות ספורט ומתנ"סים 14 במספר עפ"י רשימה. מימון הלוואות במסגרת מיזם  מאושר מפעל הפייס.</t>
  </si>
  <si>
    <t xml:space="preserve">הקמת מבנה תרבות כולל חדרי מחול וקונסבטוריון . ממתין לתקבול סופי מ.הפיס. </t>
  </si>
  <si>
    <t>הצטיידות חדשה: כיתות חדשות בעקבות גידול עפ"י צפי במס' תלמידים ופתיחת כיתות במקום החדש , שיפוץ כיתות קיימות בביצוע אגף תבל. סל מסגרת.</t>
  </si>
  <si>
    <t xml:space="preserve">תב"ר מסגרת. ב - 2020 בוצעו 3 גינות. לקראת 2021 בגיבוש תוכנית לאיתור שטחים להקמת גינות כלבים נוספות לאור בקשות תושבי העיר. </t>
  </si>
  <si>
    <t xml:space="preserve">עבודות שדרוג ושיקום ערוגות הגינון  לצידי הרחוב והכיכרות המרכזיות. מרחוב וינגייט ועד רח' הקונגרס שטח של כ- 2.6 דונם. </t>
  </si>
  <si>
    <t>התקנת תאורה בתחנות אוטובוס ברחבי העיר שהקים מ.התחבורה  וביצוע תשתיות לתחנות אוטובוס שיוצבו ע"י מ. התחבורה ב - 2021.</t>
  </si>
  <si>
    <t>תוכנית אב לשילוט של כל סוגי השילוט בעיר בשלב 1 הרצליה הירוקה ,החלפת שלטים לשלטים מחזירי אור ברחבי העיר .</t>
  </si>
  <si>
    <t xml:space="preserve">הצבת מתקני שתייה מקוררים כולל תשתיות ברחבי העיר לרווחת התושבים. </t>
  </si>
  <si>
    <t xml:space="preserve">ביצוע שצ"פים במתחם : מלכי יהודה (האקליפטוס), קורן,דן שומרון,דורי,משה שמיר. </t>
  </si>
  <si>
    <t xml:space="preserve">בדיקת היתכנות להקמת בי"ס. </t>
  </si>
  <si>
    <r>
      <t>הכנת מסמכי מדיניות להתחדשות עירונית בשכונות לגיבוש מדיניות לחידוש המרקם הקיים בשכונות. רח' הרב קוק  , רח' בן גוריון ,תוכנית הר/2213.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איחוד עם תב"ר 1759.</t>
    </r>
  </si>
  <si>
    <r>
      <t xml:space="preserve">העסקת צוות יועצים שילווה את התכנון והביצוע של הפרויקט. התב"ר לסגירה. </t>
    </r>
    <r>
      <rPr>
        <sz val="11"/>
        <rFont val="David"/>
        <family val="2"/>
      </rPr>
      <t>ראה תב"ר 1366.</t>
    </r>
  </si>
  <si>
    <r>
      <t>בדיקת התכנות של מתחמי פינוי בינוי ותכנון פרויקטים להתחדשות עירונית ופינוי בינוי.</t>
    </r>
    <r>
      <rPr>
        <sz val="11"/>
        <rFont val="David"/>
        <family val="2"/>
      </rPr>
      <t xml:space="preserve"> איחוד עם תב"ר 1674.</t>
    </r>
  </si>
  <si>
    <r>
      <t xml:space="preserve">בדיקת התכנות טרם קביעת ותוך כדי בחינת מתחמי פינוי בינוי. </t>
    </r>
    <r>
      <rPr>
        <sz val="11"/>
        <rFont val="David"/>
        <family val="2"/>
      </rPr>
      <t>ראה תב"ר 1660.</t>
    </r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</si>
  <si>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 </t>
    </r>
    <r>
      <rPr>
        <sz val="11"/>
        <rFont val="David"/>
        <family val="2"/>
      </rPr>
      <t/>
    </r>
  </si>
  <si>
    <t>ביצוע תשתיות רח' הנשיא מחיבורו לשער הים עד הצומת רח' הפועל התאנה כולל הטמנת רשת חשמל.</t>
  </si>
  <si>
    <t xml:space="preserve">העבודות:מבנים יבילים, טריבונות, ארונות שחקנים, עבודות בטיחות. </t>
  </si>
  <si>
    <t>הקמת קמפוס מדעים:בי"ס להנדסאים ותיכון חדש.</t>
  </si>
  <si>
    <t>הצטיידות ריהוט ומיחשוב 40 מרחבי למידה כולל 20  כיתות אם . מימון מ. הפיס.</t>
  </si>
  <si>
    <t xml:space="preserve">בניית מרחבי למידה  ב - 14 בי"ס . מימון מ. החינוך. </t>
  </si>
  <si>
    <r>
      <t xml:space="preserve">תוכנית לצורך מידע מה וכמה ניתן לבנות  בהתאם לתשתיות הקיימות במרכז ותוכנית לבחינת הנדרש לאוכלוסיה בשכונות עפ"י תחזיות גידול האוכלוסיה. </t>
    </r>
    <r>
      <rPr>
        <sz val="11"/>
        <rFont val="David"/>
        <family val="2"/>
      </rPr>
      <t xml:space="preserve">ראה תב"ר 1756. </t>
    </r>
  </si>
  <si>
    <t xml:space="preserve">העסקת צוות יועצים לתכנון התב"ע  לדיור בר השגה רח' בן ציון. </t>
  </si>
  <si>
    <t xml:space="preserve">הליך התנעה לתכנון מתחם לפינוי בינוי מול התחנה. </t>
  </si>
  <si>
    <t xml:space="preserve">הסדרת שבילי גישה רגלית וכניסת כלי רכב לחניות,שביל פינוי אשפה,פיתוח כולל גינון ותאורה.ב-2021 מתוכנן מרכז "מייקרים" בשיתוף אדריכלית השימור. </t>
  </si>
  <si>
    <t xml:space="preserve">הכנת תוכנית לניצול יעיל לשצ"פים ברחבי העיר לשימושי שבילי אופניים והתקנת מצללות. </t>
  </si>
  <si>
    <t xml:space="preserve">תכנון וביצוע ניקוז ברחוב סוקולוב בשיתוף עם תאגיד המים. </t>
  </si>
  <si>
    <t>תכנון וביצוע ניקוז ברחוב רבנו תם בשיתוף עם תאגיד המים.</t>
  </si>
  <si>
    <t xml:space="preserve">סל לשדרוג כבישים במקביל לעבודת תאגיד המים ומדרכות ברחבי העיר עפ"י תוכנית עבודה שתאושר ע"י הנהלת העיר. </t>
  </si>
  <si>
    <t>סל להקמת ושדרוג תשתיות כולל עמודי תאורה והתקנת גופי תאורה בטכנולוגיה מתקדמת עפ"י תוכנית רב שנתית. מימון מ. הכלכלה והתעשיה.</t>
  </si>
  <si>
    <t>סל עבודות שיפוצים שונות במוס"ח לרבות שיפוצים יסודיים והתאמת מבנים גנ"י.ראה תב"ר 2177.</t>
  </si>
  <si>
    <t xml:space="preserve">תוספת כיתות וחדרי ספח בקומת המסד בבי"ס ברנדיס. </t>
  </si>
  <si>
    <t xml:space="preserve">ספירת רכוש במוסדות חינוך ויחידות עירוניות וסימון הרכוש העירוני. </t>
  </si>
  <si>
    <t>עבודות מיזוג, חשמל, נגרות תקשורת  והצטיידות לחמ"ל האחורי. מימון מ. הפנים.</t>
  </si>
  <si>
    <t xml:space="preserve">שיקום חזיתות בנין דיור לקשיש ברח' שמאי. שלב א' חזית דרומית בביצוע. </t>
  </si>
  <si>
    <t>משרד נייד (רכב)  הכולל : מרכז תקשורת רב ערוצית ,תורן תקשורת טלסקופי,עמדת מחשב,קיר תדרוך,עזרים שונים , בלון תאורה להארה של זירת ארוע ,מיזוג אויר,תאורה,מרכז אנרגיה.</t>
  </si>
  <si>
    <r>
      <t>הצטיידות  גנים חדשים כולל  ח"מ במקביל לבניה לאיכלוס 9/2021 בין היתר 12 גנ"י ח"ר ו - 2 ח"מ: שמעוני, אבן עזרא, תמר ותאנה. פתיחת גנים במבנים קיימים 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</si>
  <si>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t xml:space="preserve">פרויקט החלפת ריהוט המותאם למאה ה - 21  בכל ביה"ס. תוכנית רב שנתית. </t>
  </si>
  <si>
    <r>
      <t>הצטיידות 20 גנ"י ח"ר וח"מ  במגרשים 303,302,404. במקביל לבנית גנ"י בביצוע של החב. לפיתוח</t>
    </r>
    <r>
      <rPr>
        <sz val="11"/>
        <rFont val="David"/>
        <family val="2"/>
      </rPr>
      <t>. מימון מ. החינוך.</t>
    </r>
  </si>
  <si>
    <t xml:space="preserve">גדר בגובה 4 מ' סביב מגרשי אימונים במתחם האצטדיון מול משרדי תבל . </t>
  </si>
  <si>
    <t>הקמת גינות קהילתיות בית ספריות. מימון קרן הועדה החקלאית.</t>
  </si>
  <si>
    <t xml:space="preserve">החלפת מתחם ישן ורעוע עשוי מלוחות עץ נרקבים שעומד שעומד לפני פסילת מכון התקנים. </t>
  </si>
  <si>
    <t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t>
  </si>
  <si>
    <t xml:space="preserve">עב' פיתוח דחופות בלתי צפויות, מימוני ביניים, שיתעוררו במהלך השנה ויבוצעו עפ"י החלטות הנהלת העיר. שנים 2021/2022. </t>
  </si>
  <si>
    <t xml:space="preserve">תוכנית פיתוח שנתית מעודכנת 2020 : מימוש - מינהל הנדסה </t>
  </si>
  <si>
    <t>תוכנית פיתוח שנתית מעודכנת 2020 : מימוש - החברה לפיתוח הרצליה</t>
  </si>
  <si>
    <r>
      <t xml:space="preserve">צומת הרב גורן מוהליבר - בטיחות </t>
    </r>
    <r>
      <rPr>
        <b/>
        <sz val="11"/>
        <rFont val="David"/>
        <family val="2"/>
      </rPr>
      <t>(*) עבר להנדסה</t>
    </r>
  </si>
  <si>
    <t>תוכנית פיתוח שנתית מעודכנת 2020 : מימוש - אגף ת.ב.ל</t>
  </si>
  <si>
    <t>עבודות הרחבת והכשרת חלקות נוספות מס' 3 , 5, בבית העלמין החדש. מימון תאגיד בית העלמין הרצליה.</t>
  </si>
  <si>
    <r>
      <t xml:space="preserve">בניית גנ"י בנווה עמל. חלקות בבעלות רמ"י. </t>
    </r>
    <r>
      <rPr>
        <sz val="11"/>
        <rFont val="David"/>
        <family val="2"/>
      </rPr>
      <t xml:space="preserve">נדחה עד הכרת מ. החינוך </t>
    </r>
    <r>
      <rPr>
        <sz val="11"/>
        <rFont val="David"/>
        <family val="2"/>
        <charset val="177"/>
      </rPr>
      <t>והסכם חכירה רמ"י.</t>
    </r>
  </si>
  <si>
    <t xml:space="preserve">תוספת מבנה של 24 כיתות   ואולם ספורט חדש בבי"ס ויצמן. ב - 2021: תכנון. </t>
  </si>
  <si>
    <t xml:space="preserve">הקמת מועדון טלויזיה קהילתית במרכז יום לקשיש בצמרות. </t>
  </si>
  <si>
    <t>פיתוח מתחם הרחובות אוצר הצמחים, אבן אודם, הראשונים.</t>
  </si>
  <si>
    <t xml:space="preserve">תכנון פיתוח הרחובות הר מירון בר כוכבא בעקבות אישור תוכנית התחדשות עירונית. </t>
  </si>
  <si>
    <t xml:space="preserve">מימון מ. התחבורה. </t>
  </si>
  <si>
    <t xml:space="preserve">גיבוש תוכנית פעולות לעבודות הגנה על מצוקי חופי הים . 2021: המשך תכנון. מימון מ. הפנים. </t>
  </si>
  <si>
    <t>תכנון ראשוני של פיתוח מתחם "בזק" בו ייבנה בניין משרדים שבין היתר יאוכלס אגף הרווחה.</t>
  </si>
  <si>
    <t>הריסת מבני ספח והקמת מבנה חדש.תכנון ראשוני בי"ס בן צבי. הרחבה ל - 24 כיתות.</t>
  </si>
  <si>
    <r>
      <t xml:space="preserve">תכנון וביצוע הקמת 4 כיתות גן במתחם זרובבל. </t>
    </r>
    <r>
      <rPr>
        <sz val="11"/>
        <rFont val="David"/>
        <family val="2"/>
      </rPr>
      <t>מימון מ. החינוך. לו"ז לאיכלוס 9/2021</t>
    </r>
    <r>
      <rPr>
        <b/>
        <sz val="11"/>
        <rFont val="David"/>
        <family val="2"/>
      </rPr>
      <t xml:space="preserve">. </t>
    </r>
  </si>
  <si>
    <r>
      <t>תכנון וביצוע הקמת 7 כיתות גן במתחם השמעוני.</t>
    </r>
    <r>
      <rPr>
        <b/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מימון מ. החינוך. לו"ז איכלוס 9/2021.</t>
    </r>
    <r>
      <rPr>
        <sz val="11"/>
        <color rgb="FFFF0000"/>
        <rFont val="David"/>
        <family val="2"/>
      </rPr>
      <t xml:space="preserve"> </t>
    </r>
  </si>
  <si>
    <t xml:space="preserve">הקמת תיכון 30 כיתות בשב"צ דן שומרון גוש 656 חל' 991. </t>
  </si>
  <si>
    <t xml:space="preserve">תכנון לתוספת 6 כיתות בי"ס שז"ר. </t>
  </si>
  <si>
    <r>
      <rPr>
        <sz val="11"/>
        <rFont val="David"/>
        <family val="2"/>
      </rPr>
      <t xml:space="preserve">תכנון וביצוע של תוספת כיתות ומעבדות בתיכון היובל. </t>
    </r>
    <r>
      <rPr>
        <b/>
        <sz val="11"/>
        <rFont val="David"/>
        <family val="2"/>
      </rPr>
      <t/>
    </r>
  </si>
  <si>
    <r>
      <rPr>
        <sz val="11"/>
        <rFont val="David"/>
        <family val="2"/>
      </rPr>
      <t xml:space="preserve">תכנון חט"ב חדשה באלתרמן. </t>
    </r>
    <r>
      <rPr>
        <b/>
        <sz val="11"/>
        <rFont val="David"/>
        <family val="2"/>
      </rPr>
      <t/>
    </r>
  </si>
  <si>
    <r>
      <t xml:space="preserve">בניית 3 כיתות גן לו"ז לאיכלוס 3/2022, בניית החניון במימון  חברת אפריקה ישראל. </t>
    </r>
    <r>
      <rPr>
        <sz val="11"/>
        <rFont val="David"/>
        <family val="2"/>
      </rPr>
      <t xml:space="preserve">גנ"י:  מימון מ. החינוך. </t>
    </r>
  </si>
  <si>
    <r>
      <t xml:space="preserve">בי"ס יסודי בשטח 304.ב - 2021: תכנון. </t>
    </r>
    <r>
      <rPr>
        <b/>
        <sz val="11"/>
        <rFont val="David"/>
        <family val="2"/>
      </rPr>
      <t/>
    </r>
  </si>
  <si>
    <r>
      <t xml:space="preserve">כיתות גן (3) נוספות מגרש 302 גליל ים. לו"ז לאיכלוס 9/2021. </t>
    </r>
    <r>
      <rPr>
        <sz val="11"/>
        <rFont val="David"/>
        <family val="2"/>
      </rPr>
      <t>מימון מ. החינוך.</t>
    </r>
  </si>
  <si>
    <r>
      <t xml:space="preserve">תב"ר 2011 : </t>
    </r>
    <r>
      <rPr>
        <sz val="12"/>
        <color theme="1"/>
        <rFont val="David"/>
        <family val="2"/>
      </rPr>
      <t>תכנון חניון מרינה לי</t>
    </r>
    <r>
      <rPr>
        <b/>
        <sz val="12"/>
        <color theme="1"/>
        <rFont val="David"/>
        <family val="2"/>
      </rPr>
      <t xml:space="preserve"> - הקמת</t>
    </r>
    <r>
      <rPr>
        <sz val="12"/>
        <color theme="1"/>
        <rFont val="David"/>
        <family val="2"/>
      </rPr>
      <t xml:space="preserve"> חניון מרינה לי.</t>
    </r>
  </si>
  <si>
    <t xml:space="preserve">עדכון שם תב"ר : מסומן (*) </t>
  </si>
  <si>
    <r>
      <t xml:space="preserve">תב"ר 2015 : </t>
    </r>
    <r>
      <rPr>
        <sz val="12"/>
        <color theme="1"/>
        <rFont val="David"/>
        <family val="2"/>
      </rPr>
      <t>3 גנ"י מדעיים באלתרמן</t>
    </r>
    <r>
      <rPr>
        <b/>
        <sz val="12"/>
        <color theme="1"/>
        <rFont val="David"/>
        <family val="2"/>
      </rPr>
      <t xml:space="preserve"> - מרכז מדעים וקהילה</t>
    </r>
    <r>
      <rPr>
        <sz val="12"/>
        <color theme="1"/>
        <rFont val="David"/>
        <family val="2"/>
      </rPr>
      <t>.</t>
    </r>
  </si>
  <si>
    <r>
      <t xml:space="preserve">תב"ר 2017 : </t>
    </r>
    <r>
      <rPr>
        <sz val="12"/>
        <color theme="1"/>
        <rFont val="David"/>
        <family val="2"/>
      </rPr>
      <t>תכנון מתנ"ס רח' המסילה</t>
    </r>
    <r>
      <rPr>
        <b/>
        <sz val="12"/>
        <color theme="1"/>
        <rFont val="David"/>
        <family val="2"/>
      </rPr>
      <t xml:space="preserve"> - הקמת</t>
    </r>
    <r>
      <rPr>
        <sz val="12"/>
        <color theme="1"/>
        <rFont val="David"/>
        <family val="2"/>
      </rPr>
      <t xml:space="preserve"> מתנ"ס רח' המסילה.</t>
    </r>
  </si>
  <si>
    <r>
      <t>תב"ר 2022 : הקמת אולם ספורט הנגיד הנדיב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>הקמת אולם ספורט</t>
    </r>
    <r>
      <rPr>
        <b/>
        <sz val="12"/>
        <color theme="1"/>
        <rFont val="David"/>
        <family val="2"/>
      </rPr>
      <t xml:space="preserve"> הנגיד</t>
    </r>
    <r>
      <rPr>
        <sz val="12"/>
        <color theme="1"/>
        <rFont val="David"/>
        <family val="2"/>
      </rPr>
      <t>.</t>
    </r>
  </si>
  <si>
    <r>
      <t>בניית 6 כיתות גנ"י במתחם ויצמן.</t>
    </r>
    <r>
      <rPr>
        <sz val="11"/>
        <rFont val="David"/>
        <family val="2"/>
      </rPr>
      <t xml:space="preserve"> לו"ז לאיכלוס 9/2021.</t>
    </r>
    <r>
      <rPr>
        <b/>
        <sz val="11"/>
        <rFont val="David"/>
        <family val="2"/>
      </rPr>
      <t xml:space="preserve"> </t>
    </r>
  </si>
  <si>
    <r>
      <t>תב"ר 2148 : מתקן חנייה עילי בספיר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מתקן חנייה עילי </t>
    </r>
    <r>
      <rPr>
        <b/>
        <sz val="12"/>
        <color theme="1"/>
        <rFont val="David"/>
        <family val="2"/>
      </rPr>
      <t>בחניון באיזהת"ש</t>
    </r>
    <r>
      <rPr>
        <sz val="12"/>
        <color theme="1"/>
        <rFont val="David"/>
        <family val="2"/>
      </rPr>
      <t>.</t>
    </r>
  </si>
  <si>
    <r>
      <t xml:space="preserve">תב"ר 2149 : </t>
    </r>
    <r>
      <rPr>
        <sz val="12"/>
        <color theme="1"/>
        <rFont val="David"/>
        <family val="2"/>
      </rPr>
      <t>גנ"י חדשים</t>
    </r>
    <r>
      <rPr>
        <b/>
        <sz val="12"/>
        <color theme="1"/>
        <rFont val="David"/>
        <family val="2"/>
      </rPr>
      <t xml:space="preserve"> - בחינת היתכנות </t>
    </r>
    <r>
      <rPr>
        <sz val="12"/>
        <color theme="1"/>
        <rFont val="David"/>
        <family val="2"/>
      </rPr>
      <t>לגנ"י חדשים</t>
    </r>
    <r>
      <rPr>
        <b/>
        <sz val="12"/>
        <color theme="1"/>
        <rFont val="David"/>
        <family val="2"/>
      </rPr>
      <t xml:space="preserve"> במתחמים שונים.</t>
    </r>
  </si>
  <si>
    <r>
      <t xml:space="preserve">תב"ר 2150 : </t>
    </r>
    <r>
      <rPr>
        <sz val="12"/>
        <color theme="1"/>
        <rFont val="David"/>
        <family val="2"/>
      </rPr>
      <t>חורשת האקליפטוסים במתחם הר' 1960</t>
    </r>
    <r>
      <rPr>
        <b/>
        <sz val="12"/>
        <color theme="1"/>
        <rFont val="David"/>
        <family val="2"/>
      </rPr>
      <t xml:space="preserve"> - שצ"פים </t>
    </r>
    <r>
      <rPr>
        <sz val="12"/>
        <color theme="1"/>
        <rFont val="David"/>
        <family val="2"/>
      </rPr>
      <t>במתחם הר' 1960.</t>
    </r>
  </si>
  <si>
    <t>מערכת כבישים באיזור תעשיה מערבי</t>
  </si>
  <si>
    <t>מרכז מדעים וקהילה</t>
  </si>
  <si>
    <t>סה"כ פרק 73</t>
  </si>
  <si>
    <t>סה"כ פרק 74</t>
  </si>
  <si>
    <t>סה"כ פרק 76</t>
  </si>
  <si>
    <t>סה"כ פרק 747</t>
  </si>
  <si>
    <t>סה"כ פרק 749</t>
  </si>
  <si>
    <t>סה"כ פרק 760</t>
  </si>
  <si>
    <t>סה"כ פרק 81</t>
  </si>
  <si>
    <t>סה"כ פרק 82</t>
  </si>
  <si>
    <t>סה"כ פרק 84</t>
  </si>
  <si>
    <t>סה"כ פרק 85</t>
  </si>
  <si>
    <t>סה"כ פרק 87</t>
  </si>
  <si>
    <t>סה"כ פרק 93</t>
  </si>
  <si>
    <t xml:space="preserve">הקמת מערכות pv מעל גגות מבני ציבור </t>
  </si>
  <si>
    <r>
      <t xml:space="preserve">תב"ר 1415 : </t>
    </r>
    <r>
      <rPr>
        <sz val="12"/>
        <color theme="1"/>
        <rFont val="David"/>
        <family val="2"/>
      </rPr>
      <t>התקנה שדרוג מזגנים במוסדות עיריה</t>
    </r>
    <r>
      <rPr>
        <b/>
        <sz val="12"/>
        <color theme="1"/>
        <rFont val="David"/>
        <family val="2"/>
      </rPr>
      <t xml:space="preserve">- </t>
    </r>
    <r>
      <rPr>
        <sz val="12"/>
        <color theme="1"/>
        <rFont val="David"/>
        <family val="2"/>
      </rPr>
      <t>התקנה ושדרוג מזגנים</t>
    </r>
    <r>
      <rPr>
        <b/>
        <sz val="12"/>
        <color theme="1"/>
        <rFont val="David"/>
        <family val="2"/>
      </rPr>
      <t xml:space="preserve"> במוס"ח </t>
    </r>
    <r>
      <rPr>
        <sz val="12"/>
        <color theme="1"/>
        <rFont val="David"/>
        <family val="2"/>
      </rPr>
      <t>ועיריה.</t>
    </r>
  </si>
  <si>
    <r>
      <t xml:space="preserve">תוכ. אב רב שנתית שיפוצים מוס"ח </t>
    </r>
    <r>
      <rPr>
        <b/>
        <sz val="11"/>
        <rFont val="David"/>
        <family val="2"/>
      </rPr>
      <t>(*) עדכון שם 2021  ואילך.</t>
    </r>
  </si>
  <si>
    <r>
      <t xml:space="preserve">תב"ר 2177 : </t>
    </r>
    <r>
      <rPr>
        <sz val="12"/>
        <color theme="1"/>
        <rFont val="David"/>
        <family val="2"/>
      </rPr>
      <t>תוכנית אב רב שנתית שיפוצים מוס"ח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>תוכנית אב רב שנתית שיפוצים מוס"ח</t>
    </r>
    <r>
      <rPr>
        <b/>
        <sz val="12"/>
        <color theme="1"/>
        <rFont val="David"/>
        <family val="2"/>
      </rPr>
      <t xml:space="preserve"> 2021 ואילך.</t>
    </r>
  </si>
  <si>
    <t>פרויקט : ביה"ס הנדסאים – בניית מעבדת רובוטיקה</t>
  </si>
  <si>
    <t>סה"כ פרק 61</t>
  </si>
  <si>
    <t>סה"כ פרק 72</t>
  </si>
  <si>
    <t>בשנת 2021 האגף ימשיך בשדרוג המקלטים הציבוריים מיתרת התקציב הפנויה ליום 31.12.2020</t>
  </si>
  <si>
    <t xml:space="preserve">התקציב מיועד לשיפוץ מבני תרבות ונוער כולל מועדון הנוער הכוכב השמיני , עבודות התאמה </t>
  </si>
  <si>
    <t>לתקן מגרשי ספורט, הקמה ושיפוץ רצפות פרקט באולמות הספורט.</t>
  </si>
  <si>
    <t>סככות הצללה בגני משחקים ,  שדרוג וטיפול המרחב הציבורי ,</t>
  </si>
  <si>
    <t>הסדרה נופית של דרכים ושל שטחי מוס"ח, שילוט ברחבי העיר.</t>
  </si>
  <si>
    <t>גינת פאן לון - שדרוג הגן גינון והשקייה</t>
  </si>
  <si>
    <t>סה"כ פרק 848</t>
  </si>
  <si>
    <t>תכנון תב"עות  -  חוף הים , טיילת החוף, מרינה ,כיכר דה שליט.</t>
  </si>
  <si>
    <t>בי"ס רעות - פיר מעלית</t>
  </si>
  <si>
    <t>סה"כ פרק 99</t>
  </si>
  <si>
    <t>תקציב נוסף נדרש במסגרת תוכנית עבודה2020</t>
  </si>
  <si>
    <t>תקציב נוסף נדרש מעבר לתוכנית עבודה2020</t>
  </si>
  <si>
    <t>סה"כ פרק 765</t>
  </si>
  <si>
    <t>הקמת חניון "מרינה לי".</t>
  </si>
  <si>
    <t xml:space="preserve">בנוסף, תקציב מינהל הנדסה כולל פרויקטים של עבודות ניקוז ברחבי העיר , תכנון תב"עות </t>
  </si>
  <si>
    <t xml:space="preserve">ובדיקות קיימות וחדשנות בהיבטים התכנוניים של העיר.  </t>
  </si>
  <si>
    <t>תכנון וביצוע שבילי אופנים ברחבי העיר .  תכנון וביצוע: אלטנוילנד , ז'בוטינסקי , העצמאות , הדר. מימון מ. הפיס.</t>
  </si>
  <si>
    <t>סל העתקות אור של תוכניות הפרויקטים השונים.</t>
  </si>
  <si>
    <t xml:space="preserve">תוכנית מתארית ומפורטת חלקית לאורך רחוב המנהרה ועד פארק הואדי. התוכנית כוללת מתחם לשימור. יש עתירה לבימ"ש של בעלי קרקע פרטיים. </t>
  </si>
  <si>
    <t xml:space="preserve">עלויות לצורך מתן מענה לדיון במשרד הפנים עקב אישורה של תוכנית תמ"ל מס' 1068. </t>
  </si>
  <si>
    <r>
      <t xml:space="preserve">הארכת דרך ירושלים  מרחוב סוקולוב עד ליפקין שחק כולל דרך ושביל אופניים , פיתוח רחוב יבנה והנגב . </t>
    </r>
    <r>
      <rPr>
        <sz val="11"/>
        <rFont val="David"/>
        <family val="2"/>
      </rPr>
      <t>תכנון.</t>
    </r>
    <r>
      <rPr>
        <b/>
        <sz val="11"/>
        <rFont val="David"/>
        <family val="2"/>
      </rPr>
      <t xml:space="preserve"> </t>
    </r>
  </si>
  <si>
    <t>ביצוע סקר חריגות בנייה עפ"י תיקון לחוק הרשויות.</t>
  </si>
  <si>
    <t xml:space="preserve"> ביצוע צווים שיפוטיים וביצוע הריסות במקרים בהם לא בוצעו, ככל שיידרש בהמשך לסקר חריגות הבניה.</t>
  </si>
  <si>
    <t xml:space="preserve">ליווי אדריכלי  לתוכנית בחינת הקשר השביל הירוק המטרופולוני לאורך אבא אבן תל מיכל והמרחב הציבורי במרינה לחיזוק הקישוריות העיר למרינה ולחוף . </t>
  </si>
  <si>
    <t>הקמת תחנות אוטובוס , תחנות קצה ותשתיות בהתאם לצורך, במסגרת התוכנית התפעולית של "מהיר לעיר".</t>
  </si>
  <si>
    <t>הכנת תוכנית אב לביופילטרים ברחבי העיר והקמת 2 ביופילטרים. מתקנים לסינון מים מזוהמים ומניעת בזבוז מי נגר עירוני .</t>
  </si>
  <si>
    <t>ליווי של יועצים ,מתכננים , אגרונום למגוון תוכניות ארציות (תמ"א,תמ"ל)</t>
  </si>
  <si>
    <t xml:space="preserve">יועצי סביבה וקיימות בהיבטים תכנוניים. גיבוש מדיניות של תכנון מיטבי של שטחי החוץ בבי"ס. </t>
  </si>
  <si>
    <r>
      <t xml:space="preserve">הקמת אולם ספורט הנגיד </t>
    </r>
    <r>
      <rPr>
        <b/>
        <sz val="11"/>
        <rFont val="David"/>
        <family val="2"/>
      </rPr>
      <t>(*) עדכון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שם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>הנדיב</t>
    </r>
  </si>
  <si>
    <r>
      <t xml:space="preserve">מתקן חניה עילי  </t>
    </r>
    <r>
      <rPr>
        <b/>
        <sz val="11"/>
        <rFont val="David"/>
        <family val="2"/>
      </rPr>
      <t>בחניון באיזהת"ש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 xml:space="preserve">בספיר </t>
    </r>
    <r>
      <rPr>
        <b/>
        <sz val="11"/>
        <rFont val="David"/>
        <family val="2"/>
      </rPr>
      <t>(*) עדכון שם</t>
    </r>
  </si>
  <si>
    <t>שצ"פים במתחם הר' 1960</t>
  </si>
  <si>
    <t>בנין העיריה החדש.  שידרוג קומה 3 ו 4 מינהל הנדסה.</t>
  </si>
  <si>
    <t>תכנון מבנה מעונות לסטודנטים ברח' בן שפרוט.</t>
  </si>
  <si>
    <t xml:space="preserve">בניית אולם ספורט חדש בחטיבה. </t>
  </si>
  <si>
    <t>תכנון במסגרת שינוי תב"ע חניונים הר' 1900. חניונים: משכית (תכנון מפורט), גלגלי הפלדה.</t>
  </si>
  <si>
    <t>פיתוח שצ"פ בגבעת הפרחים כולל הנגשה. ח-ן סופיים.</t>
  </si>
  <si>
    <t>הקמת מע.השכרת אופניים ברחבי העיר ובאיזור התעסוקה, חלק מתוכנית אב להפחתת פליטות גזי חממה. מימון מ.להגנת הסביבה.</t>
  </si>
  <si>
    <t xml:space="preserve">הקמת החניון מתחת לשצ"פ במתחם המרינה לי. </t>
  </si>
  <si>
    <t xml:space="preserve">בניית גן ילדים במתחם זרובבל. ח-ן סופיים. </t>
  </si>
  <si>
    <t xml:space="preserve">בניית גנ"י - גן רשל ובב"ס אילנות. ח-ן סופיים. </t>
  </si>
  <si>
    <t>מסגרת עבודות של החלפת עמודי מחסום באיזור התעשיה. ח-ן סופיים.</t>
  </si>
  <si>
    <t>עבודות הכשרת החוף הנפרד, מעברים ושיפוץ כולל גשר מעבר. ח-ן סופיים.</t>
  </si>
  <si>
    <r>
      <t xml:space="preserve">תכנון פיתוח רחוב הפרטיזנים. </t>
    </r>
    <r>
      <rPr>
        <sz val="11"/>
        <rFont val="David"/>
        <family val="2"/>
      </rPr>
      <t xml:space="preserve">מדרכה מזרחית/דרומית, עבודות ניקוז. </t>
    </r>
  </si>
  <si>
    <t xml:space="preserve">עיצוב חצר לימודית בי"ס גורדון. מימון חלקי מ. החינוך. </t>
  </si>
  <si>
    <t xml:space="preserve">הקמת מתקן חניה עילי באחד מחניוני אזהת"ש. </t>
  </si>
  <si>
    <t xml:space="preserve">הריסת מבנים קיימים ובניה מתחם חדש:בי"ס יסודי 24 כיתות, 4 כיתות ח"מ, אולם ספורט, מגרש ספורט מוצלל, 2 כיתות גנ"י. </t>
  </si>
  <si>
    <t xml:space="preserve">בדיקת היתכנות להרחבה ל - 18 כיתות.  </t>
  </si>
  <si>
    <t>תכנון ביכנ"ס במתחם גליל ים.</t>
  </si>
  <si>
    <t>תכנון מקווה במתחם גליל ים.</t>
  </si>
  <si>
    <r>
      <rPr>
        <sz val="11"/>
        <rFont val="David"/>
        <family val="2"/>
      </rPr>
      <t>תכנון תוספת 6 כיתות בי"ס ברנר.</t>
    </r>
    <r>
      <rPr>
        <b/>
        <sz val="11"/>
        <color rgb="FFFF0000"/>
        <rFont val="David"/>
        <family val="2"/>
      </rPr>
      <t xml:space="preserve"> </t>
    </r>
  </si>
  <si>
    <t>תכנון 2 כיתות גן.</t>
  </si>
  <si>
    <t>תוכנית אב רב נתית שיפוצים מוס"ח 2021 ואילך</t>
  </si>
  <si>
    <t>חסכון והתיעלות אנרגטית מוס"ח וציבור 2020</t>
  </si>
  <si>
    <t xml:space="preserve">סל להחלפה ושדרוג מזגנים במוסדות חינוך. התב"ר לסגירה. ראה תב"ר 1415. </t>
  </si>
  <si>
    <t>עבודות שיקום חזיתות המקווה. ח-ן סופיים.</t>
  </si>
  <si>
    <r>
      <t xml:space="preserve">בניית בית ספר ברח' משה-12 כתות. מימון מ. החינוך. היתר בשלב סופי. </t>
    </r>
    <r>
      <rPr>
        <sz val="11"/>
        <rFont val="David"/>
        <family val="2"/>
      </rPr>
      <t/>
    </r>
  </si>
  <si>
    <r>
      <t xml:space="preserve">החלפת מזגנים והחלפת תאורה ללדים במוס"ח. מימון מ. הכלכלה והתעשיה. </t>
    </r>
    <r>
      <rPr>
        <b/>
        <sz val="11"/>
        <rFont val="David"/>
        <family val="2"/>
      </rPr>
      <t xml:space="preserve"> </t>
    </r>
  </si>
  <si>
    <r>
      <t xml:space="preserve">סל עבודות במוס"ח לרבות שיפוצים יסודיים , התאמת מבנים ושדרוג גנ"י על פי רשימה שתאושר ע"י הנהלת העיר. </t>
    </r>
    <r>
      <rPr>
        <sz val="11"/>
        <rFont val="David"/>
        <family val="2"/>
      </rPr>
      <t>בדיקה הערכות של בניית תוכנית אב רב שנתית שיפוצים מוס"ח.</t>
    </r>
  </si>
  <si>
    <r>
      <t xml:space="preserve">המשך הצטיידות ומיחשוב בי"ס החדש  יצחק נבון כולל בגין </t>
    </r>
    <r>
      <rPr>
        <sz val="11"/>
        <rFont val="David"/>
        <family val="2"/>
      </rPr>
      <t>תוספת 6 כיתות . מימון מ. הפיס.</t>
    </r>
  </si>
  <si>
    <t xml:space="preserve">הצטיידות מעבדה בהנדסאים . </t>
  </si>
  <si>
    <t>ביצוע שצ"פ רחוב המסילה כולל גידור, הסדרת המרכז המסחרי אל-על נורדאו, עבודות גינון נוספות. העבודות הסתיימו. ח-ן סופיים.</t>
  </si>
  <si>
    <t>עבודות פיתוח ושדרוג החצר האחורית במתחם בי"ס אלון כולל הצללה. העבודות הסתיימו. ח-ן סופיים.</t>
  </si>
  <si>
    <t>העבודות הסתיימו. ח-ן סופיים.</t>
  </si>
  <si>
    <t>מימון מ. הפנים. עבור רכישת 2 סככות נוספות הצללה לחוף הכוכבים.</t>
  </si>
  <si>
    <t>מימון מ. הפנים. יבוצעו עבודות נוספות בחוף הנפרד.</t>
  </si>
  <si>
    <t xml:space="preserve">מימון מ. הפנים. </t>
  </si>
  <si>
    <t>החלפה והוספת ציוד הצלה ובטיחות. מימון מ. הפנים.</t>
  </si>
  <si>
    <t xml:space="preserve">רכישת אופנוע ים כולל זיווד. מימון מ. הפנים. </t>
  </si>
  <si>
    <t xml:space="preserve">החלפה והוספת ציוד הצלה ובטיחות. מימון מ. הפנים. </t>
  </si>
  <si>
    <t xml:space="preserve">מערכות מתקדמות לעיר חכמה כולל שו"ב מצלמות , ציוד נלווה ותשתיות מיחשוב. </t>
  </si>
  <si>
    <t>סל הצטיידות מיחשוב היקפי לקידום למידה דיגיטלית מרחוק בבי"ס. ב - 2021 ציוד מיחשוב מחודש. מימון מ. החינוך.</t>
  </si>
  <si>
    <t>תוכנית פיתוח שנתית מעודכנת 2020 : מימוש - אגף בטחון, פיקוח וסדר ציבורי</t>
  </si>
  <si>
    <t>תוכנית פיתוח שנתית מעודכנת 2020 : מימוש - אגף חינוך</t>
  </si>
  <si>
    <t>תוכנית פיתוח שנתית מעודכנת 2020 : מימוש - אגף ת.נ.ו.ס</t>
  </si>
  <si>
    <t>תוכנית פיתוח שנתית מעודכנת 2020 : מימוש - אגף ש.א.י.פ.ה</t>
  </si>
  <si>
    <t>תוכנית פיתוח שנתית מעודכנת 2020 : מימוש - רשות החופים</t>
  </si>
  <si>
    <t xml:space="preserve">תוכנית פיתוח שנתית מעודכנת 2020 : מימוש - החברה לפיתוח תיירות </t>
  </si>
  <si>
    <t>תוכנית פיתוח שנתית מעודכנת 2020 : מימוש - אגף תקשוב ומערכות מידע</t>
  </si>
  <si>
    <r>
      <t xml:space="preserve">רכישת זכויות דיירות מוגנת חנות (קראוזר) מרכז מסחרי נוף ים גוש 6670 חל' 269 </t>
    </r>
    <r>
      <rPr>
        <b/>
        <sz val="11"/>
        <rFont val="David"/>
        <family val="2"/>
      </rPr>
      <t>(*) נסגר 2020</t>
    </r>
  </si>
  <si>
    <r>
      <t xml:space="preserve">פיצויי הפקעה פארק הבאסה - פס"ד </t>
    </r>
    <r>
      <rPr>
        <b/>
        <sz val="11"/>
        <rFont val="David"/>
        <family val="2"/>
      </rPr>
      <t>(*) נסגר 2020</t>
    </r>
  </si>
  <si>
    <r>
      <t xml:space="preserve">רכישת חנויות במרכז דגניה </t>
    </r>
    <r>
      <rPr>
        <b/>
        <sz val="11"/>
        <rFont val="David"/>
        <family val="2"/>
      </rPr>
      <t>(*) נסגר 2020</t>
    </r>
  </si>
  <si>
    <r>
      <t xml:space="preserve">תב"ע טיילת שלב א' </t>
    </r>
    <r>
      <rPr>
        <b/>
        <sz val="11"/>
        <rFont val="David"/>
        <family val="2"/>
      </rPr>
      <t>(*) נסגר 2020</t>
    </r>
  </si>
  <si>
    <r>
      <t xml:space="preserve">סככות צל חוף נוף ים + חוף זבולון </t>
    </r>
    <r>
      <rPr>
        <sz val="11"/>
        <rFont val="David"/>
        <family val="2"/>
      </rPr>
      <t xml:space="preserve">(מ. הפנים) </t>
    </r>
    <r>
      <rPr>
        <b/>
        <sz val="11"/>
        <rFont val="David"/>
        <family val="2"/>
      </rPr>
      <t>(*) נסגר 2020</t>
    </r>
  </si>
  <si>
    <r>
      <t xml:space="preserve">פיתוח חורשת נוף ים </t>
    </r>
    <r>
      <rPr>
        <b/>
        <sz val="11"/>
        <rFont val="David"/>
        <family val="2"/>
      </rPr>
      <t>(*) נסגר 2020</t>
    </r>
  </si>
  <si>
    <r>
      <t xml:space="preserve">פרויקט מומה בן גוריון,סמדר </t>
    </r>
    <r>
      <rPr>
        <b/>
        <sz val="11"/>
        <rFont val="David"/>
        <family val="2"/>
      </rPr>
      <t>(*) נסגר 2020</t>
    </r>
  </si>
  <si>
    <r>
      <t xml:space="preserve">מתקני כושר חוף הים </t>
    </r>
    <r>
      <rPr>
        <b/>
        <sz val="11"/>
        <rFont val="David"/>
        <family val="2"/>
      </rPr>
      <t>(*) נסגר 2020</t>
    </r>
  </si>
  <si>
    <r>
      <t xml:space="preserve">רישות מוסדות תרבות ופנאי </t>
    </r>
    <r>
      <rPr>
        <b/>
        <sz val="11"/>
        <rFont val="David"/>
        <family val="2"/>
      </rPr>
      <t>(*) נסגר 2020</t>
    </r>
  </si>
  <si>
    <r>
      <t xml:space="preserve">פרויקט </t>
    </r>
    <r>
      <rPr>
        <sz val="11"/>
        <rFont val="David"/>
        <family val="2"/>
      </rPr>
      <t xml:space="preserve"> שיגור לווין דוכיפת 3</t>
    </r>
    <r>
      <rPr>
        <b/>
        <sz val="11"/>
        <rFont val="David"/>
        <family val="2"/>
      </rPr>
      <t xml:space="preserve"> (*) נסגר 2020</t>
    </r>
  </si>
  <si>
    <r>
      <t xml:space="preserve">הצטיידות גנ"י חדשים באלתרמן </t>
    </r>
    <r>
      <rPr>
        <sz val="11"/>
        <rFont val="David"/>
        <family val="2"/>
      </rPr>
      <t xml:space="preserve">מ. החינוך </t>
    </r>
    <r>
      <rPr>
        <b/>
        <sz val="11"/>
        <rFont val="David"/>
        <family val="2"/>
      </rPr>
      <t>(*) נסגר 2020</t>
    </r>
  </si>
  <si>
    <r>
      <t xml:space="preserve">חדרי מייקרס בבתי הספר </t>
    </r>
    <r>
      <rPr>
        <b/>
        <sz val="11"/>
        <rFont val="David"/>
        <family val="2"/>
      </rPr>
      <t>(*) נסגר 2020</t>
    </r>
  </si>
  <si>
    <r>
      <t xml:space="preserve">הקמת מערכות בטחוניות במוס. עיריה </t>
    </r>
    <r>
      <rPr>
        <b/>
        <sz val="11"/>
        <rFont val="David"/>
        <family val="2"/>
      </rPr>
      <t>(*) נסגר 2020</t>
    </r>
  </si>
  <si>
    <r>
      <t xml:space="preserve">החלפת גגות אסבסט </t>
    </r>
    <r>
      <rPr>
        <b/>
        <sz val="11"/>
        <rFont val="David"/>
        <family val="2"/>
      </rPr>
      <t>(*) נסגר 2020</t>
    </r>
  </si>
  <si>
    <r>
      <t xml:space="preserve">שיפוצים שונים מתנ"ס יד התשעה </t>
    </r>
    <r>
      <rPr>
        <b/>
        <sz val="11"/>
        <rFont val="David"/>
        <family val="2"/>
      </rPr>
      <t>(*) נסגר 2020</t>
    </r>
  </si>
  <si>
    <r>
      <t xml:space="preserve">התאמת מבנה שיפוץ גנ"י לאה גולדברג 1 </t>
    </r>
    <r>
      <rPr>
        <b/>
        <sz val="11"/>
        <rFont val="David"/>
        <family val="2"/>
      </rPr>
      <t>(*) נסגר 2020</t>
    </r>
  </si>
  <si>
    <r>
      <t xml:space="preserve">תוכנית לניהול בטיחות </t>
    </r>
    <r>
      <rPr>
        <b/>
        <sz val="11"/>
        <rFont val="David"/>
        <family val="2"/>
      </rPr>
      <t>(*) נסגר 2020</t>
    </r>
  </si>
  <si>
    <r>
      <t xml:space="preserve">רחובות תדהר קורן ואנה פרנק </t>
    </r>
    <r>
      <rPr>
        <b/>
        <sz val="11"/>
        <rFont val="David"/>
        <family val="2"/>
      </rPr>
      <t>(*) נסגר 2020</t>
    </r>
  </si>
  <si>
    <r>
      <t xml:space="preserve">שביל צמרות ישראל (שביל האינטגרציה) </t>
    </r>
    <r>
      <rPr>
        <b/>
        <sz val="11"/>
        <rFont val="David"/>
        <family val="2"/>
      </rPr>
      <t>(*) נסגר 2020</t>
    </r>
  </si>
  <si>
    <r>
      <t xml:space="preserve">פיתוח רח' אבוקה מולדת </t>
    </r>
    <r>
      <rPr>
        <b/>
        <sz val="11"/>
        <rFont val="David"/>
        <family val="2"/>
      </rPr>
      <t>(*) נסגר 2020</t>
    </r>
  </si>
  <si>
    <r>
      <t xml:space="preserve">רחוב החרש </t>
    </r>
    <r>
      <rPr>
        <b/>
        <sz val="11"/>
        <rFont val="David"/>
        <family val="2"/>
      </rPr>
      <t>(*) נסגר 2020</t>
    </r>
  </si>
  <si>
    <r>
      <t xml:space="preserve">בי"ס חדש "יצחק נבון" מתחם אלתרמן </t>
    </r>
    <r>
      <rPr>
        <b/>
        <sz val="11"/>
        <rFont val="David"/>
        <family val="2"/>
      </rPr>
      <t>(*) נסגר 2020</t>
    </r>
  </si>
  <si>
    <r>
      <t xml:space="preserve">בית כנסת "אור זרוע"-תוס.קומה </t>
    </r>
    <r>
      <rPr>
        <b/>
        <sz val="11"/>
        <rFont val="David"/>
        <family val="2"/>
      </rPr>
      <t>(*) נסגר 2020</t>
    </r>
  </si>
  <si>
    <r>
      <t xml:space="preserve">בנית 3 גני ילדים (המסילה) </t>
    </r>
    <r>
      <rPr>
        <b/>
        <sz val="11"/>
        <rFont val="David"/>
        <family val="2"/>
      </rPr>
      <t>(*) נסגר 2020</t>
    </r>
  </si>
  <si>
    <t>תוכנית פיתוח שנתית מעודכנת 2020 : מימוש - אגף נכסים וביטוח</t>
  </si>
  <si>
    <t>תוכנית פיתוח שנתית מעודכנת 2020 : מימוש - מינהל כללי</t>
  </si>
  <si>
    <r>
      <t xml:space="preserve">חניון המדע תכנון </t>
    </r>
    <r>
      <rPr>
        <b/>
        <sz val="11"/>
        <rFont val="David"/>
        <family val="2"/>
      </rPr>
      <t>(*) נסגר 2020</t>
    </r>
  </si>
  <si>
    <r>
      <t xml:space="preserve"> גנ"י (3) במתחם אלתרמן </t>
    </r>
    <r>
      <rPr>
        <b/>
        <sz val="11"/>
        <rFont val="David"/>
        <family val="2"/>
      </rPr>
      <t>(*) נסגר 2020</t>
    </r>
  </si>
  <si>
    <r>
      <t xml:space="preserve">חורשת אקליפטוסים נחלת עדה </t>
    </r>
    <r>
      <rPr>
        <b/>
        <sz val="11"/>
        <rFont val="David"/>
        <family val="2"/>
      </rPr>
      <t>(*) נסגר 2020</t>
    </r>
  </si>
  <si>
    <r>
      <t xml:space="preserve">תוספת גלריה אולם היכל אומ.הבמה </t>
    </r>
    <r>
      <rPr>
        <b/>
        <sz val="11"/>
        <rFont val="David"/>
        <family val="2"/>
      </rPr>
      <t>(*) נסגר 2020</t>
    </r>
  </si>
  <si>
    <r>
      <t xml:space="preserve">תכנון שצ"פים במתחם הר' 1960 </t>
    </r>
    <r>
      <rPr>
        <b/>
        <sz val="11"/>
        <rFont val="David"/>
        <family val="2"/>
      </rPr>
      <t>(*) נסגר 2020</t>
    </r>
  </si>
  <si>
    <r>
      <t>כיתות גן 4 שטח 301 גליל ים א'</t>
    </r>
    <r>
      <rPr>
        <b/>
        <sz val="11"/>
        <rFont val="David"/>
        <family val="2"/>
      </rPr>
      <t xml:space="preserve"> (*) נסגר 2020</t>
    </r>
  </si>
  <si>
    <r>
      <t xml:space="preserve">כיתות גן 4 שטח 302 גליל ים א' </t>
    </r>
    <r>
      <rPr>
        <b/>
        <sz val="11"/>
        <rFont val="David"/>
        <family val="2"/>
      </rPr>
      <t>(*) נסגר 2020</t>
    </r>
  </si>
  <si>
    <r>
      <t xml:space="preserve">שצ"פ אל על והמינהרה </t>
    </r>
    <r>
      <rPr>
        <b/>
        <sz val="11"/>
        <rFont val="David"/>
        <family val="2"/>
      </rPr>
      <t>(*) נסגר 2020</t>
    </r>
  </si>
  <si>
    <r>
      <t xml:space="preserve">הסדרת שצ"פ למגורים הר' 2257 </t>
    </r>
    <r>
      <rPr>
        <b/>
        <sz val="11"/>
        <rFont val="David"/>
        <family val="2"/>
      </rPr>
      <t>(*) נסגר 2020</t>
    </r>
  </si>
  <si>
    <r>
      <t xml:space="preserve">תכנון חניון במתחם אגד </t>
    </r>
    <r>
      <rPr>
        <b/>
        <sz val="11"/>
        <rFont val="David"/>
        <family val="2"/>
      </rPr>
      <t>(*) נסגר 2020</t>
    </r>
  </si>
  <si>
    <r>
      <t xml:space="preserve">תב"ע חניון שטח מרינה לי 2073 </t>
    </r>
    <r>
      <rPr>
        <b/>
        <sz val="11"/>
        <rFont val="David"/>
        <family val="2"/>
      </rPr>
      <t>(*) נסגר 2020</t>
    </r>
  </si>
  <si>
    <r>
      <t xml:space="preserve">תב"ע לדיור בר השגה ברב קוק </t>
    </r>
    <r>
      <rPr>
        <b/>
        <sz val="11"/>
        <rFont val="David"/>
        <family val="2"/>
      </rPr>
      <t>(*) נסגר 2020</t>
    </r>
  </si>
  <si>
    <r>
      <t xml:space="preserve">תב"ע לדיור בר השגה בשמשון הגיבור </t>
    </r>
    <r>
      <rPr>
        <b/>
        <sz val="11"/>
        <rFont val="David"/>
        <family val="2"/>
      </rPr>
      <t>(*) נסגר 2020</t>
    </r>
  </si>
  <si>
    <r>
      <t xml:space="preserve">פיתוח שצ"פים במורדי הגטאות </t>
    </r>
    <r>
      <rPr>
        <b/>
        <sz val="11"/>
        <rFont val="David"/>
        <family val="2"/>
      </rPr>
      <t>(*) נסגר 2020</t>
    </r>
  </si>
  <si>
    <r>
      <t xml:space="preserve">פינוי בינוי סוקולוב רח' ירושלים </t>
    </r>
    <r>
      <rPr>
        <b/>
        <sz val="11"/>
        <rFont val="David"/>
        <family val="2"/>
      </rPr>
      <t>(*) נסגר 2020</t>
    </r>
  </si>
  <si>
    <r>
      <t xml:space="preserve">תכנון </t>
    </r>
    <r>
      <rPr>
        <sz val="11"/>
        <rFont val="David"/>
        <family val="2"/>
        <charset val="177"/>
      </rPr>
      <t xml:space="preserve">שינוי גבולות העיר </t>
    </r>
    <r>
      <rPr>
        <b/>
        <sz val="11"/>
        <rFont val="David"/>
        <family val="2"/>
      </rPr>
      <t>(*) נסגר 2020</t>
    </r>
  </si>
  <si>
    <r>
      <t xml:space="preserve">חניון עצמאות </t>
    </r>
    <r>
      <rPr>
        <b/>
        <sz val="11"/>
        <rFont val="David"/>
        <family val="2"/>
      </rPr>
      <t>(*) נסגר 2020</t>
    </r>
  </si>
  <si>
    <r>
      <t xml:space="preserve">ציר העדפה </t>
    </r>
    <r>
      <rPr>
        <b/>
        <sz val="11"/>
        <rFont val="David"/>
        <family val="2"/>
      </rPr>
      <t>(*) נסגר 2020</t>
    </r>
  </si>
  <si>
    <r>
      <t xml:space="preserve">פיתוח משה דיין </t>
    </r>
    <r>
      <rPr>
        <b/>
        <sz val="11"/>
        <rFont val="David"/>
        <family val="2"/>
      </rPr>
      <t>(*) נסגר 2020</t>
    </r>
  </si>
  <si>
    <r>
      <t xml:space="preserve">תב"ע מעברת רשף - מערב נוף ים </t>
    </r>
    <r>
      <rPr>
        <b/>
        <sz val="11"/>
        <rFont val="David"/>
        <family val="2"/>
      </rPr>
      <t>(*) נסגר 2020</t>
    </r>
  </si>
  <si>
    <r>
      <t xml:space="preserve">הכנת פרוגרמות עירוניות עפ"י הנדרש </t>
    </r>
    <r>
      <rPr>
        <b/>
        <sz val="11"/>
        <rFont val="David"/>
        <family val="2"/>
      </rPr>
      <t>(*) נסגר 2020</t>
    </r>
  </si>
  <si>
    <r>
      <t xml:space="preserve">ציר ירושלים יבנה/הנגב </t>
    </r>
    <r>
      <rPr>
        <b/>
        <sz val="11"/>
        <rFont val="David"/>
        <family val="2"/>
      </rPr>
      <t>(*) נסגר 2020</t>
    </r>
  </si>
  <si>
    <r>
      <t xml:space="preserve">פיצויים סעיף 197א הר 1839 שנל </t>
    </r>
    <r>
      <rPr>
        <b/>
        <sz val="11"/>
        <rFont val="David"/>
        <family val="2"/>
      </rPr>
      <t>(*) נסגר 2020</t>
    </r>
  </si>
  <si>
    <t>תקציב  נדרש נוסף לתקציב הפיתוח השנתי המעודכן 2020</t>
  </si>
  <si>
    <t>יתרה שלא מומשה</t>
  </si>
  <si>
    <t>סקר חריגות בניה ברחבי העיר (*) שינוי מימון</t>
  </si>
  <si>
    <t>ביצוע הריסות עפ"י צווים (*) שינוי מימון</t>
  </si>
  <si>
    <t>תקצוב תב"רים שאושרו במועצה מעבר לתוכנית הפיתוח השנתית המעודכנת 2020</t>
  </si>
  <si>
    <t>פיר מעלית ומעלית בנין המועצה הדתית (מ. הדתות) (*) שינוי מימון</t>
  </si>
  <si>
    <t>עבודות הרחבה והתאמה איצטדיון (*) שינוי מימון</t>
  </si>
  <si>
    <t xml:space="preserve">מערכת כבישים   באזור תעשייה מערבי </t>
  </si>
  <si>
    <t xml:space="preserve">תכנון הקמת חניון מרינה לי (*) עדכון שם </t>
  </si>
  <si>
    <t xml:space="preserve"> מרכז מדעים וקהילה (*) עדכון שם (3) גנ"י מדעיים באלתרמן</t>
  </si>
  <si>
    <t>תכנון הקמת מתנ"ס רחוב המסילה (*) עדכון שם</t>
  </si>
  <si>
    <t>הקמת אולם ספורט הנגיד (*) עדכון שם הנדיב</t>
  </si>
  <si>
    <t>בי"ס ואולם ספורט ויצמן  תכנון וביצוע  (*) עדכון שם</t>
  </si>
  <si>
    <t xml:space="preserve">מעון לאנשים עם מוגבלויות -  ביד התשעה </t>
  </si>
  <si>
    <t>מתקן חניה עילי  בחניון באיזהת"ש בספיר (*) עדכון שם</t>
  </si>
  <si>
    <t>בחינת התכנות לגנ"י חדשים במתחמים שונים. (*) עדכון שם</t>
  </si>
  <si>
    <t>חורשת האקליפטוסים שצ"פים במתחם הר 1960 (*) עדכון שם</t>
  </si>
  <si>
    <t xml:space="preserve">פארק גליל ים </t>
  </si>
  <si>
    <t xml:space="preserve">שטח 408 גליל ים ב'-גנ"י, בי"ס, ספריה </t>
  </si>
  <si>
    <t xml:space="preserve">קיריית החינוך ( מגרש 406)-ספריה, מרכז קהילתי </t>
  </si>
  <si>
    <t>התקציב הבלתי רגיל לשנת 2020 – ביצוע</t>
  </si>
  <si>
    <r>
      <t>עבודות הנגשה של מרחב ציבורי ומבני ציבור כנדרש עפ"י החוק עפ"י תוכנית רב שנתית. 2021-מימון מ. החינוך רעות.</t>
    </r>
    <r>
      <rPr>
        <sz val="11"/>
        <rFont val="David"/>
        <family val="2"/>
      </rPr>
      <t xml:space="preserve"> </t>
    </r>
  </si>
  <si>
    <t>5-17</t>
  </si>
  <si>
    <t>18-33</t>
  </si>
  <si>
    <t>34-54</t>
  </si>
  <si>
    <t>55-66</t>
  </si>
  <si>
    <t>67-68</t>
  </si>
  <si>
    <t>72-73</t>
  </si>
  <si>
    <t>74-82</t>
  </si>
  <si>
    <t>83-85</t>
  </si>
  <si>
    <t>86-87</t>
  </si>
  <si>
    <t>88-91</t>
  </si>
  <si>
    <t>92-94</t>
  </si>
  <si>
    <t>95-96</t>
  </si>
  <si>
    <t xml:space="preserve">ראה פרוט נוסף בעמוד 16 </t>
  </si>
  <si>
    <t>תאור הפרויקטים מובא בעמודים 33 -26</t>
  </si>
  <si>
    <t>תאור הפרויקטים מובא בעמודים 45-54</t>
  </si>
  <si>
    <t>תאור הפרויקטים מובא בעמודים 62-66</t>
  </si>
  <si>
    <t>97-137</t>
  </si>
  <si>
    <t>138-139</t>
  </si>
  <si>
    <t>104 - 99</t>
  </si>
  <si>
    <t>114 - 105</t>
  </si>
  <si>
    <t>118 - 115</t>
  </si>
  <si>
    <t>121 - 120</t>
  </si>
  <si>
    <t>125 - 123</t>
  </si>
  <si>
    <t>127 - 126</t>
  </si>
  <si>
    <t>131 - 130</t>
  </si>
  <si>
    <t>137 - 133</t>
  </si>
  <si>
    <t>מענקים ממוסדות שאינם שלטוניים כגון : מפעל הפייס , השתתפויות של תאגידים .</t>
  </si>
  <si>
    <t>פרויקטים שהיקפם עולה על 14,726 אלפי ₪ בביצוע החברה לפיתוח הרצליה.</t>
  </si>
  <si>
    <t>מסגרת תוכנית פיתוח מעודכנת</t>
  </si>
  <si>
    <t xml:space="preserve">דו"ח מפורט מובא בעמודים  97-137 </t>
  </si>
  <si>
    <t>המשך הרחבת בית העלמין החדש.</t>
  </si>
  <si>
    <t>המשך עבודות של כבישים ותשתיות איזור תעשיה מערבי.</t>
  </si>
  <si>
    <t xml:space="preserve">במסגרת מיזם משותף של משרד האנרגיה, מפעל הפיס ומרכז השלטון המקומי של קרן </t>
  </si>
  <si>
    <t>אושרה בקשת העיריה להשתתפות בפרויקט בסכום של 7,100 אלפי ₪.</t>
  </si>
  <si>
    <t xml:space="preserve">הלוואות שהוקצה לרשויות המקומיות עבור הקמת פאנלים סולאריים על מבני ציבור בתחומן, </t>
  </si>
  <si>
    <t xml:space="preserve">הלוואה </t>
  </si>
  <si>
    <t xml:space="preserve">במסגרת מיזם משותף של משרד האנרגיה ,מפעל הפיס ומרכז השלטון המקומי, נטילת הלוואה </t>
  </si>
  <si>
    <t>וחתימה על התחייבויות  וכל מסמך אחר שיידרש לצורך מימון הפרויקט בתקציב  הבלתי רגיל</t>
  </si>
  <si>
    <t>לשנת 2021 בסכום של 7,100 אלפי ₪.</t>
  </si>
  <si>
    <t>ערך הסף נכון להיום עומד על יותר מ  - 14,726 אלפי ₪.</t>
  </si>
  <si>
    <t>היקפי פרויקט מעל 14,726,000 ₪</t>
  </si>
  <si>
    <t>פרוט הפרויקטים מובא בעמוד 139 - 138</t>
  </si>
  <si>
    <t xml:space="preserve">חלוקת ההשקעה בתקציב  באלפי ₪ על פי פרקים עיקריים מפורטת להלן –  </t>
  </si>
  <si>
    <t>מינהל/אגף/
יחידה</t>
  </si>
  <si>
    <t>ריכוז לפי מינהל/אגפים/יחידות</t>
  </si>
  <si>
    <t>משרד הכלכלה והתעשיה</t>
  </si>
  <si>
    <t>תאגיד בית העלמין הרצליה</t>
  </si>
  <si>
    <t>פיתוח מתחם הרחובות יהודה המכבי, זוהר טל, האצל, הגבורה. סיום. ח-ן סופיים.</t>
  </si>
  <si>
    <t>עבודות פיתוח במתחם הרחובות והרחבתם.סיום. ח-ן סופיים.</t>
  </si>
  <si>
    <t xml:space="preserve">עבודות השלמה סופיות . ח-ן סופיים. </t>
  </si>
  <si>
    <t>תכנון מתחם מעונות שרה לפינוי ובינוי.התוכנית בשלב סטוטורי מתקדם - בשלב הפקדה. מימון מ. הבינוי.</t>
  </si>
  <si>
    <r>
      <t xml:space="preserve">תב"ר 2073 : </t>
    </r>
    <r>
      <rPr>
        <sz val="12"/>
        <color theme="1"/>
        <rFont val="David"/>
        <family val="2"/>
      </rPr>
      <t>אולם ספורט ויצמן תכנון וביצוע</t>
    </r>
    <r>
      <rPr>
        <b/>
        <sz val="12"/>
        <color theme="1"/>
        <rFont val="David"/>
        <family val="2"/>
      </rPr>
      <t xml:space="preserve"> - בי"ס </t>
    </r>
    <r>
      <rPr>
        <sz val="12"/>
        <color theme="1"/>
        <rFont val="David"/>
        <family val="2"/>
      </rPr>
      <t>ואולם ספורט ויצמן</t>
    </r>
    <r>
      <rPr>
        <b/>
        <sz val="12"/>
        <color theme="1"/>
        <rFont val="David"/>
        <family val="2"/>
      </rPr>
      <t>.</t>
    </r>
  </si>
  <si>
    <t>הקמת חניון "מרינה לי"</t>
  </si>
  <si>
    <t>פרויקט : גליל ים</t>
  </si>
  <si>
    <t>הסדרת ניקוז בצומת הרחובות. מימון מ. התחבורה. ח-ן סופיים.</t>
  </si>
  <si>
    <t xml:space="preserve">עבודות שיפוץ בית ההורים ברחוב אנה פרנק. עבודות שדרוג ושיפוץ כללי. </t>
  </si>
  <si>
    <r>
      <t>תכנון שיפוץ/הריסה ובניה מחדש של בי"ס. הריסה של 18 כיתות,4 כיתות גן ח"מ ובניה של 24 כיתות,5 כיתות גן ח"מ.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 </t>
    </r>
  </si>
  <si>
    <t>הכשרת סינמטק בבניין העיריה החדש. מימון מ. הפיס.</t>
  </si>
  <si>
    <t xml:space="preserve">תכנון פיתוח מתחם שיכון דרום. תכנון בין רח' בן גוריון-רבי עקיבא-בן יהודה. </t>
  </si>
  <si>
    <t>במקביל,תבר הצטיידות בחינוך .</t>
  </si>
  <si>
    <r>
      <t xml:space="preserve">בניית בי"ס יסודי 18 כיתות לו"ז לאיכלוס 9/2022,  אולם ספורט בינוני , מגרש ספורט , חניון תתקרקעי 2 מפלסים. </t>
    </r>
    <r>
      <rPr>
        <sz val="11"/>
        <rFont val="David"/>
        <family val="2"/>
      </rPr>
      <t>מימון מ. החינוך בי"ס.</t>
    </r>
  </si>
  <si>
    <r>
      <t xml:space="preserve">בניית 10 כיתות גן .  לו"ז לאיכלוס 9/2021. </t>
    </r>
    <r>
      <rPr>
        <sz val="11"/>
        <rFont val="David"/>
        <family val="2"/>
      </rPr>
      <t>מימון מ. החינוך</t>
    </r>
    <r>
      <rPr>
        <b/>
        <sz val="11"/>
        <rFont val="David"/>
        <family val="2"/>
      </rPr>
      <t xml:space="preserve"> .</t>
    </r>
  </si>
  <si>
    <r>
      <t xml:space="preserve">בניית בי"ס יסודי 18 כיתות, 5 כיתות גן, מועדון תנועת נוער, אולם ספורט בינוני , מגרש ספורט משולב, חניון תתקרקעי 2 מפלסים. </t>
    </r>
    <r>
      <rPr>
        <sz val="11"/>
        <rFont val="David"/>
        <family val="2"/>
      </rPr>
      <t>לו"ז לאיכלוס 9.2021/2022. מימון מ. החינוך בי"ס,גנ"י.</t>
    </r>
  </si>
  <si>
    <r>
      <rPr>
        <sz val="11"/>
        <rFont val="David"/>
        <family val="2"/>
      </rPr>
      <t xml:space="preserve"> כיתות גן (7) . לו"ז איכלוס 9/2021</t>
    </r>
    <r>
      <rPr>
        <b/>
        <sz val="11"/>
        <rFont val="David"/>
        <family val="2"/>
      </rPr>
      <t xml:space="preserve">. 2 כיתות גן </t>
    </r>
    <r>
      <rPr>
        <sz val="11"/>
        <rFont val="David"/>
        <family val="2"/>
      </rPr>
      <t>מימון מ.החינוך .</t>
    </r>
  </si>
  <si>
    <t xml:space="preserve">החלפת מערכות צ'לרים באולמות הספורט מימון מ. הכלכלה והתעשיה. </t>
  </si>
  <si>
    <r>
      <t xml:space="preserve">החלפת תאורת לדים 10 אולמות ספורט עפ"י רשימה. </t>
    </r>
    <r>
      <rPr>
        <sz val="11"/>
        <rFont val="David"/>
        <family val="2"/>
      </rPr>
      <t xml:space="preserve">יוגש קול קורא התייעלות מימון מ. הכלכלה והתעשיה. </t>
    </r>
  </si>
  <si>
    <r>
      <t xml:space="preserve">התקנת גופי תאורה בטכנולוגיה מתקדמת במגרשי ספורט. </t>
    </r>
    <r>
      <rPr>
        <sz val="11"/>
        <rFont val="David"/>
        <family val="2"/>
      </rPr>
      <t xml:space="preserve">יוגש קול קורא התייעלות מימון מ. הכלכלה והתעשיה. </t>
    </r>
  </si>
  <si>
    <t xml:space="preserve">התקנת מעליות, שרותים ,רמפות בבי"ס עפ"י תוכנית רב שנתית. מימון מ. החינוך. </t>
  </si>
  <si>
    <r>
      <t xml:space="preserve">פרויקט  בניית אודיטוריום ,תוספת 6 כתות ו-2 ממ"דים ,שיפוץ כללי. </t>
    </r>
    <r>
      <rPr>
        <sz val="11"/>
        <rFont val="David"/>
        <family val="2"/>
      </rPr>
      <t>אודיטוריום - מימון מ.הפיס.</t>
    </r>
  </si>
  <si>
    <t>התאמת מבנים בחט"ב סמדר לבי"ס דמוקרטי.</t>
  </si>
  <si>
    <t>ולאחר שיפוץ.</t>
  </si>
  <si>
    <t xml:space="preserve">התקציב מיועד לפרויקטים של השקעה במרחבי למידה ובהצטידויות מוסדות חינוך חדשים </t>
  </si>
  <si>
    <t>תאור הפרויקטים מובא בעמודים 79-82</t>
  </si>
  <si>
    <t xml:space="preserve">מימון מ. הפנים.בניית התחנה טרם הסתיימה. </t>
  </si>
  <si>
    <t>תוכנית הצטיידות למיחשוב כל מוס"ח .החלפת מחשבים ניידים והשלמה למורים חדשים, החלפת מקרנים , מחשבים מזכירויות. מימון מפעל הפיס.</t>
  </si>
  <si>
    <t xml:space="preserve">ביצוע תקציב הבלתי רגיל לשנת 2020    </t>
  </si>
  <si>
    <t>תקציב בלתי רגיל שאושר מעבר לתוכנית הפיתוח השנתית המעודכנת  במהלך 2020</t>
  </si>
  <si>
    <r>
      <t xml:space="preserve">ספוטק שלב ג' </t>
    </r>
    <r>
      <rPr>
        <sz val="11"/>
        <rFont val="David"/>
        <family val="2"/>
      </rPr>
      <t>(*) שינוי מימון</t>
    </r>
  </si>
  <si>
    <r>
      <t xml:space="preserve">גנ"י במתחם אלתרמן (3) </t>
    </r>
    <r>
      <rPr>
        <sz val="11"/>
        <rFont val="David"/>
        <family val="2"/>
      </rPr>
      <t>(*) שינוי מימון</t>
    </r>
  </si>
  <si>
    <r>
      <t>תוספת תקציב.</t>
    </r>
    <r>
      <rPr>
        <sz val="11"/>
        <rFont val="David"/>
        <family val="2"/>
        <charset val="177"/>
      </rPr>
      <t xml:space="preserve"> עבודות שיפוצים יסודיים והתאמות מבנים מוס"ח לקראת פתיחת שנת הלימודים הבאה.</t>
    </r>
    <r>
      <rPr>
        <sz val="11"/>
        <rFont val="David"/>
        <family val="2"/>
      </rPr>
      <t xml:space="preserve"> כולל שדרוג מזגנים. </t>
    </r>
  </si>
  <si>
    <r>
      <t>תוספת תקציב.</t>
    </r>
    <r>
      <rPr>
        <sz val="11"/>
        <rFont val="David"/>
        <family val="2"/>
        <charset val="177"/>
      </rPr>
      <t xml:space="preserve"> מתיחת פנים בי"ס הנדיב, תוספת 3 חדרי ספח חט"ב גיורא במסגרת עבודות שיפוצים יסודיים והתאמות מבנים מוס"ח לקראת פתיחת שנת הלימודים.</t>
    </r>
    <r>
      <rPr>
        <sz val="11"/>
        <rFont val="David"/>
        <family val="2"/>
      </rPr>
      <t xml:space="preserve"> </t>
    </r>
  </si>
  <si>
    <r>
      <t>תוספת תקציב.</t>
    </r>
    <r>
      <rPr>
        <sz val="11"/>
        <rFont val="David"/>
        <family val="2"/>
        <charset val="177"/>
      </rPr>
      <t xml:space="preserve"> עבודות בטיחות, שדרוג שרותים בי"ס יוחנני, שדרוג גן גאולה במסגרת עבודות שיפוצים יסודיים והתאמות מבנים מוס"ח לקראת פתיחת שנת הלימודים.</t>
    </r>
    <r>
      <rPr>
        <sz val="11"/>
        <rFont val="David"/>
        <family val="2"/>
      </rPr>
      <t xml:space="preserve"> </t>
    </r>
  </si>
  <si>
    <r>
      <t>תוספת תקציב.</t>
    </r>
    <r>
      <rPr>
        <sz val="11"/>
        <rFont val="David"/>
        <family val="2"/>
        <charset val="177"/>
      </rPr>
      <t xml:space="preserve"> במסגרת עבודות שיפוצים יסודיים והתאמות מבנים מוס"ח לקראת פתיחת שנת הלימודים.</t>
    </r>
    <r>
      <rPr>
        <sz val="11"/>
        <rFont val="David"/>
        <family val="2"/>
      </rPr>
      <t xml:space="preserve"> </t>
    </r>
  </si>
  <si>
    <t xml:space="preserve">העיריה רשאית לקבל הלוואה מבנק מרכנתיל דיסקונט בע"מ בשיעור ריבית של  </t>
  </si>
  <si>
    <t>פריים מינוס 1%. מפעל הפיס מעמיד ערבות סל ופקדון להבטחת ההלוואה לפרויקט.</t>
  </si>
  <si>
    <t>פרויקטים דחופים בצ"מ 2021/2022</t>
  </si>
  <si>
    <t>תוכנית פיתוח שנתית מעודכנת 2020 : ריכוז לפי מינהל/אגפים/יחידות</t>
  </si>
  <si>
    <t>כריכה : מרכז תאו לתרבות - זכה בשנת 2020 במקום הראשון בתחרות הארכיטקטורה הבינלאומית.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</si>
</sst>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0"/>
    <numFmt numFmtId="165" formatCode="0.0%"/>
    <numFmt numFmtId="166" formatCode="_ * #,##0_ ;_ * \-#,##0_ ;_ * &quot;-&quot;??_ ;_ @_ "/>
  </numFmts>
  <fonts count="9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8"/>
      <color rgb="FF000000"/>
      <name val="Tahoma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Arial"/>
      <family val="2"/>
      <charset val="177"/>
      <scheme val="minor"/>
    </font>
    <font>
      <strike/>
      <sz val="11"/>
      <name val="David"/>
      <family val="2"/>
      <charset val="177"/>
    </font>
    <font>
      <sz val="10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sz val="11"/>
      <color rgb="FF000000"/>
      <name val="Nachlieli CLM"/>
      <family val="2"/>
      <charset val="1"/>
    </font>
    <font>
      <b/>
      <u/>
      <sz val="16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sz val="14"/>
      <color theme="1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8"/>
      <color rgb="FFFF0000"/>
      <name val="David"/>
      <family val="2"/>
      <charset val="177"/>
    </font>
    <font>
      <b/>
      <sz val="12"/>
      <color theme="1"/>
      <name val="David"/>
      <family val="2"/>
    </font>
    <font>
      <sz val="11"/>
      <color theme="1"/>
      <name val="Wingdings"/>
      <charset val="2"/>
    </font>
    <font>
      <sz val="12"/>
      <color theme="1"/>
      <name val="David"/>
      <family val="2"/>
    </font>
    <font>
      <sz val="11"/>
      <color rgb="FFFF0000"/>
      <name val="David"/>
      <family val="2"/>
    </font>
    <font>
      <strike/>
      <sz val="11"/>
      <name val="David"/>
      <family val="2"/>
    </font>
    <font>
      <b/>
      <sz val="18"/>
      <color theme="1"/>
      <name val="David"/>
      <family val="2"/>
    </font>
    <font>
      <b/>
      <u/>
      <sz val="18"/>
      <name val="David"/>
      <family val="2"/>
    </font>
    <font>
      <b/>
      <sz val="14"/>
      <name val="David"/>
      <family val="2"/>
    </font>
    <font>
      <b/>
      <sz val="16"/>
      <color theme="1"/>
      <name val="David"/>
      <family val="2"/>
    </font>
    <font>
      <b/>
      <sz val="16"/>
      <color theme="1"/>
      <name val="Arial"/>
      <family val="2"/>
      <scheme val="minor"/>
    </font>
    <font>
      <b/>
      <u/>
      <sz val="12"/>
      <color theme="1"/>
      <name val="David"/>
      <family val="2"/>
    </font>
    <font>
      <b/>
      <u/>
      <sz val="11"/>
      <color theme="1"/>
      <name val="Arial"/>
      <family val="2"/>
      <scheme val="minor"/>
    </font>
    <font>
      <b/>
      <sz val="11"/>
      <color theme="1"/>
      <name val="Wingdings"/>
      <charset val="2"/>
    </font>
    <font>
      <strike/>
      <sz val="12"/>
      <color theme="1"/>
      <name val="David"/>
      <family val="2"/>
      <charset val="177"/>
    </font>
    <font>
      <strike/>
      <sz val="11"/>
      <color theme="1"/>
      <name val="Arial"/>
      <family val="2"/>
      <charset val="177"/>
      <scheme val="minor"/>
    </font>
    <font>
      <b/>
      <strike/>
      <sz val="11"/>
      <color theme="1"/>
      <name val="Arial"/>
      <family val="2"/>
      <scheme val="minor"/>
    </font>
    <font>
      <b/>
      <sz val="11"/>
      <color rgb="FFFF0000"/>
      <name val="David"/>
      <family val="2"/>
    </font>
    <font>
      <sz val="11"/>
      <color rgb="FF1F497D"/>
      <name val="Arial"/>
      <family val="2"/>
    </font>
    <font>
      <b/>
      <sz val="10"/>
      <name val="David"/>
      <family val="2"/>
      <charset val="177"/>
    </font>
    <font>
      <sz val="11"/>
      <color theme="0"/>
      <name val="David"/>
      <family val="2"/>
      <charset val="177"/>
    </font>
    <font>
      <b/>
      <sz val="14"/>
      <color rgb="FFFF0000"/>
      <name val="David"/>
      <family val="2"/>
      <charset val="177"/>
    </font>
    <font>
      <b/>
      <sz val="9"/>
      <name val="David"/>
      <family val="2"/>
      <charset val="177"/>
    </font>
    <font>
      <b/>
      <sz val="8"/>
      <name val="David"/>
      <family val="2"/>
      <charset val="177"/>
    </font>
    <font>
      <b/>
      <sz val="9"/>
      <color rgb="FFFF0000"/>
      <name val="David"/>
      <family val="2"/>
    </font>
    <font>
      <sz val="9"/>
      <name val="David"/>
      <family val="2"/>
    </font>
    <font>
      <sz val="12"/>
      <color rgb="FF1F497D"/>
      <name val="Arial"/>
      <family val="2"/>
      <scheme val="minor"/>
    </font>
    <font>
      <b/>
      <strike/>
      <sz val="11"/>
      <name val="David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6" fillId="0" borderId="0"/>
    <xf numFmtId="0" fontId="33" fillId="0" borderId="0">
      <alignment vertical="top"/>
    </xf>
    <xf numFmtId="0" fontId="26" fillId="2" borderId="1" applyNumberFormat="0" applyFont="0" applyAlignment="0" applyProtection="0"/>
    <xf numFmtId="0" fontId="34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43" fontId="43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23" fillId="0" borderId="0"/>
    <xf numFmtId="0" fontId="34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788">
    <xf numFmtId="0" fontId="0" fillId="0" borderId="0" xfId="0"/>
    <xf numFmtId="0" fontId="29" fillId="0" borderId="0" xfId="0" applyFont="1" applyFill="1" applyAlignment="1">
      <alignment wrapText="1"/>
    </xf>
    <xf numFmtId="3" fontId="28" fillId="0" borderId="2" xfId="4" applyNumberFormat="1" applyFont="1" applyBorder="1" applyAlignment="1">
      <alignment horizontal="right" vertical="center" wrapText="1"/>
    </xf>
    <xf numFmtId="0" fontId="29" fillId="0" borderId="2" xfId="4" applyFont="1" applyFill="1" applyBorder="1" applyAlignment="1">
      <alignment vertical="center" wrapText="1"/>
    </xf>
    <xf numFmtId="3" fontId="29" fillId="0" borderId="2" xfId="4" applyNumberFormat="1" applyFont="1" applyFill="1" applyBorder="1" applyAlignment="1">
      <alignment vertical="center" wrapText="1"/>
    </xf>
    <xf numFmtId="0" fontId="29" fillId="0" borderId="0" xfId="4" applyFont="1" applyFill="1" applyAlignment="1">
      <alignment vertical="center" wrapText="1"/>
    </xf>
    <xf numFmtId="0" fontId="28" fillId="0" borderId="0" xfId="4" applyFont="1" applyFill="1" applyAlignment="1">
      <alignment vertical="center" wrapText="1"/>
    </xf>
    <xf numFmtId="0" fontId="28" fillId="0" borderId="2" xfId="4" applyFont="1" applyFill="1" applyBorder="1" applyAlignment="1">
      <alignment vertical="center" wrapText="1"/>
    </xf>
    <xf numFmtId="3" fontId="28" fillId="0" borderId="2" xfId="4" applyNumberFormat="1" applyFont="1" applyFill="1" applyBorder="1" applyAlignment="1">
      <alignment vertical="center" wrapText="1"/>
    </xf>
    <xf numFmtId="3" fontId="28" fillId="0" borderId="2" xfId="4" applyNumberFormat="1" applyFont="1" applyFill="1" applyBorder="1" applyAlignment="1">
      <alignment horizontal="right" vertical="center" wrapText="1"/>
    </xf>
    <xf numFmtId="3" fontId="29" fillId="0" borderId="4" xfId="4" applyNumberFormat="1" applyFont="1" applyFill="1" applyBorder="1" applyAlignment="1">
      <alignment vertical="center" wrapText="1"/>
    </xf>
    <xf numFmtId="3" fontId="31" fillId="0" borderId="2" xfId="4" applyNumberFormat="1" applyFont="1" applyFill="1" applyBorder="1" applyAlignment="1">
      <alignment vertical="center" wrapText="1"/>
    </xf>
    <xf numFmtId="0" fontId="29" fillId="0" borderId="0" xfId="4" applyFont="1" applyFill="1"/>
    <xf numFmtId="3" fontId="29" fillId="0" borderId="0" xfId="4" applyNumberFormat="1" applyFont="1" applyFill="1" applyAlignment="1">
      <alignment horizontal="center" vertical="center"/>
    </xf>
    <xf numFmtId="3" fontId="29" fillId="0" borderId="0" xfId="4" applyNumberFormat="1" applyFont="1" applyFill="1"/>
    <xf numFmtId="3" fontId="28" fillId="0" borderId="2" xfId="0" applyNumberFormat="1" applyFont="1" applyFill="1" applyBorder="1" applyAlignment="1">
      <alignment horizontal="right" vertical="center" wrapText="1"/>
    </xf>
    <xf numFmtId="0" fontId="28" fillId="0" borderId="2" xfId="4" applyFont="1" applyFill="1" applyBorder="1" applyAlignment="1">
      <alignment horizontal="right" vertical="center" wrapText="1"/>
    </xf>
    <xf numFmtId="0" fontId="29" fillId="0" borderId="0" xfId="4" applyFont="1" applyFill="1" applyBorder="1"/>
    <xf numFmtId="0" fontId="29" fillId="0" borderId="0" xfId="4" applyFont="1" applyFill="1" applyAlignment="1">
      <alignment wrapText="1"/>
    </xf>
    <xf numFmtId="3" fontId="29" fillId="0" borderId="2" xfId="4" applyNumberFormat="1" applyFont="1" applyFill="1" applyBorder="1"/>
    <xf numFmtId="0" fontId="28" fillId="0" borderId="2" xfId="0" applyFont="1" applyFill="1" applyBorder="1" applyAlignment="1">
      <alignment horizontal="right" vertical="center" wrapText="1"/>
    </xf>
    <xf numFmtId="3" fontId="29" fillId="0" borderId="0" xfId="4" applyNumberFormat="1" applyFont="1" applyFill="1" applyBorder="1"/>
    <xf numFmtId="3" fontId="29" fillId="0" borderId="0" xfId="4" applyNumberFormat="1" applyFont="1" applyFill="1" applyBorder="1" applyAlignment="1">
      <alignment vertical="center" wrapText="1"/>
    </xf>
    <xf numFmtId="0" fontId="29" fillId="0" borderId="0" xfId="4" applyFont="1" applyFill="1" applyBorder="1" applyAlignment="1">
      <alignment vertical="center" wrapText="1"/>
    </xf>
    <xf numFmtId="0" fontId="28" fillId="0" borderId="0" xfId="4" applyFont="1" applyFill="1" applyBorder="1" applyAlignment="1">
      <alignment horizontal="right" vertical="center" wrapText="1"/>
    </xf>
    <xf numFmtId="3" fontId="32" fillId="0" borderId="0" xfId="4" applyNumberFormat="1" applyFont="1" applyFill="1" applyBorder="1" applyAlignment="1">
      <alignment vertical="center" wrapText="1"/>
    </xf>
    <xf numFmtId="3" fontId="31" fillId="0" borderId="0" xfId="4" applyNumberFormat="1" applyFont="1" applyFill="1" applyBorder="1" applyAlignment="1">
      <alignment vertical="center" wrapText="1"/>
    </xf>
    <xf numFmtId="0" fontId="27" fillId="0" borderId="0" xfId="4" applyFont="1" applyFill="1" applyAlignment="1"/>
    <xf numFmtId="0" fontId="27" fillId="0" borderId="0" xfId="4" applyFont="1" applyFill="1"/>
    <xf numFmtId="0" fontId="29" fillId="0" borderId="0" xfId="4" applyFont="1" applyFill="1" applyAlignment="1"/>
    <xf numFmtId="3" fontId="28" fillId="0" borderId="0" xfId="4" applyNumberFormat="1" applyFont="1" applyFill="1" applyBorder="1" applyAlignment="1">
      <alignment horizontal="right" vertical="center" wrapText="1"/>
    </xf>
    <xf numFmtId="0" fontId="44" fillId="0" borderId="2" xfId="4" applyFont="1" applyFill="1" applyBorder="1" applyAlignment="1">
      <alignment vertical="center" wrapText="1"/>
    </xf>
    <xf numFmtId="3" fontId="29" fillId="0" borderId="0" xfId="4" applyNumberFormat="1" applyFont="1" applyFill="1" applyAlignment="1">
      <alignment vertical="center" wrapText="1"/>
    </xf>
    <xf numFmtId="0" fontId="45" fillId="0" borderId="2" xfId="4" applyFont="1" applyFill="1" applyBorder="1" applyAlignment="1">
      <alignment vertical="center" wrapText="1"/>
    </xf>
    <xf numFmtId="0" fontId="29" fillId="0" borderId="0" xfId="4" applyNumberFormat="1" applyFont="1" applyFill="1" applyBorder="1"/>
    <xf numFmtId="0" fontId="32" fillId="0" borderId="2" xfId="4" applyFont="1" applyFill="1" applyBorder="1" applyAlignment="1">
      <alignment vertical="center" wrapText="1"/>
    </xf>
    <xf numFmtId="3" fontId="29" fillId="0" borderId="0" xfId="4" applyNumberFormat="1" applyFont="1" applyFill="1" applyBorder="1" applyAlignment="1">
      <alignment wrapText="1"/>
    </xf>
    <xf numFmtId="165" fontId="29" fillId="0" borderId="0" xfId="9" applyNumberFormat="1" applyFont="1" applyFill="1" applyBorder="1"/>
    <xf numFmtId="0" fontId="28" fillId="0" borderId="6" xfId="0" applyFont="1" applyFill="1" applyBorder="1" applyAlignment="1">
      <alignment horizontal="right" vertical="center" wrapText="1"/>
    </xf>
    <xf numFmtId="0" fontId="32" fillId="0" borderId="0" xfId="4" applyFont="1" applyFill="1" applyAlignment="1">
      <alignment vertical="center" wrapText="1"/>
    </xf>
    <xf numFmtId="0" fontId="29" fillId="0" borderId="2" xfId="4" applyFont="1" applyFill="1" applyBorder="1"/>
    <xf numFmtId="165" fontId="29" fillId="0" borderId="0" xfId="9" applyNumberFormat="1" applyFont="1" applyFill="1"/>
    <xf numFmtId="0" fontId="32" fillId="0" borderId="0" xfId="4" applyFont="1" applyFill="1" applyBorder="1" applyAlignment="1">
      <alignment vertical="center" wrapText="1"/>
    </xf>
    <xf numFmtId="164" fontId="29" fillId="0" borderId="0" xfId="4" applyNumberFormat="1" applyFont="1" applyFill="1" applyAlignment="1">
      <alignment vertical="center" wrapText="1"/>
    </xf>
    <xf numFmtId="0" fontId="35" fillId="0" borderId="0" xfId="4" applyFont="1" applyFill="1" applyBorder="1"/>
    <xf numFmtId="0" fontId="35" fillId="0" borderId="0" xfId="4" applyFont="1" applyFill="1" applyBorder="1" applyAlignment="1">
      <alignment horizontal="right" vertical="center" wrapText="1"/>
    </xf>
    <xf numFmtId="0" fontId="35" fillId="0" borderId="0" xfId="4" applyFont="1" applyFill="1" applyBorder="1" applyAlignment="1">
      <alignment horizontal="right" vertical="center"/>
    </xf>
    <xf numFmtId="0" fontId="35" fillId="0" borderId="0" xfId="4" applyFont="1" applyFill="1" applyBorder="1" applyAlignment="1">
      <alignment vertical="center"/>
    </xf>
    <xf numFmtId="0" fontId="32" fillId="0" borderId="2" xfId="4" applyFont="1" applyFill="1" applyBorder="1" applyAlignment="1">
      <alignment horizontal="right" vertical="center" wrapText="1"/>
    </xf>
    <xf numFmtId="0" fontId="32" fillId="0" borderId="0" xfId="4" applyFont="1" applyFill="1" applyBorder="1"/>
    <xf numFmtId="0" fontId="32" fillId="0" borderId="4" xfId="4" applyFont="1" applyFill="1" applyBorder="1" applyAlignment="1">
      <alignment horizontal="right" vertical="center" wrapText="1"/>
    </xf>
    <xf numFmtId="3" fontId="31" fillId="0" borderId="2" xfId="4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6" xfId="4" applyFont="1" applyFill="1" applyBorder="1" applyAlignment="1">
      <alignment vertical="center"/>
    </xf>
    <xf numFmtId="0" fontId="31" fillId="0" borderId="0" xfId="4" applyFont="1" applyFill="1" applyBorder="1"/>
    <xf numFmtId="3" fontId="31" fillId="0" borderId="0" xfId="4" applyNumberFormat="1" applyFont="1" applyFill="1" applyBorder="1"/>
    <xf numFmtId="0" fontId="31" fillId="0" borderId="0" xfId="4" applyFont="1" applyFill="1" applyBorder="1" applyAlignment="1">
      <alignment horizontal="right" vertical="center" wrapText="1"/>
    </xf>
    <xf numFmtId="0" fontId="31" fillId="0" borderId="0" xfId="4" applyFont="1" applyFill="1" applyBorder="1" applyAlignment="1">
      <alignment horizontal="right" vertical="center"/>
    </xf>
    <xf numFmtId="0" fontId="31" fillId="0" borderId="7" xfId="4" applyFont="1" applyFill="1" applyBorder="1" applyAlignment="1">
      <alignment horizontal="right" vertical="center"/>
    </xf>
    <xf numFmtId="0" fontId="31" fillId="0" borderId="8" xfId="4" applyFont="1" applyFill="1" applyBorder="1" applyAlignment="1">
      <alignment horizontal="right" vertical="center"/>
    </xf>
    <xf numFmtId="0" fontId="31" fillId="0" borderId="9" xfId="4" applyFont="1" applyFill="1" applyBorder="1" applyAlignment="1">
      <alignment horizontal="right" vertical="center"/>
    </xf>
    <xf numFmtId="0" fontId="32" fillId="0" borderId="2" xfId="4" applyFont="1" applyFill="1" applyBorder="1" applyAlignment="1">
      <alignment horizontal="right" vertical="center"/>
    </xf>
    <xf numFmtId="0" fontId="31" fillId="0" borderId="5" xfId="4" applyFont="1" applyFill="1" applyBorder="1" applyAlignment="1">
      <alignment vertical="center"/>
    </xf>
    <xf numFmtId="0" fontId="32" fillId="0" borderId="6" xfId="4" applyFont="1" applyFill="1" applyBorder="1" applyAlignment="1">
      <alignment horizontal="right" vertical="center"/>
    </xf>
    <xf numFmtId="3" fontId="32" fillId="0" borderId="2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0" fontId="32" fillId="0" borderId="0" xfId="4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0" fontId="45" fillId="0" borderId="0" xfId="4" applyFont="1" applyFill="1" applyAlignment="1">
      <alignment vertical="center" wrapText="1"/>
    </xf>
    <xf numFmtId="0" fontId="36" fillId="0" borderId="0" xfId="4" applyFont="1" applyFill="1" applyAlignment="1"/>
    <xf numFmtId="3" fontId="29" fillId="0" borderId="2" xfId="4" applyNumberFormat="1" applyFont="1" applyFill="1" applyBorder="1" applyAlignment="1">
      <alignment horizontal="right" vertical="center" wrapText="1"/>
    </xf>
    <xf numFmtId="3" fontId="45" fillId="0" borderId="2" xfId="4" applyNumberFormat="1" applyFont="1" applyFill="1" applyBorder="1" applyAlignment="1">
      <alignment vertical="center" wrapText="1"/>
    </xf>
    <xf numFmtId="3" fontId="40" fillId="0" borderId="2" xfId="4" applyNumberFormat="1" applyFont="1" applyFill="1" applyBorder="1" applyAlignment="1">
      <alignment vertical="center" wrapText="1"/>
    </xf>
    <xf numFmtId="0" fontId="31" fillId="0" borderId="0" xfId="16" applyFont="1"/>
    <xf numFmtId="49" fontId="31" fillId="0" borderId="0" xfId="16" applyNumberFormat="1" applyFont="1"/>
    <xf numFmtId="3" fontId="31" fillId="0" borderId="0" xfId="16" applyNumberFormat="1" applyFont="1"/>
    <xf numFmtId="0" fontId="31" fillId="0" borderId="11" xfId="16" applyFont="1" applyBorder="1"/>
    <xf numFmtId="0" fontId="31" fillId="0" borderId="12" xfId="16" applyFont="1" applyBorder="1"/>
    <xf numFmtId="0" fontId="31" fillId="0" borderId="18" xfId="16" applyFont="1" applyBorder="1"/>
    <xf numFmtId="3" fontId="31" fillId="0" borderId="2" xfId="16" applyNumberFormat="1" applyFont="1" applyBorder="1"/>
    <xf numFmtId="3" fontId="31" fillId="0" borderId="19" xfId="16" applyNumberFormat="1" applyFont="1" applyBorder="1"/>
    <xf numFmtId="0" fontId="32" fillId="0" borderId="12" xfId="16" applyFont="1" applyBorder="1"/>
    <xf numFmtId="3" fontId="31" fillId="0" borderId="18" xfId="16" applyNumberFormat="1" applyFont="1" applyBorder="1"/>
    <xf numFmtId="3" fontId="31" fillId="0" borderId="18" xfId="16" applyNumberFormat="1" applyFont="1" applyFill="1" applyBorder="1"/>
    <xf numFmtId="0" fontId="32" fillId="0" borderId="0" xfId="16" applyFont="1"/>
    <xf numFmtId="3" fontId="32" fillId="0" borderId="18" xfId="16" applyNumberFormat="1" applyFont="1" applyBorder="1"/>
    <xf numFmtId="3" fontId="32" fillId="0" borderId="2" xfId="16" applyNumberFormat="1" applyFont="1" applyBorder="1"/>
    <xf numFmtId="3" fontId="32" fillId="0" borderId="19" xfId="16" applyNumberFormat="1" applyFont="1" applyBorder="1"/>
    <xf numFmtId="3" fontId="31" fillId="0" borderId="17" xfId="16" applyNumberFormat="1" applyFont="1" applyBorder="1"/>
    <xf numFmtId="3" fontId="31" fillId="0" borderId="6" xfId="16" applyNumberFormat="1" applyFont="1" applyBorder="1"/>
    <xf numFmtId="0" fontId="32" fillId="0" borderId="13" xfId="16" applyFont="1" applyBorder="1"/>
    <xf numFmtId="3" fontId="32" fillId="0" borderId="20" xfId="16" applyNumberFormat="1" applyFont="1" applyBorder="1"/>
    <xf numFmtId="3" fontId="32" fillId="0" borderId="21" xfId="16" applyNumberFormat="1" applyFont="1" applyBorder="1"/>
    <xf numFmtId="3" fontId="32" fillId="0" borderId="22" xfId="16" applyNumberFormat="1" applyFont="1" applyBorder="1"/>
    <xf numFmtId="0" fontId="23" fillId="0" borderId="0" xfId="17"/>
    <xf numFmtId="0" fontId="50" fillId="0" borderId="0" xfId="17" applyFont="1" applyAlignment="1">
      <alignment horizontal="right" vertical="center" readingOrder="2"/>
    </xf>
    <xf numFmtId="0" fontId="51" fillId="0" borderId="0" xfId="17" applyFont="1" applyAlignment="1">
      <alignment horizontal="right" vertical="center" readingOrder="2"/>
    </xf>
    <xf numFmtId="0" fontId="52" fillId="0" borderId="0" xfId="17" applyFont="1" applyAlignment="1">
      <alignment horizontal="right" vertical="center" readingOrder="2"/>
    </xf>
    <xf numFmtId="0" fontId="53" fillId="0" borderId="0" xfId="17" applyFont="1" applyAlignment="1">
      <alignment horizontal="right" vertical="center" readingOrder="2"/>
    </xf>
    <xf numFmtId="0" fontId="54" fillId="0" borderId="0" xfId="17" applyFont="1" applyAlignment="1">
      <alignment horizontal="right" vertical="center" readingOrder="2"/>
    </xf>
    <xf numFmtId="166" fontId="53" fillId="0" borderId="30" xfId="10" applyNumberFormat="1" applyFont="1" applyBorder="1" applyAlignment="1">
      <alignment horizontal="right" vertical="center" readingOrder="2"/>
    </xf>
    <xf numFmtId="0" fontId="51" fillId="0" borderId="0" xfId="17" applyFont="1" applyBorder="1" applyAlignment="1">
      <alignment horizontal="right" vertical="center" readingOrder="2"/>
    </xf>
    <xf numFmtId="0" fontId="55" fillId="0" borderId="0" xfId="17" applyFont="1" applyAlignment="1">
      <alignment horizontal="right" vertical="center" readingOrder="2"/>
    </xf>
    <xf numFmtId="0" fontId="51" fillId="0" borderId="0" xfId="17" quotePrefix="1" applyFont="1" applyAlignment="1">
      <alignment horizontal="right" vertical="center" readingOrder="2"/>
    </xf>
    <xf numFmtId="0" fontId="56" fillId="0" borderId="0" xfId="17" applyFont="1" applyAlignment="1">
      <alignment horizontal="right" vertical="center" readingOrder="2"/>
    </xf>
    <xf numFmtId="0" fontId="57" fillId="0" borderId="0" xfId="17" applyFont="1" applyAlignment="1">
      <alignment horizontal="right" vertical="center" readingOrder="2"/>
    </xf>
    <xf numFmtId="0" fontId="58" fillId="0" borderId="0" xfId="17" applyFont="1"/>
    <xf numFmtId="166" fontId="51" fillId="0" borderId="0" xfId="18" applyNumberFormat="1" applyFont="1" applyAlignment="1">
      <alignment horizontal="right" vertical="center" readingOrder="2"/>
    </xf>
    <xf numFmtId="166" fontId="59" fillId="0" borderId="0" xfId="18" applyNumberFormat="1" applyFont="1" applyAlignment="1">
      <alignment horizontal="right" vertical="center" readingOrder="2"/>
    </xf>
    <xf numFmtId="166" fontId="60" fillId="0" borderId="0" xfId="17" applyNumberFormat="1" applyFont="1" applyAlignment="1">
      <alignment horizontal="right" vertical="center" readingOrder="2"/>
    </xf>
    <xf numFmtId="0" fontId="53" fillId="0" borderId="2" xfId="17" applyFont="1" applyBorder="1" applyAlignment="1">
      <alignment horizontal="center" vertical="center" readingOrder="2"/>
    </xf>
    <xf numFmtId="0" fontId="53" fillId="0" borderId="2" xfId="17" applyFont="1" applyBorder="1" applyAlignment="1">
      <alignment horizontal="center" vertical="center" wrapText="1" readingOrder="2"/>
    </xf>
    <xf numFmtId="0" fontId="53" fillId="0" borderId="2" xfId="17" applyFont="1" applyBorder="1" applyAlignment="1">
      <alignment horizontal="right" vertical="center" readingOrder="2"/>
    </xf>
    <xf numFmtId="166" fontId="51" fillId="0" borderId="2" xfId="18" applyNumberFormat="1" applyFont="1" applyBorder="1" applyAlignment="1">
      <alignment horizontal="right" vertical="center" readingOrder="2"/>
    </xf>
    <xf numFmtId="0" fontId="53" fillId="0" borderId="2" xfId="17" applyFont="1" applyBorder="1" applyAlignment="1">
      <alignment horizontal="right" vertical="center" wrapText="1" readingOrder="2"/>
    </xf>
    <xf numFmtId="3" fontId="53" fillId="0" borderId="0" xfId="17" applyNumberFormat="1" applyFont="1" applyBorder="1" applyAlignment="1">
      <alignment horizontal="right" vertical="center" readingOrder="2"/>
    </xf>
    <xf numFmtId="3" fontId="53" fillId="0" borderId="30" xfId="17" applyNumberFormat="1" applyFont="1" applyBorder="1" applyAlignment="1">
      <alignment horizontal="right" vertical="center" readingOrder="2"/>
    </xf>
    <xf numFmtId="0" fontId="53" fillId="0" borderId="31" xfId="17" applyFont="1" applyBorder="1" applyAlignment="1">
      <alignment horizontal="right" vertical="center" readingOrder="2"/>
    </xf>
    <xf numFmtId="0" fontId="61" fillId="0" borderId="32" xfId="17" applyFont="1" applyBorder="1"/>
    <xf numFmtId="0" fontId="23" fillId="0" borderId="33" xfId="17" applyBorder="1"/>
    <xf numFmtId="166" fontId="53" fillId="0" borderId="15" xfId="18" applyNumberFormat="1" applyFont="1" applyBorder="1" applyAlignment="1">
      <alignment horizontal="right" vertical="center" readingOrder="2"/>
    </xf>
    <xf numFmtId="166" fontId="53" fillId="0" borderId="16" xfId="18" applyNumberFormat="1" applyFont="1" applyBorder="1" applyAlignment="1">
      <alignment horizontal="right" vertical="center" readingOrder="2"/>
    </xf>
    <xf numFmtId="0" fontId="51" fillId="0" borderId="28" xfId="17" applyFont="1" applyBorder="1" applyAlignment="1">
      <alignment horizontal="right" vertical="center" readingOrder="2"/>
    </xf>
    <xf numFmtId="0" fontId="51" fillId="0" borderId="5" xfId="17" applyFont="1" applyBorder="1" applyAlignment="1">
      <alignment horizontal="right" vertical="center" readingOrder="2"/>
    </xf>
    <xf numFmtId="0" fontId="23" fillId="0" borderId="6" xfId="17" applyBorder="1"/>
    <xf numFmtId="3" fontId="51" fillId="0" borderId="2" xfId="17" applyNumberFormat="1" applyFont="1" applyBorder="1" applyAlignment="1">
      <alignment horizontal="right" vertical="center" readingOrder="2"/>
    </xf>
    <xf numFmtId="3" fontId="51" fillId="0" borderId="24" xfId="17" applyNumberFormat="1" applyFont="1" applyBorder="1" applyAlignment="1">
      <alignment horizontal="right" vertical="center" readingOrder="2"/>
    </xf>
    <xf numFmtId="9" fontId="23" fillId="0" borderId="0" xfId="9" applyFont="1"/>
    <xf numFmtId="0" fontId="51" fillId="0" borderId="4" xfId="17" applyFont="1" applyBorder="1" applyAlignment="1">
      <alignment horizontal="right" vertical="center" readingOrder="2"/>
    </xf>
    <xf numFmtId="0" fontId="51" fillId="0" borderId="34" xfId="17" applyFont="1" applyBorder="1" applyAlignment="1">
      <alignment horizontal="right" vertical="center" readingOrder="2"/>
    </xf>
    <xf numFmtId="0" fontId="51" fillId="0" borderId="9" xfId="17" applyFont="1" applyBorder="1" applyAlignment="1">
      <alignment horizontal="right" vertical="center" readingOrder="2"/>
    </xf>
    <xf numFmtId="0" fontId="23" fillId="0" borderId="8" xfId="17" applyBorder="1"/>
    <xf numFmtId="0" fontId="51" fillId="0" borderId="24" xfId="17" applyFont="1" applyBorder="1" applyAlignment="1">
      <alignment horizontal="right" vertical="center" readingOrder="2"/>
    </xf>
    <xf numFmtId="3" fontId="51" fillId="0" borderId="0" xfId="17" applyNumberFormat="1" applyFont="1" applyAlignment="1">
      <alignment horizontal="right" vertical="center" readingOrder="2"/>
    </xf>
    <xf numFmtId="0" fontId="53" fillId="0" borderId="35" xfId="17" applyFont="1" applyBorder="1" applyAlignment="1">
      <alignment horizontal="right" vertical="center" readingOrder="2"/>
    </xf>
    <xf numFmtId="0" fontId="51" fillId="0" borderId="36" xfId="17" applyFont="1" applyBorder="1" applyAlignment="1">
      <alignment horizontal="right" vertical="center" readingOrder="2"/>
    </xf>
    <xf numFmtId="0" fontId="23" fillId="0" borderId="37" xfId="17" applyBorder="1"/>
    <xf numFmtId="166" fontId="53" fillId="0" borderId="21" xfId="18" applyNumberFormat="1" applyFont="1" applyBorder="1" applyAlignment="1">
      <alignment vertical="center" readingOrder="2"/>
    </xf>
    <xf numFmtId="9" fontId="53" fillId="0" borderId="22" xfId="9" applyFont="1" applyBorder="1" applyAlignment="1">
      <alignment vertical="center" readingOrder="2"/>
    </xf>
    <xf numFmtId="0" fontId="53" fillId="0" borderId="0" xfId="17" applyFont="1" applyBorder="1" applyAlignment="1">
      <alignment horizontal="right" vertical="center" readingOrder="2"/>
    </xf>
    <xf numFmtId="0" fontId="23" fillId="0" borderId="0" xfId="17" applyBorder="1"/>
    <xf numFmtId="166" fontId="53" fillId="0" borderId="0" xfId="18" applyNumberFormat="1" applyFont="1" applyBorder="1" applyAlignment="1">
      <alignment horizontal="right" vertical="center" readingOrder="2"/>
    </xf>
    <xf numFmtId="166" fontId="53" fillId="0" borderId="23" xfId="18" applyNumberFormat="1" applyFont="1" applyBorder="1" applyAlignment="1">
      <alignment horizontal="right" vertical="center" readingOrder="2"/>
    </xf>
    <xf numFmtId="0" fontId="53" fillId="0" borderId="5" xfId="17" applyFont="1" applyBorder="1" applyAlignment="1">
      <alignment horizontal="right" vertical="center" readingOrder="2"/>
    </xf>
    <xf numFmtId="0" fontId="41" fillId="0" borderId="6" xfId="17" applyFont="1" applyBorder="1"/>
    <xf numFmtId="166" fontId="53" fillId="0" borderId="26" xfId="18" applyNumberFormat="1" applyFont="1" applyBorder="1" applyAlignment="1">
      <alignment horizontal="right" vertical="center" readingOrder="2"/>
    </xf>
    <xf numFmtId="9" fontId="53" fillId="0" borderId="22" xfId="9" applyFont="1" applyBorder="1" applyAlignment="1">
      <alignment horizontal="right" vertical="center" readingOrder="2"/>
    </xf>
    <xf numFmtId="0" fontId="62" fillId="0" borderId="0" xfId="17" applyFont="1" applyAlignment="1">
      <alignment horizontal="right" vertical="center" readingOrder="2"/>
    </xf>
    <xf numFmtId="0" fontId="31" fillId="0" borderId="0" xfId="16" applyFont="1" applyAlignment="1">
      <alignment horizontal="center" vertical="center"/>
    </xf>
    <xf numFmtId="3" fontId="31" fillId="0" borderId="2" xfId="16" applyNumberFormat="1" applyFont="1" applyBorder="1" applyAlignment="1">
      <alignment vertical="center"/>
    </xf>
    <xf numFmtId="3" fontId="29" fillId="0" borderId="2" xfId="16" applyNumberFormat="1" applyFont="1" applyBorder="1" applyAlignment="1">
      <alignment vertical="center" wrapText="1"/>
    </xf>
    <xf numFmtId="3" fontId="32" fillId="0" borderId="2" xfId="16" applyNumberFormat="1" applyFont="1" applyBorder="1" applyAlignment="1">
      <alignment vertical="center"/>
    </xf>
    <xf numFmtId="0" fontId="31" fillId="0" borderId="0" xfId="16" applyFont="1" applyAlignment="1">
      <alignment vertical="center"/>
    </xf>
    <xf numFmtId="0" fontId="31" fillId="0" borderId="0" xfId="16" applyFont="1" applyBorder="1" applyAlignment="1">
      <alignment vertical="center"/>
    </xf>
    <xf numFmtId="3" fontId="31" fillId="0" borderId="0" xfId="16" applyNumberFormat="1" applyFont="1" applyBorder="1" applyAlignment="1">
      <alignment vertical="center"/>
    </xf>
    <xf numFmtId="0" fontId="23" fillId="0" borderId="0" xfId="17" applyAlignment="1">
      <alignment horizontal="left"/>
    </xf>
    <xf numFmtId="0" fontId="57" fillId="0" borderId="0" xfId="17" applyFont="1" applyAlignment="1">
      <alignment horizontal="center" vertical="center" readingOrder="2"/>
    </xf>
    <xf numFmtId="0" fontId="51" fillId="0" borderId="0" xfId="17" quotePrefix="1" applyFont="1" applyAlignment="1">
      <alignment horizontal="left" vertical="center" readingOrder="2"/>
    </xf>
    <xf numFmtId="16" fontId="51" fillId="0" borderId="0" xfId="17" quotePrefix="1" applyNumberFormat="1" applyFont="1" applyAlignment="1">
      <alignment horizontal="left" vertical="center" readingOrder="2"/>
    </xf>
    <xf numFmtId="0" fontId="51" fillId="0" borderId="0" xfId="17" applyFont="1" applyAlignment="1">
      <alignment horizontal="left" vertical="center" readingOrder="2"/>
    </xf>
    <xf numFmtId="0" fontId="51" fillId="0" borderId="0" xfId="17" applyFont="1" applyAlignment="1">
      <alignment vertical="center" readingOrder="2"/>
    </xf>
    <xf numFmtId="0" fontId="28" fillId="0" borderId="2" xfId="16" applyFont="1" applyBorder="1" applyAlignment="1">
      <alignment horizontal="right" vertical="center" wrapText="1"/>
    </xf>
    <xf numFmtId="0" fontId="29" fillId="0" borderId="0" xfId="16" applyFont="1"/>
    <xf numFmtId="0" fontId="29" fillId="0" borderId="0" xfId="16" applyFont="1" applyAlignment="1"/>
    <xf numFmtId="0" fontId="29" fillId="0" borderId="0" xfId="16" applyFont="1" applyFill="1"/>
    <xf numFmtId="3" fontId="29" fillId="0" borderId="0" xfId="16" applyNumberFormat="1" applyFont="1" applyFill="1"/>
    <xf numFmtId="3" fontId="29" fillId="0" borderId="0" xfId="16" applyNumberFormat="1" applyFont="1"/>
    <xf numFmtId="3" fontId="28" fillId="0" borderId="2" xfId="16" applyNumberFormat="1" applyFont="1" applyFill="1" applyBorder="1" applyAlignment="1">
      <alignment horizontal="right" vertical="center" wrapText="1"/>
    </xf>
    <xf numFmtId="0" fontId="29" fillId="0" borderId="0" xfId="16" applyFont="1" applyAlignment="1">
      <alignment vertical="center" wrapText="1"/>
    </xf>
    <xf numFmtId="0" fontId="29" fillId="0" borderId="2" xfId="16" applyFont="1" applyBorder="1" applyAlignment="1">
      <alignment vertical="center" wrapText="1"/>
    </xf>
    <xf numFmtId="0" fontId="29" fillId="0" borderId="2" xfId="16" applyFont="1" applyFill="1" applyBorder="1" applyAlignment="1">
      <alignment vertical="center" wrapText="1"/>
    </xf>
    <xf numFmtId="3" fontId="29" fillId="0" borderId="2" xfId="16" applyNumberFormat="1" applyFont="1" applyFill="1" applyBorder="1" applyAlignment="1">
      <alignment vertical="center" wrapText="1"/>
    </xf>
    <xf numFmtId="0" fontId="28" fillId="0" borderId="0" xfId="16" applyFont="1" applyAlignment="1">
      <alignment vertical="center" wrapText="1"/>
    </xf>
    <xf numFmtId="0" fontId="28" fillId="0" borderId="2" xfId="16" applyFont="1" applyBorder="1" applyAlignment="1">
      <alignment vertical="center" wrapText="1"/>
    </xf>
    <xf numFmtId="0" fontId="29" fillId="0" borderId="0" xfId="16" applyFont="1" applyFill="1" applyAlignment="1">
      <alignment vertical="center" wrapText="1"/>
    </xf>
    <xf numFmtId="0" fontId="28" fillId="0" borderId="0" xfId="16" applyFont="1" applyFill="1" applyAlignment="1">
      <alignment vertical="center" wrapText="1"/>
    </xf>
    <xf numFmtId="0" fontId="28" fillId="0" borderId="2" xfId="16" applyFont="1" applyFill="1" applyBorder="1" applyAlignment="1">
      <alignment vertical="center" wrapText="1"/>
    </xf>
    <xf numFmtId="3" fontId="29" fillId="0" borderId="0" xfId="16" applyNumberFormat="1" applyFont="1" applyFill="1" applyBorder="1" applyAlignment="1">
      <alignment vertical="center" wrapText="1"/>
    </xf>
    <xf numFmtId="3" fontId="28" fillId="0" borderId="2" xfId="16" applyNumberFormat="1" applyFont="1" applyFill="1" applyBorder="1" applyAlignment="1">
      <alignment vertical="center" wrapText="1"/>
    </xf>
    <xf numFmtId="3" fontId="28" fillId="0" borderId="2" xfId="16" applyNumberFormat="1" applyFont="1" applyBorder="1" applyAlignment="1">
      <alignment vertical="center" wrapText="1"/>
    </xf>
    <xf numFmtId="0" fontId="29" fillId="0" borderId="2" xfId="16" applyFont="1" applyFill="1" applyBorder="1" applyAlignment="1"/>
    <xf numFmtId="0" fontId="29" fillId="0" borderId="0" xfId="16" applyFont="1" applyFill="1" applyAlignment="1">
      <alignment wrapText="1"/>
    </xf>
    <xf numFmtId="0" fontId="29" fillId="0" borderId="2" xfId="16" applyFont="1" applyFill="1" applyBorder="1"/>
    <xf numFmtId="0" fontId="32" fillId="0" borderId="2" xfId="16" applyFont="1" applyFill="1" applyBorder="1" applyAlignment="1">
      <alignment vertical="center" wrapText="1"/>
    </xf>
    <xf numFmtId="3" fontId="29" fillId="0" borderId="0" xfId="16" applyNumberFormat="1" applyFont="1" applyFill="1" applyAlignment="1">
      <alignment wrapText="1"/>
    </xf>
    <xf numFmtId="3" fontId="29" fillId="0" borderId="2" xfId="16" applyNumberFormat="1" applyFont="1" applyFill="1" applyBorder="1"/>
    <xf numFmtId="165" fontId="29" fillId="0" borderId="0" xfId="9" applyNumberFormat="1" applyFont="1" applyFill="1" applyAlignment="1">
      <alignment wrapText="1"/>
    </xf>
    <xf numFmtId="0" fontId="27" fillId="0" borderId="0" xfId="16" applyFont="1"/>
    <xf numFmtId="0" fontId="28" fillId="0" borderId="0" xfId="16" applyFont="1" applyBorder="1" applyAlignment="1">
      <alignment horizontal="right" vertical="center" wrapText="1"/>
    </xf>
    <xf numFmtId="3" fontId="31" fillId="0" borderId="2" xfId="16" applyNumberFormat="1" applyFont="1" applyFill="1" applyBorder="1" applyAlignment="1">
      <alignment vertical="center"/>
    </xf>
    <xf numFmtId="0" fontId="28" fillId="0" borderId="2" xfId="16" applyFont="1" applyFill="1" applyBorder="1" applyAlignment="1">
      <alignment horizontal="right" vertical="center" wrapText="1"/>
    </xf>
    <xf numFmtId="166" fontId="51" fillId="0" borderId="19" xfId="18" applyNumberFormat="1" applyFont="1" applyBorder="1" applyAlignment="1">
      <alignment horizontal="right" vertical="center" readingOrder="2"/>
    </xf>
    <xf numFmtId="0" fontId="53" fillId="0" borderId="20" xfId="17" applyFont="1" applyBorder="1" applyAlignment="1">
      <alignment horizontal="right" vertical="center" readingOrder="2"/>
    </xf>
    <xf numFmtId="0" fontId="23" fillId="0" borderId="25" xfId="17" applyBorder="1"/>
    <xf numFmtId="9" fontId="53" fillId="0" borderId="2" xfId="9" applyFont="1" applyBorder="1" applyAlignment="1">
      <alignment horizontal="right" vertical="center" readingOrder="2"/>
    </xf>
    <xf numFmtId="0" fontId="31" fillId="0" borderId="0" xfId="16" applyFont="1" applyFill="1"/>
    <xf numFmtId="0" fontId="35" fillId="0" borderId="0" xfId="16" applyFont="1" applyFill="1" applyAlignment="1">
      <alignment horizontal="center"/>
    </xf>
    <xf numFmtId="3" fontId="35" fillId="0" borderId="0" xfId="16" applyNumberFormat="1" applyFont="1" applyAlignment="1">
      <alignment horizontal="center"/>
    </xf>
    <xf numFmtId="0" fontId="27" fillId="0" borderId="0" xfId="0" applyFont="1" applyFill="1" applyAlignment="1"/>
    <xf numFmtId="3" fontId="63" fillId="0" borderId="21" xfId="17" applyNumberFormat="1" applyFont="1" applyBorder="1" applyAlignment="1">
      <alignment horizontal="right" vertical="center" readingOrder="2"/>
    </xf>
    <xf numFmtId="3" fontId="63" fillId="0" borderId="22" xfId="17" applyNumberFormat="1" applyFont="1" applyBorder="1" applyAlignment="1">
      <alignment horizontal="right" vertical="center" readingOrder="2"/>
    </xf>
    <xf numFmtId="0" fontId="53" fillId="0" borderId="39" xfId="17" applyFont="1" applyBorder="1" applyAlignment="1">
      <alignment horizontal="right" vertical="center" readingOrder="2"/>
    </xf>
    <xf numFmtId="0" fontId="61" fillId="0" borderId="31" xfId="17" applyFont="1" applyBorder="1"/>
    <xf numFmtId="0" fontId="51" fillId="0" borderId="39" xfId="17" applyFont="1" applyBorder="1" applyAlignment="1">
      <alignment horizontal="right" vertical="center" readingOrder="2"/>
    </xf>
    <xf numFmtId="3" fontId="29" fillId="0" borderId="0" xfId="13" quotePrefix="1" applyNumberFormat="1" applyFont="1" applyAlignment="1">
      <alignment horizontal="center" vertical="center"/>
    </xf>
    <xf numFmtId="0" fontId="35" fillId="0" borderId="0" xfId="16" applyFont="1" applyAlignment="1">
      <alignment horizontal="center"/>
    </xf>
    <xf numFmtId="0" fontId="36" fillId="0" borderId="0" xfId="16" applyFont="1" applyAlignment="1"/>
    <xf numFmtId="0" fontId="35" fillId="0" borderId="0" xfId="16" applyFont="1" applyAlignment="1"/>
    <xf numFmtId="166" fontId="29" fillId="0" borderId="2" xfId="10" applyNumberFormat="1" applyFont="1" applyFill="1" applyBorder="1" applyAlignment="1">
      <alignment vertical="center" wrapText="1"/>
    </xf>
    <xf numFmtId="0" fontId="63" fillId="0" borderId="0" xfId="17" applyFont="1" applyFill="1" applyAlignment="1">
      <alignment horizontal="right" vertical="center" readingOrder="2"/>
    </xf>
    <xf numFmtId="166" fontId="51" fillId="0" borderId="2" xfId="18" applyNumberFormat="1" applyFont="1" applyFill="1" applyBorder="1" applyAlignment="1">
      <alignment horizontal="right" vertical="center" readingOrder="2"/>
    </xf>
    <xf numFmtId="0" fontId="63" fillId="0" borderId="0" xfId="17" applyFont="1" applyAlignment="1">
      <alignment horizontal="right" vertical="center" readingOrder="2"/>
    </xf>
    <xf numFmtId="0" fontId="34" fillId="0" borderId="0" xfId="16"/>
    <xf numFmtId="0" fontId="52" fillId="0" borderId="0" xfId="16" applyFont="1" applyAlignment="1">
      <alignment horizontal="right" vertical="center" readingOrder="2"/>
    </xf>
    <xf numFmtId="0" fontId="51" fillId="0" borderId="0" xfId="16" applyFont="1" applyAlignment="1">
      <alignment horizontal="right" vertical="center" readingOrder="2"/>
    </xf>
    <xf numFmtId="0" fontId="51" fillId="0" borderId="0" xfId="16" quotePrefix="1" applyFont="1" applyAlignment="1">
      <alignment horizontal="right" vertical="center" readingOrder="2"/>
    </xf>
    <xf numFmtId="0" fontId="63" fillId="0" borderId="0" xfId="17" quotePrefix="1" applyFont="1" applyAlignment="1">
      <alignment horizontal="right" vertical="center" readingOrder="2"/>
    </xf>
    <xf numFmtId="0" fontId="53" fillId="0" borderId="28" xfId="17" applyFont="1" applyBorder="1" applyAlignment="1">
      <alignment horizontal="right" vertical="center" readingOrder="2"/>
    </xf>
    <xf numFmtId="0" fontId="22" fillId="0" borderId="0" xfId="20" applyBorder="1"/>
    <xf numFmtId="0" fontId="50" fillId="0" borderId="0" xfId="20" applyFont="1" applyBorder="1" applyAlignment="1">
      <alignment horizontal="right" vertical="center" readingOrder="2"/>
    </xf>
    <xf numFmtId="0" fontId="51" fillId="0" borderId="0" xfId="20" applyFont="1" applyBorder="1" applyAlignment="1">
      <alignment horizontal="right" vertical="center" readingOrder="2"/>
    </xf>
    <xf numFmtId="0" fontId="53" fillId="0" borderId="0" xfId="20" applyFont="1" applyBorder="1" applyAlignment="1">
      <alignment horizontal="right" vertical="center" readingOrder="2"/>
    </xf>
    <xf numFmtId="0" fontId="61" fillId="0" borderId="0" xfId="20" applyFont="1" applyBorder="1"/>
    <xf numFmtId="166" fontId="53" fillId="0" borderId="0" xfId="21" applyNumberFormat="1" applyFont="1" applyBorder="1" applyAlignment="1">
      <alignment horizontal="right" vertical="center" readingOrder="2"/>
    </xf>
    <xf numFmtId="3" fontId="51" fillId="0" borderId="0" xfId="20" applyNumberFormat="1" applyFont="1" applyBorder="1" applyAlignment="1">
      <alignment horizontal="right" vertical="center" readingOrder="2"/>
    </xf>
    <xf numFmtId="0" fontId="41" fillId="0" borderId="0" xfId="20" applyFont="1" applyBorder="1"/>
    <xf numFmtId="166" fontId="53" fillId="0" borderId="0" xfId="21" applyNumberFormat="1" applyFont="1" applyBorder="1" applyAlignment="1">
      <alignment vertical="center" readingOrder="2"/>
    </xf>
    <xf numFmtId="0" fontId="51" fillId="0" borderId="0" xfId="20" quotePrefix="1" applyFont="1" applyBorder="1" applyAlignment="1">
      <alignment horizontal="right" vertical="center" readingOrder="2"/>
    </xf>
    <xf numFmtId="0" fontId="52" fillId="0" borderId="0" xfId="20" applyFont="1" applyBorder="1" applyAlignment="1">
      <alignment horizontal="right" vertical="center" readingOrder="2"/>
    </xf>
    <xf numFmtId="0" fontId="62" fillId="0" borderId="0" xfId="20" applyFont="1" applyBorder="1" applyAlignment="1">
      <alignment horizontal="right" vertical="center" readingOrder="2"/>
    </xf>
    <xf numFmtId="0" fontId="51" fillId="0" borderId="0" xfId="22" applyFont="1" applyAlignment="1">
      <alignment horizontal="right" vertical="center" readingOrder="2"/>
    </xf>
    <xf numFmtId="0" fontId="21" fillId="0" borderId="0" xfId="22"/>
    <xf numFmtId="0" fontId="50" fillId="0" borderId="0" xfId="22" applyFont="1" applyAlignment="1">
      <alignment horizontal="right" vertical="center" readingOrder="2"/>
    </xf>
    <xf numFmtId="0" fontId="64" fillId="0" borderId="0" xfId="22" applyFont="1"/>
    <xf numFmtId="3" fontId="53" fillId="0" borderId="30" xfId="22" applyNumberFormat="1" applyFont="1" applyBorder="1" applyAlignment="1">
      <alignment horizontal="right" vertical="center" readingOrder="2"/>
    </xf>
    <xf numFmtId="0" fontId="53" fillId="0" borderId="16" xfId="22" applyFont="1" applyBorder="1" applyAlignment="1">
      <alignment horizontal="center" vertical="center" readingOrder="2"/>
    </xf>
    <xf numFmtId="0" fontId="53" fillId="0" borderId="0" xfId="22" applyFont="1" applyBorder="1" applyAlignment="1">
      <alignment horizontal="right" vertical="center" readingOrder="2"/>
    </xf>
    <xf numFmtId="0" fontId="51" fillId="0" borderId="18" xfId="22" applyFont="1" applyBorder="1" applyAlignment="1">
      <alignment horizontal="right" vertical="center" readingOrder="2"/>
    </xf>
    <xf numFmtId="3" fontId="51" fillId="0" borderId="19" xfId="22" applyNumberFormat="1" applyFont="1" applyBorder="1" applyAlignment="1">
      <alignment horizontal="center" vertical="center" readingOrder="2"/>
    </xf>
    <xf numFmtId="0" fontId="51" fillId="0" borderId="0" xfId="22" applyFont="1" applyBorder="1" applyAlignment="1">
      <alignment horizontal="right" vertical="center" readingOrder="2"/>
    </xf>
    <xf numFmtId="0" fontId="53" fillId="0" borderId="20" xfId="22" applyFont="1" applyBorder="1" applyAlignment="1">
      <alignment horizontal="right" vertical="center" readingOrder="2"/>
    </xf>
    <xf numFmtId="0" fontId="51" fillId="0" borderId="0" xfId="22" quotePrefix="1" applyFont="1" applyAlignment="1">
      <alignment horizontal="right" vertical="center" readingOrder="2"/>
    </xf>
    <xf numFmtId="0" fontId="53" fillId="0" borderId="30" xfId="22" applyFont="1" applyBorder="1" applyAlignment="1">
      <alignment horizontal="right" vertical="center" readingOrder="2"/>
    </xf>
    <xf numFmtId="0" fontId="53" fillId="0" borderId="14" xfId="22" applyFont="1" applyBorder="1" applyAlignment="1">
      <alignment horizontal="right" vertical="center" readingOrder="2"/>
    </xf>
    <xf numFmtId="0" fontId="53" fillId="0" borderId="15" xfId="22" applyFont="1" applyBorder="1" applyAlignment="1">
      <alignment horizontal="center" vertical="center" readingOrder="2"/>
    </xf>
    <xf numFmtId="0" fontId="53" fillId="0" borderId="16" xfId="22" applyFont="1" applyBorder="1" applyAlignment="1">
      <alignment horizontal="right" vertical="center" readingOrder="2"/>
    </xf>
    <xf numFmtId="3" fontId="51" fillId="0" borderId="2" xfId="22" applyNumberFormat="1" applyFont="1" applyBorder="1" applyAlignment="1">
      <alignment horizontal="center" vertical="center" readingOrder="2"/>
    </xf>
    <xf numFmtId="9" fontId="51" fillId="0" borderId="19" xfId="9" applyFont="1" applyBorder="1" applyAlignment="1">
      <alignment horizontal="right" vertical="center" readingOrder="2"/>
    </xf>
    <xf numFmtId="3" fontId="53" fillId="0" borderId="21" xfId="22" applyNumberFormat="1" applyFont="1" applyBorder="1" applyAlignment="1">
      <alignment horizontal="center" vertical="center" readingOrder="2"/>
    </xf>
    <xf numFmtId="3" fontId="53" fillId="0" borderId="19" xfId="22" applyNumberFormat="1" applyFont="1" applyBorder="1" applyAlignment="1">
      <alignment horizontal="center" vertical="center" readingOrder="2"/>
    </xf>
    <xf numFmtId="0" fontId="51" fillId="0" borderId="43" xfId="22" applyFont="1" applyBorder="1" applyAlignment="1">
      <alignment horizontal="right" vertical="center" readingOrder="2"/>
    </xf>
    <xf numFmtId="3" fontId="51" fillId="0" borderId="44" xfId="22" applyNumberFormat="1" applyFont="1" applyBorder="1" applyAlignment="1">
      <alignment horizontal="center" vertical="center" readingOrder="2"/>
    </xf>
    <xf numFmtId="0" fontId="51" fillId="0" borderId="20" xfId="22" applyFont="1" applyBorder="1" applyAlignment="1">
      <alignment horizontal="right" vertical="center" readingOrder="2"/>
    </xf>
    <xf numFmtId="3" fontId="51" fillId="0" borderId="22" xfId="22" applyNumberFormat="1" applyFont="1" applyBorder="1" applyAlignment="1">
      <alignment horizontal="center" vertical="center" readingOrder="2"/>
    </xf>
    <xf numFmtId="165" fontId="51" fillId="0" borderId="19" xfId="9" applyNumberFormat="1" applyFont="1" applyBorder="1" applyAlignment="1">
      <alignment horizontal="right" vertical="center" readingOrder="2"/>
    </xf>
    <xf numFmtId="0" fontId="51" fillId="0" borderId="43" xfId="22" applyFont="1" applyBorder="1" applyAlignment="1">
      <alignment horizontal="right" vertical="center" wrapText="1" readingOrder="2"/>
    </xf>
    <xf numFmtId="0" fontId="52" fillId="0" borderId="0" xfId="22" applyFont="1" applyAlignment="1">
      <alignment horizontal="right" vertical="center" readingOrder="2"/>
    </xf>
    <xf numFmtId="3" fontId="53" fillId="0" borderId="0" xfId="22" applyNumberFormat="1" applyFont="1" applyBorder="1" applyAlignment="1">
      <alignment horizontal="center" vertical="center" readingOrder="2"/>
    </xf>
    <xf numFmtId="3" fontId="51" fillId="0" borderId="2" xfId="22" applyNumberFormat="1" applyFont="1" applyBorder="1" applyAlignment="1">
      <alignment horizontal="right" vertical="center" readingOrder="2"/>
    </xf>
    <xf numFmtId="3" fontId="53" fillId="0" borderId="21" xfId="22" applyNumberFormat="1" applyFont="1" applyBorder="1" applyAlignment="1">
      <alignment horizontal="right" vertical="center" readingOrder="2"/>
    </xf>
    <xf numFmtId="9" fontId="53" fillId="0" borderId="0" xfId="9" applyFont="1" applyBorder="1" applyAlignment="1">
      <alignment horizontal="right" vertical="center" readingOrder="2"/>
    </xf>
    <xf numFmtId="0" fontId="46" fillId="0" borderId="0" xfId="4" applyFont="1" applyFill="1" applyBorder="1" applyAlignment="1">
      <alignment horizontal="right" vertical="center"/>
    </xf>
    <xf numFmtId="0" fontId="46" fillId="0" borderId="0" xfId="4" applyFont="1" applyFill="1" applyBorder="1" applyAlignment="1">
      <alignment vertical="center"/>
    </xf>
    <xf numFmtId="3" fontId="45" fillId="0" borderId="0" xfId="4" applyNumberFormat="1" applyFont="1" applyFill="1" applyBorder="1" applyAlignment="1">
      <alignment vertical="center" wrapText="1"/>
    </xf>
    <xf numFmtId="0" fontId="45" fillId="0" borderId="0" xfId="4" applyFont="1" applyFill="1" applyBorder="1" applyAlignment="1">
      <alignment vertical="center" wrapText="1"/>
    </xf>
    <xf numFmtId="3" fontId="28" fillId="0" borderId="2" xfId="4" applyNumberFormat="1" applyFont="1" applyFill="1" applyBorder="1" applyAlignment="1">
      <alignment horizontal="right" vertical="center"/>
    </xf>
    <xf numFmtId="3" fontId="28" fillId="0" borderId="2" xfId="4" applyNumberFormat="1" applyFont="1" applyFill="1" applyBorder="1" applyAlignment="1">
      <alignment vertical="center"/>
    </xf>
    <xf numFmtId="3" fontId="51" fillId="0" borderId="0" xfId="22" applyNumberFormat="1" applyFont="1" applyBorder="1" applyAlignment="1">
      <alignment horizontal="center" vertical="center" readingOrder="2"/>
    </xf>
    <xf numFmtId="9" fontId="51" fillId="0" borderId="0" xfId="9" applyFont="1" applyBorder="1" applyAlignment="1">
      <alignment horizontal="right" vertical="center" readingOrder="2"/>
    </xf>
    <xf numFmtId="0" fontId="49" fillId="0" borderId="0" xfId="16" applyFont="1" applyAlignment="1"/>
    <xf numFmtId="0" fontId="36" fillId="0" borderId="0" xfId="4" applyFont="1" applyFill="1" applyBorder="1" applyAlignment="1">
      <alignment vertical="center"/>
    </xf>
    <xf numFmtId="165" fontId="23" fillId="0" borderId="0" xfId="9" applyNumberFormat="1" applyFont="1"/>
    <xf numFmtId="165" fontId="53" fillId="0" borderId="22" xfId="9" applyNumberFormat="1" applyFont="1" applyBorder="1" applyAlignment="1">
      <alignment horizontal="right" vertical="center" readingOrder="2"/>
    </xf>
    <xf numFmtId="0" fontId="53" fillId="0" borderId="16" xfId="22" applyFont="1" applyBorder="1" applyAlignment="1">
      <alignment vertical="center" readingOrder="2"/>
    </xf>
    <xf numFmtId="165" fontId="51" fillId="0" borderId="19" xfId="9" applyNumberFormat="1" applyFont="1" applyBorder="1" applyAlignment="1">
      <alignment vertical="center" readingOrder="2"/>
    </xf>
    <xf numFmtId="0" fontId="27" fillId="0" borderId="0" xfId="4" applyFont="1" applyFill="1" applyAlignment="1">
      <alignment wrapText="1"/>
    </xf>
    <xf numFmtId="0" fontId="29" fillId="0" borderId="2" xfId="4" applyFont="1" applyFill="1" applyBorder="1" applyAlignment="1">
      <alignment vertical="center"/>
    </xf>
    <xf numFmtId="3" fontId="42" fillId="0" borderId="2" xfId="4" applyNumberFormat="1" applyFont="1" applyFill="1" applyBorder="1" applyAlignment="1">
      <alignment vertical="center" wrapText="1"/>
    </xf>
    <xf numFmtId="0" fontId="29" fillId="0" borderId="2" xfId="4" applyFont="1" applyFill="1" applyBorder="1" applyAlignment="1">
      <alignment horizontal="right" vertical="center" wrapText="1"/>
    </xf>
    <xf numFmtId="3" fontId="44" fillId="0" borderId="2" xfId="4" applyNumberFormat="1" applyFont="1" applyFill="1" applyBorder="1" applyAlignment="1">
      <alignment horizontal="right" vertical="center" wrapText="1"/>
    </xf>
    <xf numFmtId="0" fontId="36" fillId="0" borderId="0" xfId="16" applyFont="1" applyFill="1" applyAlignment="1"/>
    <xf numFmtId="0" fontId="27" fillId="0" borderId="0" xfId="16" applyFont="1" applyFill="1" applyAlignment="1"/>
    <xf numFmtId="0" fontId="27" fillId="0" borderId="0" xfId="16" applyFont="1" applyFill="1"/>
    <xf numFmtId="0" fontId="27" fillId="0" borderId="0" xfId="16" applyFont="1" applyFill="1" applyAlignment="1">
      <alignment wrapText="1"/>
    </xf>
    <xf numFmtId="0" fontId="29" fillId="0" borderId="0" xfId="16" applyFont="1" applyFill="1" applyAlignment="1"/>
    <xf numFmtId="0" fontId="29" fillId="0" borderId="0" xfId="16" applyFont="1" applyFill="1" applyAlignment="1">
      <alignment vertical="center"/>
    </xf>
    <xf numFmtId="3" fontId="28" fillId="0" borderId="0" xfId="16" applyNumberFormat="1" applyFont="1" applyFill="1" applyBorder="1" applyAlignment="1">
      <alignment horizontal="right" vertical="center" wrapText="1"/>
    </xf>
    <xf numFmtId="3" fontId="29" fillId="3" borderId="2" xfId="16" applyNumberFormat="1" applyFont="1" applyFill="1" applyBorder="1" applyAlignment="1">
      <alignment vertical="center" wrapText="1"/>
    </xf>
    <xf numFmtId="0" fontId="44" fillId="0" borderId="2" xfId="16" applyFont="1" applyFill="1" applyBorder="1" applyAlignment="1">
      <alignment horizontal="right" vertical="center" wrapText="1"/>
    </xf>
    <xf numFmtId="0" fontId="45" fillId="0" borderId="2" xfId="16" applyFont="1" applyFill="1" applyBorder="1" applyAlignment="1">
      <alignment vertical="center" wrapText="1"/>
    </xf>
    <xf numFmtId="0" fontId="29" fillId="0" borderId="2" xfId="16" applyFont="1" applyFill="1" applyBorder="1" applyAlignment="1">
      <alignment vertical="center"/>
    </xf>
    <xf numFmtId="3" fontId="29" fillId="0" borderId="2" xfId="16" applyNumberFormat="1" applyFont="1" applyFill="1" applyBorder="1" applyAlignment="1">
      <alignment horizontal="right" vertical="center" wrapText="1"/>
    </xf>
    <xf numFmtId="0" fontId="29" fillId="0" borderId="0" xfId="16" applyFont="1" applyFill="1" applyBorder="1" applyAlignment="1">
      <alignment vertical="center" wrapText="1"/>
    </xf>
    <xf numFmtId="0" fontId="28" fillId="0" borderId="2" xfId="16" applyFont="1" applyFill="1" applyBorder="1" applyAlignment="1">
      <alignment vertical="center"/>
    </xf>
    <xf numFmtId="0" fontId="28" fillId="0" borderId="0" xfId="16" applyFont="1" applyFill="1"/>
    <xf numFmtId="0" fontId="44" fillId="0" borderId="2" xfId="16" applyFont="1" applyFill="1" applyBorder="1" applyAlignment="1">
      <alignment vertical="center" wrapText="1"/>
    </xf>
    <xf numFmtId="0" fontId="29" fillId="0" borderId="0" xfId="16" applyFont="1" applyFill="1" applyBorder="1"/>
    <xf numFmtId="3" fontId="29" fillId="0" borderId="0" xfId="16" applyNumberFormat="1" applyFont="1" applyFill="1" applyBorder="1"/>
    <xf numFmtId="3" fontId="28" fillId="0" borderId="0" xfId="16" applyNumberFormat="1" applyFont="1" applyFill="1" applyBorder="1"/>
    <xf numFmtId="0" fontId="44" fillId="0" borderId="0" xfId="4" applyFont="1" applyFill="1" applyBorder="1" applyAlignment="1">
      <alignment wrapText="1"/>
    </xf>
    <xf numFmtId="0" fontId="44" fillId="0" borderId="0" xfId="4" applyFont="1" applyFill="1" applyAlignment="1">
      <alignment wrapText="1"/>
    </xf>
    <xf numFmtId="0" fontId="44" fillId="0" borderId="0" xfId="16" applyFont="1" applyFill="1" applyBorder="1" applyAlignment="1">
      <alignment wrapText="1"/>
    </xf>
    <xf numFmtId="0" fontId="44" fillId="0" borderId="0" xfId="16" applyFont="1" applyFill="1" applyBorder="1" applyAlignment="1"/>
    <xf numFmtId="0" fontId="44" fillId="0" borderId="0" xfId="16" applyFont="1" applyFill="1"/>
    <xf numFmtId="0" fontId="44" fillId="0" borderId="0" xfId="4" applyFont="1" applyFill="1" applyBorder="1" applyAlignment="1">
      <alignment vertical="center" wrapText="1"/>
    </xf>
    <xf numFmtId="0" fontId="44" fillId="0" borderId="0" xfId="4" applyFont="1" applyFill="1" applyBorder="1"/>
    <xf numFmtId="0" fontId="28" fillId="0" borderId="0" xfId="16" applyFont="1" applyFill="1" applyBorder="1" applyAlignment="1">
      <alignment horizontal="right" vertical="center" wrapText="1"/>
    </xf>
    <xf numFmtId="0" fontId="29" fillId="0" borderId="2" xfId="16" applyFont="1" applyFill="1" applyBorder="1" applyAlignment="1">
      <alignment wrapText="1"/>
    </xf>
    <xf numFmtId="166" fontId="29" fillId="0" borderId="2" xfId="10" applyNumberFormat="1" applyFont="1" applyFill="1" applyBorder="1" applyAlignment="1">
      <alignment horizontal="right" vertical="center" wrapText="1"/>
    </xf>
    <xf numFmtId="3" fontId="29" fillId="0" borderId="0" xfId="16" applyNumberFormat="1" applyFont="1" applyAlignment="1">
      <alignment vertical="center" wrapText="1"/>
    </xf>
    <xf numFmtId="3" fontId="27" fillId="0" borderId="0" xfId="16" applyNumberFormat="1" applyFont="1" applyFill="1"/>
    <xf numFmtId="164" fontId="30" fillId="0" borderId="2" xfId="4" applyNumberFormat="1" applyFont="1" applyFill="1" applyBorder="1" applyAlignment="1">
      <alignment vertical="top"/>
    </xf>
    <xf numFmtId="3" fontId="29" fillId="0" borderId="2" xfId="4" applyNumberFormat="1" applyFont="1" applyFill="1" applyBorder="1" applyAlignment="1">
      <alignment vertical="center"/>
    </xf>
    <xf numFmtId="166" fontId="31" fillId="0" borderId="0" xfId="10" applyNumberFormat="1" applyFont="1" applyFill="1" applyBorder="1" applyAlignment="1">
      <alignment horizontal="right" vertical="center"/>
    </xf>
    <xf numFmtId="0" fontId="35" fillId="0" borderId="0" xfId="16" applyFont="1" applyFill="1" applyAlignment="1"/>
    <xf numFmtId="0" fontId="27" fillId="0" borderId="0" xfId="16" applyFont="1" applyFill="1" applyBorder="1"/>
    <xf numFmtId="0" fontId="68" fillId="0" borderId="0" xfId="17" quotePrefix="1" applyFont="1" applyFill="1" applyAlignment="1">
      <alignment horizontal="right" vertical="center" readingOrder="2"/>
    </xf>
    <xf numFmtId="3" fontId="29" fillId="0" borderId="0" xfId="16" applyNumberFormat="1" applyFont="1" applyFill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2" xfId="16" applyFont="1" applyFill="1" applyBorder="1" applyAlignment="1"/>
    <xf numFmtId="0" fontId="69" fillId="0" borderId="0" xfId="4" applyFont="1" applyFill="1" applyBorder="1" applyAlignment="1">
      <alignment horizontal="right" vertical="center" wrapText="1"/>
    </xf>
    <xf numFmtId="0" fontId="69" fillId="0" borderId="0" xfId="4" applyFont="1" applyFill="1" applyBorder="1" applyAlignment="1">
      <alignment horizontal="right" vertical="center"/>
    </xf>
    <xf numFmtId="0" fontId="69" fillId="0" borderId="0" xfId="4" applyFont="1" applyFill="1" applyBorder="1"/>
    <xf numFmtId="0" fontId="29" fillId="0" borderId="0" xfId="16" applyFont="1" applyFill="1" applyAlignment="1">
      <alignment horizontal="right" wrapText="1"/>
    </xf>
    <xf numFmtId="0" fontId="29" fillId="0" borderId="2" xfId="16" applyFont="1" applyFill="1" applyBorder="1" applyAlignment="1">
      <alignment horizontal="right" vertical="center" wrapText="1"/>
    </xf>
    <xf numFmtId="165" fontId="29" fillId="0" borderId="0" xfId="16" applyNumberFormat="1" applyFont="1" applyFill="1" applyAlignment="1">
      <alignment horizontal="right" wrapText="1"/>
    </xf>
    <xf numFmtId="0" fontId="36" fillId="0" borderId="0" xfId="16" applyFont="1" applyFill="1" applyAlignment="1">
      <alignment wrapText="1"/>
    </xf>
    <xf numFmtId="0" fontId="29" fillId="0" borderId="0" xfId="16" applyFont="1" applyFill="1" applyBorder="1" applyAlignment="1">
      <alignment wrapText="1"/>
    </xf>
    <xf numFmtId="166" fontId="51" fillId="0" borderId="0" xfId="17" applyNumberFormat="1" applyFont="1" applyAlignment="1">
      <alignment horizontal="right" vertical="center" readingOrder="2"/>
    </xf>
    <xf numFmtId="0" fontId="29" fillId="0" borderId="2" xfId="16" applyFont="1" applyBorder="1" applyAlignment="1">
      <alignment horizontal="right" vertical="center" wrapText="1"/>
    </xf>
    <xf numFmtId="0" fontId="45" fillId="0" borderId="0" xfId="16" applyFont="1" applyFill="1" applyAlignment="1">
      <alignment vertical="center" wrapText="1"/>
    </xf>
    <xf numFmtId="3" fontId="45" fillId="0" borderId="0" xfId="4" applyNumberFormat="1" applyFont="1" applyFill="1" applyAlignment="1">
      <alignment vertical="center" wrapText="1"/>
    </xf>
    <xf numFmtId="0" fontId="70" fillId="0" borderId="0" xfId="16" applyFont="1" applyFill="1"/>
    <xf numFmtId="164" fontId="45" fillId="0" borderId="0" xfId="4" applyNumberFormat="1" applyFont="1" applyFill="1" applyAlignment="1">
      <alignment vertical="center" wrapText="1"/>
    </xf>
    <xf numFmtId="0" fontId="45" fillId="0" borderId="0" xfId="4" applyFont="1" applyFill="1"/>
    <xf numFmtId="0" fontId="51" fillId="0" borderId="0" xfId="30" applyFont="1" applyAlignment="1">
      <alignment horizontal="right" vertical="center" readingOrder="2"/>
    </xf>
    <xf numFmtId="0" fontId="17" fillId="0" borderId="0" xfId="30"/>
    <xf numFmtId="0" fontId="50" fillId="0" borderId="0" xfId="30" applyFont="1" applyAlignment="1">
      <alignment horizontal="right" vertical="center" readingOrder="2"/>
    </xf>
    <xf numFmtId="0" fontId="64" fillId="0" borderId="0" xfId="30" applyFont="1"/>
    <xf numFmtId="3" fontId="53" fillId="0" borderId="30" xfId="30" applyNumberFormat="1" applyFont="1" applyBorder="1" applyAlignment="1">
      <alignment horizontal="right" vertical="center" readingOrder="2"/>
    </xf>
    <xf numFmtId="0" fontId="51" fillId="0" borderId="0" xfId="30" applyFont="1" applyBorder="1" applyAlignment="1">
      <alignment horizontal="right" vertical="center" readingOrder="2"/>
    </xf>
    <xf numFmtId="3" fontId="51" fillId="0" borderId="10" xfId="22" applyNumberFormat="1" applyFont="1" applyBorder="1" applyAlignment="1">
      <alignment horizontal="center" vertical="center" readingOrder="2"/>
    </xf>
    <xf numFmtId="0" fontId="71" fillId="0" borderId="0" xfId="22" applyFont="1" applyAlignment="1">
      <alignment horizontal="right" vertical="center" readingOrder="2"/>
    </xf>
    <xf numFmtId="0" fontId="45" fillId="0" borderId="0" xfId="16" applyFont="1" applyFill="1"/>
    <xf numFmtId="0" fontId="45" fillId="0" borderId="2" xfId="4" applyFont="1" applyFill="1" applyBorder="1" applyAlignment="1">
      <alignment vertical="center"/>
    </xf>
    <xf numFmtId="3" fontId="63" fillId="0" borderId="21" xfId="22" applyNumberFormat="1" applyFont="1" applyBorder="1" applyAlignment="1">
      <alignment horizontal="center" vertical="center" readingOrder="2"/>
    </xf>
    <xf numFmtId="9" fontId="63" fillId="0" borderId="22" xfId="9" applyFont="1" applyBorder="1" applyAlignment="1">
      <alignment horizontal="right" vertical="center" readingOrder="2"/>
    </xf>
    <xf numFmtId="0" fontId="45" fillId="0" borderId="0" xfId="4" applyFont="1" applyFill="1" applyBorder="1" applyAlignment="1">
      <alignment horizontal="right" vertical="center" wrapText="1"/>
    </xf>
    <xf numFmtId="3" fontId="45" fillId="0" borderId="2" xfId="16" applyNumberFormat="1" applyFont="1" applyFill="1" applyBorder="1" applyAlignment="1">
      <alignment vertical="center" wrapText="1"/>
    </xf>
    <xf numFmtId="3" fontId="45" fillId="0" borderId="0" xfId="16" applyNumberFormat="1" applyFont="1" applyFill="1" applyBorder="1" applyAlignment="1">
      <alignment vertical="center" wrapText="1"/>
    </xf>
    <xf numFmtId="3" fontId="45" fillId="0" borderId="2" xfId="16" applyNumberFormat="1" applyFont="1" applyFill="1" applyBorder="1" applyAlignment="1">
      <alignment horizontal="right" vertical="center" wrapText="1"/>
    </xf>
    <xf numFmtId="0" fontId="17" fillId="0" borderId="0" xfId="22" applyFont="1"/>
    <xf numFmtId="0" fontId="72" fillId="0" borderId="0" xfId="22" applyFont="1"/>
    <xf numFmtId="0" fontId="73" fillId="0" borderId="0" xfId="30" applyFont="1" applyAlignment="1">
      <alignment horizontal="right" vertical="center" readingOrder="2"/>
    </xf>
    <xf numFmtId="0" fontId="73" fillId="0" borderId="0" xfId="22" applyFont="1" applyAlignment="1">
      <alignment horizontal="right" vertical="center" readingOrder="2"/>
    </xf>
    <xf numFmtId="0" fontId="16" fillId="0" borderId="0" xfId="22" applyFont="1"/>
    <xf numFmtId="0" fontId="74" fillId="0" borderId="0" xfId="22" applyFont="1"/>
    <xf numFmtId="165" fontId="63" fillId="0" borderId="22" xfId="9" applyNumberFormat="1" applyFont="1" applyBorder="1" applyAlignment="1">
      <alignment horizontal="right" vertical="center" readingOrder="2"/>
    </xf>
    <xf numFmtId="166" fontId="31" fillId="0" borderId="0" xfId="4" applyNumberFormat="1" applyFont="1" applyFill="1" applyBorder="1" applyAlignment="1">
      <alignment horizontal="right" vertical="center"/>
    </xf>
    <xf numFmtId="0" fontId="71" fillId="0" borderId="0" xfId="17" applyFont="1"/>
    <xf numFmtId="0" fontId="63" fillId="0" borderId="0" xfId="30" applyFont="1" applyAlignment="1">
      <alignment horizontal="right" vertical="center" readingOrder="2"/>
    </xf>
    <xf numFmtId="0" fontId="41" fillId="0" borderId="0" xfId="30" applyFont="1"/>
    <xf numFmtId="0" fontId="75" fillId="0" borderId="0" xfId="30" applyFont="1"/>
    <xf numFmtId="0" fontId="53" fillId="0" borderId="0" xfId="30" applyFont="1" applyAlignment="1">
      <alignment horizontal="right" vertical="center" readingOrder="2"/>
    </xf>
    <xf numFmtId="165" fontId="63" fillId="0" borderId="22" xfId="9" applyNumberFormat="1" applyFont="1" applyBorder="1" applyAlignment="1">
      <alignment vertical="center" readingOrder="2"/>
    </xf>
    <xf numFmtId="0" fontId="29" fillId="0" borderId="2" xfId="16" applyFont="1" applyFill="1" applyBorder="1" applyAlignment="1">
      <alignment horizontal="right" wrapText="1"/>
    </xf>
    <xf numFmtId="0" fontId="27" fillId="0" borderId="0" xfId="0" applyFont="1" applyFill="1" applyAlignment="1">
      <alignment wrapText="1"/>
    </xf>
    <xf numFmtId="0" fontId="53" fillId="0" borderId="15" xfId="17" applyFont="1" applyBorder="1" applyAlignment="1">
      <alignment horizontal="right" vertical="center" readingOrder="2"/>
    </xf>
    <xf numFmtId="3" fontId="31" fillId="0" borderId="28" xfId="16" applyNumberFormat="1" applyFont="1" applyBorder="1"/>
    <xf numFmtId="0" fontId="51" fillId="0" borderId="18" xfId="22" applyFont="1" applyBorder="1" applyAlignment="1">
      <alignment horizontal="right" vertical="center" wrapText="1" readingOrder="2"/>
    </xf>
    <xf numFmtId="0" fontId="76" fillId="0" borderId="0" xfId="17" applyFont="1" applyAlignment="1">
      <alignment horizontal="right" vertical="center" readingOrder="2"/>
    </xf>
    <xf numFmtId="0" fontId="77" fillId="0" borderId="0" xfId="17" applyFont="1"/>
    <xf numFmtId="0" fontId="78" fillId="0" borderId="0" xfId="17" applyFont="1"/>
    <xf numFmtId="166" fontId="51" fillId="0" borderId="19" xfId="18" applyNumberFormat="1" applyFont="1" applyBorder="1" applyAlignment="1">
      <alignment vertical="center" readingOrder="2"/>
    </xf>
    <xf numFmtId="0" fontId="29" fillId="0" borderId="2" xfId="4" applyFont="1" applyFill="1" applyBorder="1" applyAlignment="1">
      <alignment wrapText="1"/>
    </xf>
    <xf numFmtId="0" fontId="27" fillId="0" borderId="2" xfId="16" applyFont="1" applyFill="1" applyBorder="1"/>
    <xf numFmtId="3" fontId="29" fillId="0" borderId="2" xfId="4" applyNumberFormat="1" applyFont="1" applyFill="1" applyBorder="1" applyAlignment="1">
      <alignment wrapText="1"/>
    </xf>
    <xf numFmtId="3" fontId="44" fillId="0" borderId="2" xfId="4" applyNumberFormat="1" applyFont="1" applyFill="1" applyBorder="1" applyAlignment="1">
      <alignment vertical="center" wrapText="1"/>
    </xf>
    <xf numFmtId="0" fontId="29" fillId="0" borderId="5" xfId="16" applyFont="1" applyFill="1" applyBorder="1"/>
    <xf numFmtId="0" fontId="29" fillId="0" borderId="6" xfId="16" applyFont="1" applyFill="1" applyBorder="1"/>
    <xf numFmtId="0" fontId="29" fillId="0" borderId="2" xfId="16" applyFont="1" applyBorder="1"/>
    <xf numFmtId="0" fontId="31" fillId="0" borderId="2" xfId="4" applyFont="1" applyFill="1" applyBorder="1" applyAlignment="1">
      <alignment vertical="center"/>
    </xf>
    <xf numFmtId="0" fontId="31" fillId="0" borderId="0" xfId="16" applyFont="1" applyAlignment="1"/>
    <xf numFmtId="0" fontId="31" fillId="0" borderId="0" xfId="16" applyFont="1" applyAlignment="1">
      <alignment wrapText="1"/>
    </xf>
    <xf numFmtId="0" fontId="35" fillId="0" borderId="0" xfId="16" applyFont="1" applyAlignment="1">
      <alignment horizontal="center" wrapText="1"/>
    </xf>
    <xf numFmtId="166" fontId="29" fillId="0" borderId="0" xfId="10" applyNumberFormat="1" applyFont="1" applyFill="1" applyAlignment="1">
      <alignment wrapText="1"/>
    </xf>
    <xf numFmtId="166" fontId="45" fillId="0" borderId="0" xfId="10" applyNumberFormat="1" applyFont="1" applyFill="1" applyAlignment="1">
      <alignment wrapText="1"/>
    </xf>
    <xf numFmtId="3" fontId="44" fillId="0" borderId="2" xfId="16" applyNumberFormat="1" applyFont="1" applyFill="1" applyBorder="1" applyAlignment="1">
      <alignment vertical="center" wrapText="1"/>
    </xf>
    <xf numFmtId="0" fontId="29" fillId="0" borderId="2" xfId="4" applyFont="1" applyBorder="1" applyAlignment="1">
      <alignment vertical="center"/>
    </xf>
    <xf numFmtId="0" fontId="29" fillId="0" borderId="2" xfId="4" applyFont="1" applyBorder="1" applyAlignment="1">
      <alignment vertical="center" wrapText="1"/>
    </xf>
    <xf numFmtId="3" fontId="29" fillId="0" borderId="2" xfId="4" applyNumberFormat="1" applyFont="1" applyBorder="1" applyAlignment="1">
      <alignment vertical="center" wrapText="1"/>
    </xf>
    <xf numFmtId="166" fontId="29" fillId="0" borderId="2" xfId="10" applyNumberFormat="1" applyFont="1" applyBorder="1" applyAlignment="1">
      <alignment vertical="center" wrapText="1"/>
    </xf>
    <xf numFmtId="0" fontId="29" fillId="0" borderId="0" xfId="4" applyFont="1" applyAlignment="1">
      <alignment vertical="center" wrapText="1"/>
    </xf>
    <xf numFmtId="0" fontId="28" fillId="0" borderId="2" xfId="4" applyFont="1" applyBorder="1" applyAlignment="1">
      <alignment horizontal="right" vertical="center" wrapText="1"/>
    </xf>
    <xf numFmtId="0" fontId="28" fillId="0" borderId="0" xfId="4" applyFont="1" applyAlignment="1">
      <alignment horizontal="right" vertical="center" wrapText="1"/>
    </xf>
    <xf numFmtId="0" fontId="44" fillId="0" borderId="2" xfId="4" applyFont="1" applyBorder="1" applyAlignment="1">
      <alignment vertical="center" wrapText="1"/>
    </xf>
    <xf numFmtId="0" fontId="29" fillId="0" borderId="0" xfId="4" applyFont="1"/>
    <xf numFmtId="0" fontId="29" fillId="0" borderId="0" xfId="4" applyFont="1" applyAlignment="1">
      <alignment wrapText="1"/>
    </xf>
    <xf numFmtId="3" fontId="29" fillId="0" borderId="0" xfId="4" applyNumberFormat="1" applyFont="1"/>
    <xf numFmtId="0" fontId="45" fillId="0" borderId="2" xfId="4" applyFont="1" applyBorder="1" applyAlignment="1">
      <alignment vertical="center" wrapText="1"/>
    </xf>
    <xf numFmtId="0" fontId="80" fillId="0" borderId="0" xfId="16" applyFont="1"/>
    <xf numFmtId="0" fontId="29" fillId="0" borderId="2" xfId="4" quotePrefix="1" applyFont="1" applyFill="1" applyBorder="1" applyAlignment="1">
      <alignment vertical="center" wrapText="1"/>
    </xf>
    <xf numFmtId="0" fontId="44" fillId="0" borderId="2" xfId="4" quotePrefix="1" applyFont="1" applyFill="1" applyBorder="1" applyAlignment="1">
      <alignment vertical="center" wrapText="1"/>
    </xf>
    <xf numFmtId="3" fontId="31" fillId="0" borderId="0" xfId="16" applyNumberFormat="1" applyFont="1" applyAlignment="1">
      <alignment horizontal="center" vertical="center"/>
    </xf>
    <xf numFmtId="0" fontId="47" fillId="0" borderId="0" xfId="4" applyFont="1" applyFill="1" applyBorder="1" applyAlignment="1">
      <alignment horizontal="right" vertical="center"/>
    </xf>
    <xf numFmtId="0" fontId="63" fillId="0" borderId="0" xfId="16" applyFont="1" applyAlignment="1">
      <alignment horizontal="right" vertical="center" readingOrder="2"/>
    </xf>
    <xf numFmtId="0" fontId="81" fillId="0" borderId="0" xfId="4" quotePrefix="1" applyFont="1" applyFill="1" applyAlignment="1"/>
    <xf numFmtId="0" fontId="81" fillId="0" borderId="0" xfId="4" quotePrefix="1" applyFont="1" applyFill="1" applyAlignment="1">
      <alignment horizontal="center" vertical="center"/>
    </xf>
    <xf numFmtId="0" fontId="81" fillId="0" borderId="0" xfId="4" quotePrefix="1" applyFont="1" applyFill="1" applyAlignment="1">
      <alignment horizontal="center"/>
    </xf>
    <xf numFmtId="3" fontId="44" fillId="0" borderId="2" xfId="16" applyNumberFormat="1" applyFont="1" applyFill="1" applyBorder="1" applyAlignment="1">
      <alignment horizontal="right" vertical="center" wrapText="1"/>
    </xf>
    <xf numFmtId="0" fontId="45" fillId="0" borderId="2" xfId="4" applyFont="1" applyFill="1" applyBorder="1" applyAlignment="1">
      <alignment horizontal="right" vertical="center" wrapText="1"/>
    </xf>
    <xf numFmtId="0" fontId="29" fillId="0" borderId="2" xfId="4" applyNumberFormat="1" applyFont="1" applyFill="1" applyBorder="1" applyAlignment="1">
      <alignment vertical="center" wrapText="1"/>
    </xf>
    <xf numFmtId="0" fontId="65" fillId="0" borderId="0" xfId="30" applyFont="1" applyAlignment="1">
      <alignment horizontal="right" vertical="center" readingOrder="2"/>
    </xf>
    <xf numFmtId="0" fontId="51" fillId="0" borderId="0" xfId="30" applyFont="1" applyAlignment="1">
      <alignment vertical="center" readingOrder="2"/>
    </xf>
    <xf numFmtId="0" fontId="63" fillId="0" borderId="0" xfId="22" applyFont="1" applyAlignment="1">
      <alignment horizontal="right" vertical="center" readingOrder="2"/>
    </xf>
    <xf numFmtId="3" fontId="65" fillId="0" borderId="3" xfId="22" applyNumberFormat="1" applyFont="1" applyBorder="1" applyAlignment="1">
      <alignment horizontal="center" vertical="center" readingOrder="2"/>
    </xf>
    <xf numFmtId="0" fontId="44" fillId="0" borderId="2" xfId="16" applyFont="1" applyBorder="1" applyAlignment="1">
      <alignment horizontal="right" vertical="center" wrapText="1"/>
    </xf>
    <xf numFmtId="0" fontId="44" fillId="0" borderId="2" xfId="16" applyFont="1" applyBorder="1" applyAlignment="1">
      <alignment vertical="center" wrapText="1"/>
    </xf>
    <xf numFmtId="3" fontId="44" fillId="0" borderId="2" xfId="4" applyNumberFormat="1" applyFont="1" applyBorder="1" applyAlignment="1">
      <alignment horizontal="right" vertical="center" wrapText="1"/>
    </xf>
    <xf numFmtId="9" fontId="63" fillId="0" borderId="0" xfId="9" applyFont="1" applyBorder="1" applyAlignment="1">
      <alignment horizontal="right" vertical="center" readingOrder="2"/>
    </xf>
    <xf numFmtId="3" fontId="65" fillId="0" borderId="19" xfId="22" applyNumberFormat="1" applyFont="1" applyBorder="1" applyAlignment="1">
      <alignment horizontal="center" vertical="center" readingOrder="2"/>
    </xf>
    <xf numFmtId="0" fontId="45" fillId="0" borderId="2" xfId="16" applyFont="1" applyFill="1" applyBorder="1" applyAlignment="1">
      <alignment horizontal="right" vertical="center" wrapText="1"/>
    </xf>
    <xf numFmtId="0" fontId="45" fillId="0" borderId="2" xfId="4" applyFont="1" applyFill="1" applyBorder="1"/>
    <xf numFmtId="3" fontId="45" fillId="0" borderId="2" xfId="4" applyNumberFormat="1" applyFont="1" applyFill="1" applyBorder="1" applyAlignment="1">
      <alignment vertical="center"/>
    </xf>
    <xf numFmtId="0" fontId="45" fillId="0" borderId="0" xfId="4" applyFont="1" applyFill="1" applyAlignment="1">
      <alignment vertical="center"/>
    </xf>
    <xf numFmtId="0" fontId="45" fillId="0" borderId="2" xfId="16" applyFont="1" applyFill="1" applyBorder="1" applyAlignment="1">
      <alignment horizontal="center"/>
    </xf>
    <xf numFmtId="3" fontId="28" fillId="0" borderId="2" xfId="37" applyNumberFormat="1" applyFont="1" applyFill="1" applyBorder="1" applyAlignment="1">
      <alignment horizontal="right" vertical="center" wrapText="1"/>
    </xf>
    <xf numFmtId="0" fontId="28" fillId="0" borderId="2" xfId="4" quotePrefix="1" applyFont="1" applyFill="1" applyBorder="1" applyAlignment="1">
      <alignment vertical="center" wrapText="1"/>
    </xf>
    <xf numFmtId="0" fontId="28" fillId="0" borderId="2" xfId="4" quotePrefix="1" applyFont="1" applyFill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vertical="center" wrapText="1"/>
    </xf>
    <xf numFmtId="3" fontId="28" fillId="0" borderId="2" xfId="4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17" fontId="28" fillId="0" borderId="2" xfId="4" quotePrefix="1" applyNumberFormat="1" applyFont="1" applyFill="1" applyBorder="1" applyAlignment="1">
      <alignment horizontal="center" vertical="center" wrapText="1"/>
    </xf>
    <xf numFmtId="0" fontId="29" fillId="0" borderId="46" xfId="16" applyFont="1" applyFill="1" applyBorder="1" applyAlignment="1">
      <alignment vertical="center" wrapText="1"/>
    </xf>
    <xf numFmtId="0" fontId="29" fillId="0" borderId="17" xfId="16" applyFont="1" applyFill="1" applyBorder="1" applyAlignment="1">
      <alignment vertical="center" wrapText="1"/>
    </xf>
    <xf numFmtId="0" fontId="29" fillId="0" borderId="0" xfId="37" applyFont="1"/>
    <xf numFmtId="0" fontId="45" fillId="0" borderId="30" xfId="16" applyFont="1" applyFill="1" applyBorder="1"/>
    <xf numFmtId="3" fontId="45" fillId="0" borderId="30" xfId="16" applyNumberFormat="1" applyFont="1" applyFill="1" applyBorder="1"/>
    <xf numFmtId="3" fontId="45" fillId="0" borderId="0" xfId="16" applyNumberFormat="1" applyFont="1" applyFill="1" applyBorder="1"/>
    <xf numFmtId="0" fontId="29" fillId="0" borderId="4" xfId="16" applyFont="1" applyFill="1" applyBorder="1"/>
    <xf numFmtId="0" fontId="28" fillId="0" borderId="4" xfId="16" applyFont="1" applyFill="1" applyBorder="1"/>
    <xf numFmtId="3" fontId="45" fillId="0" borderId="2" xfId="16" applyNumberFormat="1" applyFont="1" applyFill="1" applyBorder="1"/>
    <xf numFmtId="0" fontId="45" fillId="0" borderId="2" xfId="16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3" fontId="28" fillId="0" borderId="2" xfId="37" applyNumberFormat="1" applyFont="1" applyFill="1" applyBorder="1" applyAlignment="1">
      <alignment horizontal="center" vertical="center"/>
    </xf>
    <xf numFmtId="0" fontId="29" fillId="0" borderId="2" xfId="37" applyFont="1" applyBorder="1"/>
    <xf numFmtId="3" fontId="29" fillId="0" borderId="30" xfId="16" applyNumberFormat="1" applyFont="1" applyFill="1" applyBorder="1"/>
    <xf numFmtId="0" fontId="36" fillId="0" borderId="0" xfId="37" applyFont="1" applyFill="1" applyAlignment="1"/>
    <xf numFmtId="3" fontId="27" fillId="0" borderId="0" xfId="37" applyNumberFormat="1" applyFont="1" applyFill="1"/>
    <xf numFmtId="0" fontId="27" fillId="0" borderId="0" xfId="37" applyFont="1" applyFill="1"/>
    <xf numFmtId="0" fontId="27" fillId="0" borderId="0" xfId="37" applyFont="1" applyFill="1" applyAlignment="1"/>
    <xf numFmtId="0" fontId="29" fillId="0" borderId="0" xfId="37" applyFont="1" applyFill="1" applyAlignment="1"/>
    <xf numFmtId="0" fontId="29" fillId="0" borderId="0" xfId="37" applyFont="1" applyFill="1"/>
    <xf numFmtId="0" fontId="11" fillId="0" borderId="0" xfId="37" applyFill="1"/>
    <xf numFmtId="3" fontId="28" fillId="0" borderId="2" xfId="16" applyNumberFormat="1" applyFont="1" applyFill="1" applyBorder="1" applyAlignment="1">
      <alignment horizontal="center" vertical="center" wrapText="1"/>
    </xf>
    <xf numFmtId="3" fontId="28" fillId="0" borderId="2" xfId="37" applyNumberFormat="1" applyFont="1" applyFill="1" applyBorder="1" applyAlignment="1">
      <alignment horizontal="center" vertical="center" wrapText="1"/>
    </xf>
    <xf numFmtId="0" fontId="29" fillId="0" borderId="2" xfId="37" applyFont="1" applyFill="1" applyBorder="1" applyAlignment="1">
      <alignment vertical="center" wrapText="1"/>
    </xf>
    <xf numFmtId="3" fontId="29" fillId="0" borderId="2" xfId="37" applyNumberFormat="1" applyFont="1" applyFill="1" applyBorder="1" applyAlignment="1">
      <alignment vertical="center" wrapText="1"/>
    </xf>
    <xf numFmtId="0" fontId="29" fillId="0" borderId="2" xfId="37" applyFont="1" applyFill="1" applyBorder="1" applyAlignment="1"/>
    <xf numFmtId="0" fontId="29" fillId="0" borderId="2" xfId="37" applyFont="1" applyFill="1" applyBorder="1"/>
    <xf numFmtId="0" fontId="11" fillId="0" borderId="2" xfId="37" applyFill="1" applyBorder="1"/>
    <xf numFmtId="3" fontId="11" fillId="0" borderId="2" xfId="37" applyNumberFormat="1" applyFill="1" applyBorder="1"/>
    <xf numFmtId="166" fontId="29" fillId="0" borderId="2" xfId="10" applyNumberFormat="1" applyFont="1" applyFill="1" applyBorder="1" applyAlignment="1">
      <alignment vertical="center"/>
    </xf>
    <xf numFmtId="0" fontId="28" fillId="0" borderId="2" xfId="37" applyFont="1" applyFill="1" applyBorder="1" applyAlignment="1">
      <alignment vertical="center" wrapText="1"/>
    </xf>
    <xf numFmtId="3" fontId="29" fillId="0" borderId="0" xfId="37" applyNumberFormat="1" applyFont="1" applyFill="1"/>
    <xf numFmtId="0" fontId="29" fillId="0" borderId="7" xfId="16" applyFont="1" applyFill="1" applyBorder="1"/>
    <xf numFmtId="0" fontId="11" fillId="0" borderId="9" xfId="37" applyFill="1" applyBorder="1"/>
    <xf numFmtId="0" fontId="11" fillId="0" borderId="8" xfId="37" applyFill="1" applyBorder="1"/>
    <xf numFmtId="0" fontId="11" fillId="0" borderId="6" xfId="37" applyFill="1" applyBorder="1"/>
    <xf numFmtId="3" fontId="29" fillId="0" borderId="6" xfId="4" applyNumberFormat="1" applyFont="1" applyFill="1" applyBorder="1" applyAlignment="1">
      <alignment vertical="center" wrapText="1"/>
    </xf>
    <xf numFmtId="0" fontId="29" fillId="0" borderId="47" xfId="16" applyFont="1" applyFill="1" applyBorder="1"/>
    <xf numFmtId="0" fontId="11" fillId="0" borderId="48" xfId="37" applyFill="1" applyBorder="1"/>
    <xf numFmtId="0" fontId="11" fillId="0" borderId="49" xfId="37" applyFill="1" applyBorder="1"/>
    <xf numFmtId="0" fontId="41" fillId="0" borderId="5" xfId="37" applyFont="1" applyFill="1" applyBorder="1"/>
    <xf numFmtId="0" fontId="41" fillId="0" borderId="6" xfId="37" applyFont="1" applyFill="1" applyBorder="1"/>
    <xf numFmtId="0" fontId="45" fillId="0" borderId="0" xfId="4" applyFont="1" applyFill="1" applyBorder="1" applyAlignment="1">
      <alignment vertical="center"/>
    </xf>
    <xf numFmtId="17" fontId="28" fillId="0" borderId="0" xfId="4" quotePrefix="1" applyNumberFormat="1" applyFont="1" applyFill="1" applyBorder="1" applyAlignment="1">
      <alignment horizontal="center" vertical="center" wrapText="1"/>
    </xf>
    <xf numFmtId="0" fontId="29" fillId="0" borderId="20" xfId="16" applyFont="1" applyFill="1" applyBorder="1" applyAlignment="1">
      <alignment vertical="center" wrapText="1"/>
    </xf>
    <xf numFmtId="0" fontId="29" fillId="0" borderId="22" xfId="16" applyFont="1" applyFill="1" applyBorder="1" applyAlignment="1">
      <alignment vertical="center" wrapText="1"/>
    </xf>
    <xf numFmtId="3" fontId="45" fillId="0" borderId="50" xfId="16" applyNumberFormat="1" applyFont="1" applyFill="1" applyBorder="1"/>
    <xf numFmtId="3" fontId="29" fillId="0" borderId="4" xfId="16" applyNumberFormat="1" applyFont="1" applyFill="1" applyBorder="1"/>
    <xf numFmtId="0" fontId="45" fillId="0" borderId="4" xfId="16" applyFont="1" applyFill="1" applyBorder="1"/>
    <xf numFmtId="0" fontId="45" fillId="0" borderId="5" xfId="16" applyFont="1" applyFill="1" applyBorder="1"/>
    <xf numFmtId="0" fontId="45" fillId="0" borderId="6" xfId="16" applyFont="1" applyFill="1" applyBorder="1"/>
    <xf numFmtId="3" fontId="45" fillId="0" borderId="4" xfId="16" applyNumberFormat="1" applyFont="1" applyFill="1" applyBorder="1"/>
    <xf numFmtId="0" fontId="80" fillId="0" borderId="0" xfId="16" applyFont="1" applyFill="1"/>
    <xf numFmtId="3" fontId="27" fillId="0" borderId="2" xfId="16" applyNumberFormat="1" applyFont="1" applyFill="1" applyBorder="1" applyAlignment="1"/>
    <xf numFmtId="0" fontId="40" fillId="0" borderId="2" xfId="4" applyFont="1" applyFill="1" applyBorder="1" applyAlignment="1">
      <alignment vertical="center" wrapText="1"/>
    </xf>
    <xf numFmtId="0" fontId="40" fillId="0" borderId="2" xfId="16" applyFont="1" applyFill="1" applyBorder="1" applyAlignment="1">
      <alignment wrapText="1"/>
    </xf>
    <xf numFmtId="3" fontId="83" fillId="0" borderId="2" xfId="16" applyNumberFormat="1" applyFont="1" applyFill="1" applyBorder="1" applyAlignment="1"/>
    <xf numFmtId="3" fontId="45" fillId="0" borderId="30" xfId="16" applyNumberFormat="1" applyFont="1" applyFill="1" applyBorder="1" applyAlignment="1">
      <alignment vertical="center" wrapText="1"/>
    </xf>
    <xf numFmtId="0" fontId="36" fillId="0" borderId="0" xfId="37" applyFont="1" applyAlignment="1"/>
    <xf numFmtId="3" fontId="36" fillId="0" borderId="0" xfId="37" applyNumberFormat="1" applyFont="1" applyAlignment="1"/>
    <xf numFmtId="0" fontId="27" fillId="0" borderId="0" xfId="37" applyFont="1" applyAlignment="1"/>
    <xf numFmtId="0" fontId="11" fillId="0" borderId="0" xfId="37"/>
    <xf numFmtId="0" fontId="27" fillId="0" borderId="2" xfId="37" applyFont="1" applyBorder="1" applyAlignment="1"/>
    <xf numFmtId="0" fontId="40" fillId="0" borderId="2" xfId="16" applyFont="1" applyFill="1" applyBorder="1" applyAlignment="1">
      <alignment vertical="center" wrapText="1"/>
    </xf>
    <xf numFmtId="0" fontId="40" fillId="0" borderId="2" xfId="16" applyFont="1" applyFill="1" applyBorder="1" applyAlignment="1">
      <alignment vertical="center"/>
    </xf>
    <xf numFmtId="0" fontId="36" fillId="0" borderId="0" xfId="37" applyFont="1" applyFill="1"/>
    <xf numFmtId="0" fontId="36" fillId="0" borderId="0" xfId="37" applyFont="1" applyFill="1" applyAlignment="1">
      <alignment wrapText="1"/>
    </xf>
    <xf numFmtId="0" fontId="27" fillId="0" borderId="0" xfId="37" applyFont="1" applyFill="1" applyAlignment="1">
      <alignment wrapText="1"/>
    </xf>
    <xf numFmtId="0" fontId="29" fillId="0" borderId="0" xfId="37" applyFont="1" applyFill="1" applyAlignment="1">
      <alignment wrapText="1"/>
    </xf>
    <xf numFmtId="0" fontId="28" fillId="0" borderId="0" xfId="4" applyFont="1" applyFill="1" applyAlignment="1">
      <alignment horizontal="right" vertical="center" wrapText="1"/>
    </xf>
    <xf numFmtId="0" fontId="29" fillId="0" borderId="2" xfId="37" applyFont="1" applyFill="1" applyBorder="1" applyAlignment="1">
      <alignment wrapText="1"/>
    </xf>
    <xf numFmtId="0" fontId="29" fillId="0" borderId="2" xfId="37" applyFont="1" applyFill="1" applyBorder="1" applyAlignment="1">
      <alignment vertical="center"/>
    </xf>
    <xf numFmtId="3" fontId="29" fillId="0" borderId="2" xfId="37" applyNumberFormat="1" applyFont="1" applyFill="1" applyBorder="1" applyAlignment="1">
      <alignment vertical="center"/>
    </xf>
    <xf numFmtId="3" fontId="29" fillId="0" borderId="3" xfId="4" applyNumberFormat="1" applyFont="1" applyFill="1" applyBorder="1"/>
    <xf numFmtId="0" fontId="29" fillId="0" borderId="46" xfId="4" applyFont="1" applyFill="1" applyBorder="1" applyAlignment="1">
      <alignment vertical="center" wrapText="1"/>
    </xf>
    <xf numFmtId="0" fontId="29" fillId="0" borderId="17" xfId="4" applyFont="1" applyFill="1" applyBorder="1" applyAlignment="1">
      <alignment vertical="center" wrapText="1"/>
    </xf>
    <xf numFmtId="0" fontId="45" fillId="0" borderId="2" xfId="4" applyFont="1" applyFill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right" vertical="center" wrapText="1"/>
    </xf>
    <xf numFmtId="0" fontId="29" fillId="0" borderId="3" xfId="4" applyFont="1" applyFill="1" applyBorder="1" applyAlignment="1">
      <alignment vertical="center" wrapText="1"/>
    </xf>
    <xf numFmtId="0" fontId="45" fillId="0" borderId="5" xfId="4" applyFont="1" applyFill="1" applyBorder="1" applyAlignment="1">
      <alignment horizontal="center" vertical="center"/>
    </xf>
    <xf numFmtId="3" fontId="28" fillId="0" borderId="2" xfId="38" applyNumberFormat="1" applyFont="1" applyFill="1" applyBorder="1" applyAlignment="1">
      <alignment horizontal="center" vertical="center" wrapText="1"/>
    </xf>
    <xf numFmtId="17" fontId="28" fillId="0" borderId="4" xfId="4" quotePrefix="1" applyNumberFormat="1" applyFont="1" applyFill="1" applyBorder="1" applyAlignment="1">
      <alignment horizontal="center" vertical="center" wrapText="1"/>
    </xf>
    <xf numFmtId="3" fontId="29" fillId="0" borderId="2" xfId="16" applyNumberFormat="1" applyFont="1" applyFill="1" applyBorder="1" applyAlignment="1">
      <alignment vertical="center"/>
    </xf>
    <xf numFmtId="3" fontId="40" fillId="0" borderId="2" xfId="16" applyNumberFormat="1" applyFont="1" applyFill="1" applyBorder="1" applyAlignment="1">
      <alignment vertical="center" wrapText="1"/>
    </xf>
    <xf numFmtId="3" fontId="40" fillId="0" borderId="2" xfId="16" applyNumberFormat="1" applyFont="1" applyFill="1" applyBorder="1" applyAlignment="1">
      <alignment horizontal="right" vertical="center" wrapText="1"/>
    </xf>
    <xf numFmtId="0" fontId="40" fillId="0" borderId="2" xfId="16" applyFont="1" applyFill="1" applyBorder="1"/>
    <xf numFmtId="0" fontId="27" fillId="0" borderId="2" xfId="16" applyFont="1" applyFill="1" applyBorder="1" applyAlignment="1">
      <alignment vertical="center"/>
    </xf>
    <xf numFmtId="0" fontId="66" fillId="0" borderId="2" xfId="16" applyFont="1" applyFill="1" applyBorder="1" applyAlignment="1">
      <alignment vertical="center" wrapText="1"/>
    </xf>
    <xf numFmtId="166" fontId="29" fillId="0" borderId="2" xfId="10" applyNumberFormat="1" applyFont="1" applyFill="1" applyBorder="1" applyAlignment="1">
      <alignment wrapText="1"/>
    </xf>
    <xf numFmtId="3" fontId="28" fillId="0" borderId="4" xfId="16" applyNumberFormat="1" applyFont="1" applyFill="1" applyBorder="1" applyAlignment="1">
      <alignment vertical="center" wrapText="1"/>
    </xf>
    <xf numFmtId="0" fontId="29" fillId="0" borderId="4" xfId="16" applyFont="1" applyFill="1" applyBorder="1" applyAlignment="1">
      <alignment vertical="center"/>
    </xf>
    <xf numFmtId="0" fontId="29" fillId="0" borderId="6" xfId="16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/>
    <xf numFmtId="0" fontId="82" fillId="0" borderId="2" xfId="16" applyFont="1" applyFill="1" applyBorder="1" applyAlignment="1">
      <alignment vertical="center"/>
    </xf>
    <xf numFmtId="0" fontId="28" fillId="0" borderId="2" xfId="16" applyFont="1" applyFill="1" applyBorder="1"/>
    <xf numFmtId="3" fontId="28" fillId="0" borderId="4" xfId="16" applyNumberFormat="1" applyFont="1" applyFill="1" applyBorder="1" applyAlignment="1">
      <alignment horizontal="right" vertical="center" wrapText="1"/>
    </xf>
    <xf numFmtId="3" fontId="28" fillId="0" borderId="6" xfId="16" applyNumberFormat="1" applyFont="1" applyFill="1" applyBorder="1" applyAlignment="1">
      <alignment horizontal="right" vertical="center" wrapText="1"/>
    </xf>
    <xf numFmtId="0" fontId="28" fillId="0" borderId="2" xfId="4" quotePrefix="1" applyFont="1" applyFill="1" applyBorder="1" applyAlignment="1">
      <alignment vertical="center"/>
    </xf>
    <xf numFmtId="3" fontId="84" fillId="0" borderId="2" xfId="4" applyNumberFormat="1" applyFont="1" applyFill="1" applyBorder="1" applyAlignment="1">
      <alignment horizontal="right" vertical="center" wrapText="1"/>
    </xf>
    <xf numFmtId="166" fontId="28" fillId="0" borderId="2" xfId="10" applyNumberFormat="1" applyFont="1" applyFill="1" applyBorder="1" applyAlignment="1">
      <alignment vertical="center" wrapText="1"/>
    </xf>
    <xf numFmtId="166" fontId="40" fillId="0" borderId="2" xfId="10" applyNumberFormat="1" applyFont="1" applyFill="1" applyBorder="1" applyAlignment="1">
      <alignment wrapText="1"/>
    </xf>
    <xf numFmtId="3" fontId="40" fillId="0" borderId="2" xfId="4" applyNumberFormat="1" applyFont="1" applyFill="1" applyBorder="1" applyAlignment="1">
      <alignment wrapText="1"/>
    </xf>
    <xf numFmtId="3" fontId="85" fillId="0" borderId="2" xfId="4" applyNumberFormat="1" applyFont="1" applyFill="1" applyBorder="1" applyAlignment="1">
      <alignment horizontal="right" vertical="center" wrapText="1"/>
    </xf>
    <xf numFmtId="166" fontId="39" fillId="0" borderId="2" xfId="10" applyNumberFormat="1" applyFont="1" applyFill="1" applyBorder="1" applyAlignment="1">
      <alignment vertical="center" wrapText="1"/>
    </xf>
    <xf numFmtId="166" fontId="42" fillId="0" borderId="2" xfId="10" applyNumberFormat="1" applyFont="1" applyFill="1" applyBorder="1" applyAlignment="1">
      <alignment wrapText="1"/>
    </xf>
    <xf numFmtId="166" fontId="40" fillId="0" borderId="2" xfId="10" applyNumberFormat="1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right" vertical="center" wrapText="1"/>
    </xf>
    <xf numFmtId="0" fontId="28" fillId="0" borderId="2" xfId="4" applyFont="1" applyFill="1" applyBorder="1" applyAlignment="1">
      <alignment horizontal="center"/>
    </xf>
    <xf numFmtId="3" fontId="28" fillId="0" borderId="2" xfId="4" applyNumberFormat="1" applyFont="1" applyBorder="1" applyAlignment="1">
      <alignment horizontal="center" vertical="center" wrapText="1"/>
    </xf>
    <xf numFmtId="0" fontId="32" fillId="0" borderId="2" xfId="4" applyFont="1" applyFill="1" applyBorder="1" applyAlignment="1">
      <alignment horizontal="center" vertical="center" wrapText="1"/>
    </xf>
    <xf numFmtId="3" fontId="31" fillId="4" borderId="2" xfId="4" applyNumberFormat="1" applyFont="1" applyFill="1" applyBorder="1" applyAlignment="1">
      <alignment vertical="center"/>
    </xf>
    <xf numFmtId="3" fontId="46" fillId="4" borderId="2" xfId="4" applyNumberFormat="1" applyFont="1" applyFill="1" applyBorder="1" applyAlignment="1">
      <alignment vertical="center"/>
    </xf>
    <xf numFmtId="3" fontId="0" fillId="0" borderId="0" xfId="0" applyNumberFormat="1"/>
    <xf numFmtId="166" fontId="31" fillId="0" borderId="0" xfId="12" applyNumberFormat="1" applyFont="1"/>
    <xf numFmtId="0" fontId="61" fillId="3" borderId="0" xfId="17" applyFont="1" applyFill="1"/>
    <xf numFmtId="0" fontId="36" fillId="4" borderId="0" xfId="16" applyFont="1" applyFill="1" applyAlignment="1"/>
    <xf numFmtId="0" fontId="28" fillId="4" borderId="2" xfId="16" applyFont="1" applyFill="1" applyBorder="1" applyAlignment="1">
      <alignment horizontal="right" vertical="center" wrapText="1"/>
    </xf>
    <xf numFmtId="3" fontId="29" fillId="4" borderId="2" xfId="16" applyNumberFormat="1" applyFont="1" applyFill="1" applyBorder="1" applyAlignment="1">
      <alignment vertical="center" wrapText="1"/>
    </xf>
    <xf numFmtId="3" fontId="29" fillId="4" borderId="0" xfId="16" applyNumberFormat="1" applyFont="1" applyFill="1"/>
    <xf numFmtId="0" fontId="36" fillId="0" borderId="0" xfId="39" applyFont="1" applyFill="1" applyAlignment="1"/>
    <xf numFmtId="3" fontId="36" fillId="0" borderId="0" xfId="39" applyNumberFormat="1" applyFont="1" applyFill="1" applyAlignment="1"/>
    <xf numFmtId="0" fontId="10" fillId="0" borderId="0" xfId="39" applyFill="1"/>
    <xf numFmtId="0" fontId="28" fillId="3" borderId="2" xfId="4" applyFont="1" applyFill="1" applyBorder="1" applyAlignment="1">
      <alignment horizontal="right" vertical="center" wrapText="1"/>
    </xf>
    <xf numFmtId="3" fontId="28" fillId="3" borderId="2" xfId="4" applyNumberFormat="1" applyFont="1" applyFill="1" applyBorder="1" applyAlignment="1">
      <alignment horizontal="right" vertical="center" wrapText="1"/>
    </xf>
    <xf numFmtId="3" fontId="28" fillId="0" borderId="2" xfId="39" applyNumberFormat="1" applyFont="1" applyBorder="1" applyAlignment="1">
      <alignment horizontal="right" vertical="center"/>
    </xf>
    <xf numFmtId="0" fontId="87" fillId="0" borderId="0" xfId="16" applyFont="1" applyFill="1" applyAlignment="1"/>
    <xf numFmtId="0" fontId="87" fillId="0" borderId="0" xfId="4" applyFont="1" applyFill="1"/>
    <xf numFmtId="0" fontId="28" fillId="0" borderId="4" xfId="4" applyFont="1" applyFill="1" applyBorder="1" applyAlignment="1">
      <alignment horizontal="right" vertical="center" wrapText="1"/>
    </xf>
    <xf numFmtId="3" fontId="28" fillId="0" borderId="2" xfId="40" applyNumberFormat="1" applyFont="1" applyFill="1" applyBorder="1" applyAlignment="1">
      <alignment horizontal="right" vertical="center" wrapText="1"/>
    </xf>
    <xf numFmtId="0" fontId="29" fillId="0" borderId="4" xfId="4" applyFont="1" applyFill="1" applyBorder="1" applyAlignment="1">
      <alignment vertical="center" wrapText="1"/>
    </xf>
    <xf numFmtId="0" fontId="42" fillId="0" borderId="0" xfId="4" applyFont="1" applyFill="1" applyAlignment="1">
      <alignment vertical="center" wrapText="1"/>
    </xf>
    <xf numFmtId="0" fontId="45" fillId="0" borderId="4" xfId="4" applyFont="1" applyFill="1" applyBorder="1" applyAlignment="1">
      <alignment vertical="center"/>
    </xf>
    <xf numFmtId="0" fontId="36" fillId="0" borderId="0" xfId="40" applyFont="1" applyAlignment="1"/>
    <xf numFmtId="3" fontId="27" fillId="0" borderId="0" xfId="40" applyNumberFormat="1" applyFont="1"/>
    <xf numFmtId="0" fontId="27" fillId="0" borderId="0" xfId="40" applyFont="1"/>
    <xf numFmtId="0" fontId="27" fillId="0" borderId="0" xfId="40" applyFont="1" applyAlignment="1"/>
    <xf numFmtId="0" fontId="9" fillId="0" borderId="0" xfId="40"/>
    <xf numFmtId="0" fontId="29" fillId="0" borderId="0" xfId="40" applyFont="1"/>
    <xf numFmtId="0" fontId="29" fillId="0" borderId="0" xfId="40" applyFont="1" applyAlignment="1"/>
    <xf numFmtId="3" fontId="29" fillId="0" borderId="0" xfId="40" applyNumberFormat="1" applyFont="1"/>
    <xf numFmtId="3" fontId="28" fillId="0" borderId="2" xfId="40" applyNumberFormat="1" applyFont="1" applyBorder="1" applyAlignment="1">
      <alignment horizontal="right" vertical="center" wrapText="1"/>
    </xf>
    <xf numFmtId="3" fontId="28" fillId="3" borderId="2" xfId="40" applyNumberFormat="1" applyFont="1" applyFill="1" applyBorder="1" applyAlignment="1">
      <alignment horizontal="right" vertical="center" wrapText="1"/>
    </xf>
    <xf numFmtId="3" fontId="28" fillId="0" borderId="2" xfId="40" applyNumberFormat="1" applyFont="1" applyBorder="1" applyAlignment="1">
      <alignment horizontal="right" vertical="center"/>
    </xf>
    <xf numFmtId="0" fontId="29" fillId="0" borderId="2" xfId="40" applyFont="1" applyBorder="1" applyAlignment="1">
      <alignment vertical="center" wrapText="1"/>
    </xf>
    <xf numFmtId="3" fontId="29" fillId="0" borderId="2" xfId="40" applyNumberFormat="1" applyFont="1" applyBorder="1" applyAlignment="1">
      <alignment vertical="center" wrapText="1"/>
    </xf>
    <xf numFmtId="3" fontId="29" fillId="0" borderId="2" xfId="40" applyNumberFormat="1" applyFont="1" applyFill="1" applyBorder="1" applyAlignment="1">
      <alignment vertical="center" wrapText="1"/>
    </xf>
    <xf numFmtId="0" fontId="29" fillId="0" borderId="2" xfId="40" applyFont="1" applyFill="1" applyBorder="1" applyAlignment="1">
      <alignment vertical="center" wrapText="1"/>
    </xf>
    <xf numFmtId="0" fontId="28" fillId="0" borderId="2" xfId="40" applyFont="1" applyFill="1" applyBorder="1" applyAlignment="1">
      <alignment vertical="center" wrapText="1"/>
    </xf>
    <xf numFmtId="0" fontId="9" fillId="0" borderId="2" xfId="40" applyBorder="1"/>
    <xf numFmtId="0" fontId="9" fillId="0" borderId="0" xfId="40" applyBorder="1"/>
    <xf numFmtId="0" fontId="29" fillId="0" borderId="0" xfId="40" applyFont="1" applyBorder="1" applyAlignment="1"/>
    <xf numFmtId="0" fontId="29" fillId="0" borderId="0" xfId="40" applyFont="1" applyBorder="1"/>
    <xf numFmtId="3" fontId="29" fillId="0" borderId="0" xfId="40" applyNumberFormat="1" applyFont="1" applyBorder="1"/>
    <xf numFmtId="0" fontId="28" fillId="3" borderId="2" xfId="16" applyFont="1" applyFill="1" applyBorder="1" applyAlignment="1">
      <alignment horizontal="right" vertical="center" wrapText="1"/>
    </xf>
    <xf numFmtId="3" fontId="28" fillId="3" borderId="2" xfId="16" applyNumberFormat="1" applyFont="1" applyFill="1" applyBorder="1" applyAlignment="1">
      <alignment horizontal="right" vertical="center" wrapText="1"/>
    </xf>
    <xf numFmtId="3" fontId="28" fillId="0" borderId="2" xfId="41" applyNumberFormat="1" applyFont="1" applyBorder="1" applyAlignment="1">
      <alignment horizontal="right" vertical="center" wrapText="1"/>
    </xf>
    <xf numFmtId="3" fontId="36" fillId="0" borderId="0" xfId="16" applyNumberFormat="1" applyFont="1" applyFill="1" applyAlignment="1"/>
    <xf numFmtId="0" fontId="79" fillId="0" borderId="2" xfId="4" applyFont="1" applyFill="1" applyBorder="1" applyAlignment="1">
      <alignment vertical="center" wrapText="1"/>
    </xf>
    <xf numFmtId="3" fontId="28" fillId="0" borderId="2" xfId="42" applyNumberFormat="1" applyFont="1" applyBorder="1" applyAlignment="1">
      <alignment horizontal="right" vertical="center"/>
    </xf>
    <xf numFmtId="0" fontId="36" fillId="0" borderId="0" xfId="42" applyFont="1"/>
    <xf numFmtId="0" fontId="36" fillId="0" borderId="0" xfId="42" applyFont="1" applyAlignment="1">
      <alignment wrapText="1"/>
    </xf>
    <xf numFmtId="3" fontId="27" fillId="0" borderId="0" xfId="42" applyNumberFormat="1" applyFont="1"/>
    <xf numFmtId="0" fontId="27" fillId="0" borderId="0" xfId="42" applyFont="1"/>
    <xf numFmtId="0" fontId="27" fillId="0" borderId="0" xfId="42" applyFont="1" applyAlignment="1">
      <alignment wrapText="1"/>
    </xf>
    <xf numFmtId="0" fontId="29" fillId="0" borderId="0" xfId="42" applyFont="1"/>
    <xf numFmtId="0" fontId="7" fillId="0" borderId="0" xfId="42"/>
    <xf numFmtId="3" fontId="36" fillId="0" borderId="0" xfId="42" applyNumberFormat="1" applyFont="1"/>
    <xf numFmtId="3" fontId="28" fillId="0" borderId="2" xfId="42" applyNumberFormat="1" applyFont="1" applyBorder="1" applyAlignment="1">
      <alignment horizontal="right" vertical="center" wrapText="1"/>
    </xf>
    <xf numFmtId="3" fontId="29" fillId="0" borderId="0" xfId="42" applyNumberFormat="1" applyFont="1"/>
    <xf numFmtId="0" fontId="45" fillId="0" borderId="2" xfId="4" applyFont="1" applyBorder="1" applyAlignment="1">
      <alignment vertical="center"/>
    </xf>
    <xf numFmtId="3" fontId="45" fillId="0" borderId="2" xfId="4" applyNumberFormat="1" applyFont="1" applyBorder="1" applyAlignment="1">
      <alignment vertical="center"/>
    </xf>
    <xf numFmtId="0" fontId="45" fillId="0" borderId="0" xfId="4" applyFont="1" applyAlignment="1">
      <alignment vertical="center"/>
    </xf>
    <xf numFmtId="3" fontId="28" fillId="0" borderId="2" xfId="43" applyNumberFormat="1" applyFont="1" applyBorder="1" applyAlignment="1">
      <alignment horizontal="right" vertical="center" wrapText="1"/>
    </xf>
    <xf numFmtId="166" fontId="29" fillId="0" borderId="2" xfId="16" applyNumberFormat="1" applyFont="1" applyFill="1" applyBorder="1" applyAlignment="1">
      <alignment horizontal="right" vertical="center" wrapText="1"/>
    </xf>
    <xf numFmtId="0" fontId="29" fillId="0" borderId="4" xfId="16" applyFont="1" applyFill="1" applyBorder="1" applyAlignment="1">
      <alignment vertical="center" wrapText="1"/>
    </xf>
    <xf numFmtId="0" fontId="29" fillId="0" borderId="7" xfId="16" applyFont="1" applyFill="1" applyBorder="1" applyAlignment="1">
      <alignment vertical="center" wrapText="1"/>
    </xf>
    <xf numFmtId="0" fontId="28" fillId="0" borderId="4" xfId="16" applyFont="1" applyFill="1" applyBorder="1" applyAlignment="1">
      <alignment vertical="center" wrapText="1"/>
    </xf>
    <xf numFmtId="0" fontId="29" fillId="0" borderId="5" xfId="4" applyFont="1" applyFill="1" applyBorder="1" applyAlignment="1">
      <alignment vertical="center" wrapText="1"/>
    </xf>
    <xf numFmtId="0" fontId="45" fillId="0" borderId="5" xfId="4" applyFont="1" applyFill="1" applyBorder="1" applyAlignment="1">
      <alignment vertical="center"/>
    </xf>
    <xf numFmtId="0" fontId="27" fillId="0" borderId="0" xfId="4" quotePrefix="1" applyFont="1" applyFill="1" applyAlignment="1">
      <alignment horizontal="center" vertical="center"/>
    </xf>
    <xf numFmtId="0" fontId="44" fillId="0" borderId="0" xfId="4" applyFont="1" applyFill="1" applyAlignment="1">
      <alignment vertical="center" wrapText="1"/>
    </xf>
    <xf numFmtId="0" fontId="88" fillId="0" borderId="0" xfId="46" applyFont="1"/>
    <xf numFmtId="0" fontId="47" fillId="0" borderId="0" xfId="4" applyFont="1" applyFill="1" applyBorder="1" applyAlignment="1">
      <alignment vertical="center"/>
    </xf>
    <xf numFmtId="3" fontId="47" fillId="0" borderId="2" xfId="4" applyNumberFormat="1" applyFont="1" applyFill="1" applyBorder="1" applyAlignment="1">
      <alignment horizontal="right" vertical="center"/>
    </xf>
    <xf numFmtId="0" fontId="65" fillId="0" borderId="0" xfId="17" applyFont="1" applyAlignment="1">
      <alignment horizontal="right" vertical="center" readingOrder="2"/>
    </xf>
    <xf numFmtId="3" fontId="28" fillId="0" borderId="2" xfId="16" applyNumberFormat="1" applyFont="1" applyFill="1" applyBorder="1" applyAlignment="1">
      <alignment horizontal="right" vertical="center"/>
    </xf>
    <xf numFmtId="0" fontId="47" fillId="0" borderId="0" xfId="4" applyFont="1" applyFill="1" applyBorder="1" applyAlignment="1">
      <alignment horizontal="right" vertical="center" wrapText="1"/>
    </xf>
    <xf numFmtId="0" fontId="47" fillId="0" borderId="2" xfId="4" applyFont="1" applyFill="1" applyBorder="1" applyAlignment="1">
      <alignment horizontal="right" vertical="center"/>
    </xf>
    <xf numFmtId="0" fontId="47" fillId="0" borderId="5" xfId="4" applyFont="1" applyFill="1" applyBorder="1" applyAlignment="1">
      <alignment vertical="center"/>
    </xf>
    <xf numFmtId="0" fontId="47" fillId="0" borderId="6" xfId="4" applyFont="1" applyFill="1" applyBorder="1" applyAlignment="1">
      <alignment horizontal="right" vertical="center"/>
    </xf>
    <xf numFmtId="0" fontId="47" fillId="0" borderId="6" xfId="4" applyFont="1" applyFill="1" applyBorder="1" applyAlignment="1">
      <alignment vertical="center"/>
    </xf>
    <xf numFmtId="0" fontId="47" fillId="0" borderId="0" xfId="4" applyFont="1" applyFill="1" applyBorder="1"/>
    <xf numFmtId="0" fontId="46" fillId="0" borderId="0" xfId="4" applyFont="1" applyFill="1" applyBorder="1"/>
    <xf numFmtId="0" fontId="45" fillId="0" borderId="3" xfId="4" applyFont="1" applyFill="1" applyBorder="1" applyAlignment="1">
      <alignment vertical="center" wrapText="1"/>
    </xf>
    <xf numFmtId="3" fontId="45" fillId="0" borderId="2" xfId="4" applyNumberFormat="1" applyFont="1" applyFill="1" applyBorder="1" applyAlignment="1">
      <alignment horizontal="right" vertical="center"/>
    </xf>
    <xf numFmtId="0" fontId="45" fillId="0" borderId="4" xfId="4" applyFont="1" applyFill="1" applyBorder="1" applyAlignment="1">
      <alignment vertical="center" wrapText="1"/>
    </xf>
    <xf numFmtId="0" fontId="89" fillId="0" borderId="0" xfId="4" applyFont="1" applyFill="1" applyAlignment="1">
      <alignment vertical="center" wrapText="1"/>
    </xf>
    <xf numFmtId="3" fontId="21" fillId="0" borderId="0" xfId="22" applyNumberFormat="1"/>
    <xf numFmtId="0" fontId="29" fillId="0" borderId="2" xfId="4" applyFont="1" applyBorder="1" applyAlignment="1">
      <alignment horizontal="right" vertical="center" wrapText="1"/>
    </xf>
    <xf numFmtId="0" fontId="44" fillId="0" borderId="2" xfId="4" applyFont="1" applyBorder="1" applyAlignment="1">
      <alignment horizontal="right" vertical="center" wrapText="1"/>
    </xf>
    <xf numFmtId="0" fontId="29" fillId="0" borderId="2" xfId="40" applyFont="1" applyBorder="1" applyAlignment="1">
      <alignment horizontal="right" vertical="center" wrapText="1"/>
    </xf>
    <xf numFmtId="0" fontId="28" fillId="0" borderId="2" xfId="40" applyFont="1" applyBorder="1" applyAlignment="1">
      <alignment vertical="center" wrapText="1"/>
    </xf>
    <xf numFmtId="0" fontId="28" fillId="0" borderId="2" xfId="40" applyFont="1" applyBorder="1" applyAlignment="1">
      <alignment horizontal="right" vertical="center" wrapText="1"/>
    </xf>
    <xf numFmtId="3" fontId="28" fillId="0" borderId="2" xfId="40" applyNumberFormat="1" applyFont="1" applyBorder="1" applyAlignment="1">
      <alignment vertical="center" wrapText="1"/>
    </xf>
    <xf numFmtId="0" fontId="41" fillId="0" borderId="0" xfId="40" applyFont="1"/>
    <xf numFmtId="0" fontId="90" fillId="0" borderId="0" xfId="16" applyFont="1"/>
    <xf numFmtId="0" fontId="29" fillId="0" borderId="2" xfId="4" applyFont="1" applyFill="1" applyBorder="1" applyAlignment="1">
      <alignment horizontal="right" vertical="center"/>
    </xf>
    <xf numFmtId="0" fontId="44" fillId="0" borderId="2" xfId="4" applyFont="1" applyFill="1" applyBorder="1" applyAlignment="1">
      <alignment horizontal="right" vertical="center" wrapText="1"/>
    </xf>
    <xf numFmtId="0" fontId="28" fillId="0" borderId="2" xfId="4" applyFont="1" applyFill="1" applyBorder="1" applyAlignment="1">
      <alignment horizontal="center" vertical="center"/>
    </xf>
    <xf numFmtId="3" fontId="29" fillId="0" borderId="2" xfId="4" applyNumberFormat="1" applyFont="1" applyFill="1" applyBorder="1" applyAlignment="1">
      <alignment horizontal="right" vertical="center"/>
    </xf>
    <xf numFmtId="3" fontId="40" fillId="0" borderId="2" xfId="4" applyNumberFormat="1" applyFont="1" applyFill="1" applyBorder="1" applyAlignment="1">
      <alignment horizontal="right" vertical="center"/>
    </xf>
    <xf numFmtId="0" fontId="40" fillId="0" borderId="2" xfId="4" applyFont="1" applyFill="1" applyBorder="1" applyAlignment="1">
      <alignment vertical="center"/>
    </xf>
    <xf numFmtId="0" fontId="29" fillId="0" borderId="0" xfId="4" applyFont="1" applyFill="1" applyBorder="1" applyAlignment="1">
      <alignment vertical="center"/>
    </xf>
    <xf numFmtId="0" fontId="29" fillId="0" borderId="0" xfId="4" applyFont="1" applyFill="1" applyBorder="1" applyAlignment="1"/>
    <xf numFmtId="0" fontId="31" fillId="0" borderId="18" xfId="16" applyFont="1" applyBorder="1" applyAlignment="1">
      <alignment vertical="center"/>
    </xf>
    <xf numFmtId="3" fontId="32" fillId="0" borderId="19" xfId="16" applyNumberFormat="1" applyFont="1" applyBorder="1" applyAlignment="1">
      <alignment vertical="center"/>
    </xf>
    <xf numFmtId="0" fontId="34" fillId="0" borderId="0" xfId="16" applyFont="1"/>
    <xf numFmtId="0" fontId="32" fillId="0" borderId="14" xfId="16" applyFont="1" applyBorder="1" applyAlignment="1">
      <alignment horizontal="center" vertical="center"/>
    </xf>
    <xf numFmtId="3" fontId="32" fillId="0" borderId="15" xfId="16" applyNumberFormat="1" applyFont="1" applyBorder="1" applyAlignment="1">
      <alignment horizontal="center" vertical="center" wrapText="1"/>
    </xf>
    <xf numFmtId="0" fontId="32" fillId="0" borderId="16" xfId="16" applyFont="1" applyBorder="1" applyAlignment="1">
      <alignment horizontal="center" vertical="center"/>
    </xf>
    <xf numFmtId="0" fontId="31" fillId="0" borderId="18" xfId="16" applyFont="1" applyBorder="1" applyAlignment="1">
      <alignment vertical="center" wrapText="1"/>
    </xf>
    <xf numFmtId="0" fontId="32" fillId="0" borderId="20" xfId="16" applyFont="1" applyBorder="1" applyAlignment="1">
      <alignment vertical="center"/>
    </xf>
    <xf numFmtId="3" fontId="32" fillId="0" borderId="21" xfId="16" applyNumberFormat="1" applyFont="1" applyBorder="1" applyAlignment="1">
      <alignment vertical="center"/>
    </xf>
    <xf numFmtId="3" fontId="32" fillId="0" borderId="22" xfId="16" applyNumberFormat="1" applyFont="1" applyBorder="1" applyAlignment="1">
      <alignment vertical="center"/>
    </xf>
    <xf numFmtId="3" fontId="31" fillId="0" borderId="3" xfId="4" applyNumberFormat="1" applyFont="1" applyFill="1" applyBorder="1" applyAlignment="1">
      <alignment vertical="center" wrapText="1"/>
    </xf>
    <xf numFmtId="0" fontId="32" fillId="0" borderId="14" xfId="4" applyFont="1" applyFill="1" applyBorder="1" applyAlignment="1">
      <alignment horizontal="right" vertical="center" wrapText="1"/>
    </xf>
    <xf numFmtId="0" fontId="32" fillId="0" borderId="15" xfId="4" applyFont="1" applyFill="1" applyBorder="1" applyAlignment="1">
      <alignment horizontal="center" vertical="center"/>
    </xf>
    <xf numFmtId="0" fontId="32" fillId="0" borderId="18" xfId="4" applyFont="1" applyFill="1" applyBorder="1" applyAlignment="1">
      <alignment horizontal="right" vertical="center" wrapText="1"/>
    </xf>
    <xf numFmtId="0" fontId="32" fillId="0" borderId="19" xfId="4" applyFont="1" applyFill="1" applyBorder="1" applyAlignment="1">
      <alignment horizontal="right" vertical="center" wrapText="1"/>
    </xf>
    <xf numFmtId="3" fontId="28" fillId="0" borderId="18" xfId="4" applyNumberFormat="1" applyFont="1" applyFill="1" applyBorder="1" applyAlignment="1">
      <alignment horizontal="right" vertical="center"/>
    </xf>
    <xf numFmtId="3" fontId="31" fillId="0" borderId="19" xfId="4" applyNumberFormat="1" applyFont="1" applyFill="1" applyBorder="1" applyAlignment="1">
      <alignment vertical="center" wrapText="1"/>
    </xf>
    <xf numFmtId="3" fontId="28" fillId="0" borderId="18" xfId="4" applyNumberFormat="1" applyFont="1" applyFill="1" applyBorder="1" applyAlignment="1">
      <alignment horizontal="right" vertical="center" wrapText="1"/>
    </xf>
    <xf numFmtId="3" fontId="31" fillId="0" borderId="19" xfId="4" applyNumberFormat="1" applyFont="1" applyFill="1" applyBorder="1" applyAlignment="1">
      <alignment vertical="center"/>
    </xf>
    <xf numFmtId="3" fontId="28" fillId="0" borderId="18" xfId="4" applyNumberFormat="1" applyFont="1" applyFill="1" applyBorder="1" applyAlignment="1">
      <alignment vertical="center"/>
    </xf>
    <xf numFmtId="0" fontId="28" fillId="0" borderId="20" xfId="0" applyFont="1" applyFill="1" applyBorder="1" applyAlignment="1">
      <alignment vertical="center" wrapText="1"/>
    </xf>
    <xf numFmtId="3" fontId="31" fillId="0" borderId="21" xfId="4" applyNumberFormat="1" applyFont="1" applyFill="1" applyBorder="1" applyAlignment="1">
      <alignment vertical="center"/>
    </xf>
    <xf numFmtId="3" fontId="31" fillId="0" borderId="22" xfId="4" applyNumberFormat="1" applyFont="1" applyFill="1" applyBorder="1" applyAlignment="1">
      <alignment vertical="center"/>
    </xf>
    <xf numFmtId="0" fontId="32" fillId="0" borderId="6" xfId="4" applyFont="1" applyFill="1" applyBorder="1"/>
    <xf numFmtId="0" fontId="28" fillId="0" borderId="6" xfId="4" applyFont="1" applyFill="1" applyBorder="1" applyAlignment="1">
      <alignment horizontal="right" vertical="center" wrapText="1"/>
    </xf>
    <xf numFmtId="3" fontId="31" fillId="0" borderId="6" xfId="4" applyNumberFormat="1" applyFont="1" applyFill="1" applyBorder="1" applyAlignment="1">
      <alignment vertical="center" wrapText="1"/>
    </xf>
    <xf numFmtId="3" fontId="31" fillId="0" borderId="6" xfId="4" applyNumberFormat="1" applyFont="1" applyFill="1" applyBorder="1" applyAlignment="1">
      <alignment vertical="center"/>
    </xf>
    <xf numFmtId="3" fontId="31" fillId="0" borderId="3" xfId="4" applyNumberFormat="1" applyFont="1" applyFill="1" applyBorder="1" applyAlignment="1">
      <alignment vertical="center"/>
    </xf>
    <xf numFmtId="3" fontId="28" fillId="0" borderId="20" xfId="4" applyNumberFormat="1" applyFont="1" applyFill="1" applyBorder="1" applyAlignment="1">
      <alignment horizontal="right" vertical="center"/>
    </xf>
    <xf numFmtId="3" fontId="65" fillId="0" borderId="22" xfId="22" applyNumberFormat="1" applyFont="1" applyBorder="1" applyAlignment="1">
      <alignment horizontal="center" vertical="center" readingOrder="2"/>
    </xf>
    <xf numFmtId="0" fontId="34" fillId="0" borderId="0" xfId="0" applyFont="1"/>
    <xf numFmtId="0" fontId="29" fillId="0" borderId="14" xfId="16" applyFont="1" applyFill="1" applyBorder="1"/>
    <xf numFmtId="0" fontId="29" fillId="0" borderId="40" xfId="16" applyFont="1" applyBorder="1"/>
    <xf numFmtId="0" fontId="29" fillId="0" borderId="2" xfId="16" applyFont="1" applyBorder="1" applyAlignment="1"/>
    <xf numFmtId="0" fontId="28" fillId="0" borderId="2" xfId="16" applyFont="1" applyBorder="1" applyAlignment="1">
      <alignment horizontal="center" wrapText="1"/>
    </xf>
    <xf numFmtId="0" fontId="28" fillId="0" borderId="2" xfId="16" applyFont="1" applyBorder="1" applyAlignment="1">
      <alignment horizontal="center"/>
    </xf>
    <xf numFmtId="0" fontId="91" fillId="0" borderId="0" xfId="16" applyFont="1"/>
    <xf numFmtId="0" fontId="92" fillId="0" borderId="0" xfId="16" applyFont="1" applyAlignment="1"/>
    <xf numFmtId="0" fontId="91" fillId="0" borderId="0" xfId="0" applyFont="1"/>
    <xf numFmtId="0" fontId="29" fillId="0" borderId="18" xfId="16" applyFont="1" applyFill="1" applyBorder="1" applyAlignment="1">
      <alignment horizontal="center" vertical="center" wrapText="1"/>
    </xf>
    <xf numFmtId="0" fontId="29" fillId="0" borderId="4" xfId="16" applyFont="1" applyBorder="1" applyAlignment="1">
      <alignment horizontal="center" vertical="center" wrapText="1"/>
    </xf>
    <xf numFmtId="0" fontId="29" fillId="0" borderId="2" xfId="16" applyFont="1" applyBorder="1" applyAlignment="1">
      <alignment horizontal="center" vertical="center" wrapText="1"/>
    </xf>
    <xf numFmtId="0" fontId="29" fillId="0" borderId="0" xfId="16" applyFont="1" applyAlignment="1">
      <alignment horizontal="center" vertical="center" wrapText="1"/>
    </xf>
    <xf numFmtId="0" fontId="29" fillId="0" borderId="18" xfId="16" applyFont="1" applyFill="1" applyBorder="1"/>
    <xf numFmtId="0" fontId="29" fillId="0" borderId="4" xfId="16" applyFont="1" applyBorder="1"/>
    <xf numFmtId="0" fontId="28" fillId="0" borderId="2" xfId="16" applyFont="1" applyBorder="1" applyAlignment="1">
      <alignment wrapText="1"/>
    </xf>
    <xf numFmtId="3" fontId="29" fillId="0" borderId="2" xfId="16" applyNumberFormat="1" applyFont="1" applyBorder="1" applyAlignment="1">
      <alignment vertical="center"/>
    </xf>
    <xf numFmtId="0" fontId="29" fillId="0" borderId="2" xfId="16" applyFont="1" applyBorder="1" applyAlignment="1">
      <alignment wrapText="1"/>
    </xf>
    <xf numFmtId="0" fontId="28" fillId="0" borderId="0" xfId="16" applyFont="1"/>
    <xf numFmtId="0" fontId="29" fillId="0" borderId="18" xfId="16" applyFont="1" applyFill="1" applyBorder="1" applyAlignment="1">
      <alignment horizontal="right"/>
    </xf>
    <xf numFmtId="0" fontId="29" fillId="0" borderId="2" xfId="16" applyFont="1" applyBorder="1" applyAlignment="1">
      <alignment vertical="center"/>
    </xf>
    <xf numFmtId="3" fontId="29" fillId="0" borderId="2" xfId="16" applyNumberFormat="1" applyFont="1" applyBorder="1" applyAlignment="1">
      <alignment horizontal="right" vertical="center" wrapText="1"/>
    </xf>
    <xf numFmtId="3" fontId="29" fillId="3" borderId="2" xfId="16" applyNumberFormat="1" applyFont="1" applyFill="1" applyBorder="1" applyAlignment="1">
      <alignment vertical="center"/>
    </xf>
    <xf numFmtId="0" fontId="28" fillId="0" borderId="18" xfId="16" applyFont="1" applyFill="1" applyBorder="1"/>
    <xf numFmtId="0" fontId="28" fillId="0" borderId="4" xfId="16" applyFont="1" applyBorder="1"/>
    <xf numFmtId="0" fontId="28" fillId="0" borderId="2" xfId="16" applyFont="1" applyBorder="1"/>
    <xf numFmtId="0" fontId="28" fillId="0" borderId="2" xfId="16" applyFont="1" applyBorder="1" applyAlignment="1"/>
    <xf numFmtId="3" fontId="28" fillId="0" borderId="2" xfId="16" applyNumberFormat="1" applyFont="1" applyBorder="1" applyAlignment="1">
      <alignment vertical="center"/>
    </xf>
    <xf numFmtId="0" fontId="28" fillId="0" borderId="18" xfId="16" applyFont="1" applyFill="1" applyBorder="1" applyAlignment="1">
      <alignment horizontal="right" vertical="center"/>
    </xf>
    <xf numFmtId="0" fontId="28" fillId="0" borderId="4" xfId="16" applyFont="1" applyFill="1" applyBorder="1" applyAlignment="1">
      <alignment horizontal="right" vertical="center"/>
    </xf>
    <xf numFmtId="0" fontId="28" fillId="0" borderId="2" xfId="16" applyFont="1" applyFill="1" applyBorder="1" applyAlignment="1">
      <alignment horizontal="right" vertical="center"/>
    </xf>
    <xf numFmtId="0" fontId="29" fillId="0" borderId="0" xfId="16" applyFont="1" applyFill="1" applyAlignment="1">
      <alignment horizontal="center" vertical="center" wrapText="1"/>
    </xf>
    <xf numFmtId="0" fontId="91" fillId="0" borderId="2" xfId="16" applyFont="1" applyBorder="1"/>
    <xf numFmtId="0" fontId="29" fillId="0" borderId="18" xfId="0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right" vertical="center" wrapText="1"/>
    </xf>
    <xf numFmtId="3" fontId="29" fillId="0" borderId="2" xfId="0" applyNumberFormat="1" applyFont="1" applyBorder="1" applyAlignment="1">
      <alignment vertical="center"/>
    </xf>
    <xf numFmtId="3" fontId="29" fillId="0" borderId="2" xfId="0" applyNumberFormat="1" applyFont="1" applyBorder="1" applyAlignment="1">
      <alignment horizontal="right" vertical="center" wrapText="1"/>
    </xf>
    <xf numFmtId="0" fontId="91" fillId="0" borderId="2" xfId="0" applyFont="1" applyBorder="1"/>
    <xf numFmtId="0" fontId="9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92" fillId="0" borderId="0" xfId="0" applyFont="1" applyAlignment="1"/>
    <xf numFmtId="0" fontId="29" fillId="0" borderId="0" xfId="0" applyFont="1"/>
    <xf numFmtId="0" fontId="28" fillId="0" borderId="0" xfId="0" applyFont="1"/>
    <xf numFmtId="0" fontId="29" fillId="0" borderId="0" xfId="0" applyFont="1" applyFill="1"/>
    <xf numFmtId="0" fontId="29" fillId="0" borderId="18" xfId="16" applyFont="1" applyFill="1" applyBorder="1" applyAlignment="1">
      <alignment horizontal="right" vertical="center" wrapText="1"/>
    </xf>
    <xf numFmtId="0" fontId="92" fillId="0" borderId="0" xfId="16" applyFont="1" applyAlignment="1">
      <alignment vertical="center"/>
    </xf>
    <xf numFmtId="0" fontId="29" fillId="0" borderId="0" xfId="16" applyFont="1" applyAlignment="1">
      <alignment vertical="center"/>
    </xf>
    <xf numFmtId="0" fontId="28" fillId="0" borderId="0" xfId="16" applyFont="1" applyAlignment="1">
      <alignment vertical="center"/>
    </xf>
    <xf numFmtId="3" fontId="44" fillId="0" borderId="2" xfId="16" applyNumberFormat="1" applyFont="1" applyBorder="1" applyAlignment="1">
      <alignment horizontal="right" vertical="center" wrapText="1"/>
    </xf>
    <xf numFmtId="0" fontId="44" fillId="0" borderId="2" xfId="16" applyFont="1" applyBorder="1" applyAlignment="1">
      <alignment vertical="center"/>
    </xf>
    <xf numFmtId="0" fontId="29" fillId="0" borderId="2" xfId="16" applyFont="1" applyFill="1" applyBorder="1" applyAlignment="1">
      <alignment horizontal="right"/>
    </xf>
    <xf numFmtId="0" fontId="44" fillId="0" borderId="2" xfId="16" applyFont="1" applyBorder="1" applyAlignment="1"/>
    <xf numFmtId="0" fontId="28" fillId="0" borderId="18" xfId="16" applyFont="1" applyFill="1" applyBorder="1" applyAlignment="1"/>
    <xf numFmtId="0" fontId="28" fillId="0" borderId="4" xfId="16" applyFont="1" applyBorder="1" applyAlignment="1">
      <alignment wrapText="1"/>
    </xf>
    <xf numFmtId="0" fontId="28" fillId="0" borderId="2" xfId="16" applyFont="1" applyBorder="1" applyAlignment="1">
      <alignment vertical="center"/>
    </xf>
    <xf numFmtId="0" fontId="39" fillId="0" borderId="0" xfId="16" applyFont="1"/>
    <xf numFmtId="0" fontId="28" fillId="0" borderId="20" xfId="16" applyFont="1" applyFill="1" applyBorder="1"/>
    <xf numFmtId="0" fontId="28" fillId="0" borderId="42" xfId="16" applyFont="1" applyBorder="1"/>
    <xf numFmtId="3" fontId="28" fillId="0" borderId="2" xfId="16" applyNumberFormat="1" applyFont="1" applyBorder="1"/>
    <xf numFmtId="3" fontId="28" fillId="0" borderId="2" xfId="16" applyNumberFormat="1" applyFont="1" applyBorder="1" applyAlignment="1">
      <alignment wrapText="1"/>
    </xf>
    <xf numFmtId="0" fontId="1" fillId="0" borderId="0" xfId="17" applyFont="1"/>
    <xf numFmtId="0" fontId="49" fillId="0" borderId="0" xfId="16" applyFont="1" applyAlignment="1">
      <alignment horizontal="center"/>
    </xf>
    <xf numFmtId="3" fontId="31" fillId="0" borderId="27" xfId="16" applyNumberFormat="1" applyFont="1" applyBorder="1" applyAlignment="1">
      <alignment horizontal="center"/>
    </xf>
    <xf numFmtId="3" fontId="31" fillId="0" borderId="29" xfId="16" applyNumberFormat="1" applyFont="1" applyBorder="1" applyAlignment="1">
      <alignment horizontal="center"/>
    </xf>
    <xf numFmtId="3" fontId="31" fillId="0" borderId="23" xfId="16" applyNumberFormat="1" applyFont="1" applyBorder="1" applyAlignment="1">
      <alignment horizontal="center"/>
    </xf>
    <xf numFmtId="0" fontId="32" fillId="0" borderId="15" xfId="4" applyFont="1" applyFill="1" applyBorder="1" applyAlignment="1">
      <alignment horizontal="center" vertical="center"/>
    </xf>
    <xf numFmtId="0" fontId="32" fillId="0" borderId="51" xfId="4" applyFont="1" applyFill="1" applyBorder="1" applyAlignment="1">
      <alignment horizontal="center" vertical="center"/>
    </xf>
    <xf numFmtId="0" fontId="32" fillId="0" borderId="16" xfId="4" applyFont="1" applyFill="1" applyBorder="1" applyAlignment="1">
      <alignment horizontal="center" vertical="center"/>
    </xf>
    <xf numFmtId="3" fontId="51" fillId="0" borderId="4" xfId="22" applyNumberFormat="1" applyFont="1" applyBorder="1" applyAlignment="1">
      <alignment horizontal="center" vertical="center" readingOrder="2"/>
    </xf>
    <xf numFmtId="3" fontId="51" fillId="0" borderId="5" xfId="22" applyNumberFormat="1" applyFont="1" applyBorder="1" applyAlignment="1">
      <alignment horizontal="center" vertical="center" readingOrder="2"/>
    </xf>
    <xf numFmtId="3" fontId="51" fillId="0" borderId="6" xfId="22" applyNumberFormat="1" applyFont="1" applyBorder="1" applyAlignment="1">
      <alignment horizontal="center" vertical="center" readingOrder="2"/>
    </xf>
    <xf numFmtId="3" fontId="53" fillId="0" borderId="42" xfId="22" applyNumberFormat="1" applyFont="1" applyBorder="1" applyAlignment="1">
      <alignment horizontal="center" vertical="center" readingOrder="2"/>
    </xf>
    <xf numFmtId="3" fontId="53" fillId="0" borderId="38" xfId="22" applyNumberFormat="1" applyFont="1" applyBorder="1" applyAlignment="1">
      <alignment horizontal="center" vertical="center" readingOrder="2"/>
    </xf>
    <xf numFmtId="3" fontId="53" fillId="0" borderId="25" xfId="22" applyNumberFormat="1" applyFont="1" applyBorder="1" applyAlignment="1">
      <alignment horizontal="center" vertical="center" readingOrder="2"/>
    </xf>
    <xf numFmtId="0" fontId="53" fillId="0" borderId="27" xfId="22" applyFont="1" applyBorder="1" applyAlignment="1">
      <alignment vertical="center" readingOrder="2"/>
    </xf>
    <xf numFmtId="0" fontId="53" fillId="0" borderId="41" xfId="22" applyFont="1" applyBorder="1" applyAlignment="1">
      <alignment vertical="center" readingOrder="2"/>
    </xf>
    <xf numFmtId="0" fontId="65" fillId="0" borderId="28" xfId="22" applyFont="1" applyBorder="1" applyAlignment="1">
      <alignment vertical="center" readingOrder="2"/>
    </xf>
    <xf numFmtId="0" fontId="65" fillId="0" borderId="6" xfId="22" applyFont="1" applyBorder="1" applyAlignment="1">
      <alignment vertical="center" readingOrder="2"/>
    </xf>
    <xf numFmtId="0" fontId="65" fillId="0" borderId="45" xfId="22" applyFont="1" applyBorder="1" applyAlignment="1">
      <alignment vertical="center" readingOrder="2"/>
    </xf>
    <xf numFmtId="0" fontId="65" fillId="0" borderId="25" xfId="22" applyFont="1" applyBorder="1" applyAlignment="1">
      <alignment vertical="center" readingOrder="2"/>
    </xf>
    <xf numFmtId="0" fontId="53" fillId="0" borderId="40" xfId="22" applyFont="1" applyBorder="1" applyAlignment="1">
      <alignment horizontal="center" vertical="center" readingOrder="2"/>
    </xf>
    <xf numFmtId="0" fontId="53" fillId="0" borderId="29" xfId="22" applyFont="1" applyBorder="1" applyAlignment="1">
      <alignment horizontal="center" vertical="center" readingOrder="2"/>
    </xf>
    <xf numFmtId="0" fontId="53" fillId="0" borderId="41" xfId="22" applyFont="1" applyBorder="1" applyAlignment="1">
      <alignment horizontal="center" vertical="center" readingOrder="2"/>
    </xf>
    <xf numFmtId="0" fontId="36" fillId="0" borderId="0" xfId="16" applyFont="1" applyFill="1" applyAlignment="1">
      <alignment horizontal="center"/>
    </xf>
    <xf numFmtId="0" fontId="28" fillId="0" borderId="4" xfId="4" applyFont="1" applyFill="1" applyBorder="1" applyAlignment="1">
      <alignment horizontal="center" vertical="center"/>
    </xf>
    <xf numFmtId="0" fontId="28" fillId="0" borderId="5" xfId="4" applyFont="1" applyFill="1" applyBorder="1" applyAlignment="1">
      <alignment horizontal="center" vertical="center"/>
    </xf>
    <xf numFmtId="0" fontId="28" fillId="0" borderId="6" xfId="4" applyFont="1" applyFill="1" applyBorder="1" applyAlignment="1">
      <alignment horizontal="center" vertical="center"/>
    </xf>
    <xf numFmtId="0" fontId="28" fillId="0" borderId="4" xfId="4" applyFont="1" applyFill="1" applyBorder="1" applyAlignment="1">
      <alignment horizontal="center"/>
    </xf>
    <xf numFmtId="0" fontId="28" fillId="0" borderId="5" xfId="4" applyFont="1" applyFill="1" applyBorder="1" applyAlignment="1">
      <alignment horizontal="center"/>
    </xf>
    <xf numFmtId="0" fontId="28" fillId="0" borderId="6" xfId="4" applyFont="1" applyFill="1" applyBorder="1" applyAlignment="1">
      <alignment horizontal="center"/>
    </xf>
    <xf numFmtId="0" fontId="45" fillId="0" borderId="2" xfId="4" applyFont="1" applyFill="1" applyBorder="1" applyAlignment="1">
      <alignment horizontal="center" vertical="center"/>
    </xf>
    <xf numFmtId="0" fontId="28" fillId="0" borderId="4" xfId="4" quotePrefix="1" applyFont="1" applyFill="1" applyBorder="1" applyAlignment="1">
      <alignment horizontal="center" vertical="center"/>
    </xf>
    <xf numFmtId="0" fontId="28" fillId="0" borderId="5" xfId="4" quotePrefix="1" applyFont="1" applyFill="1" applyBorder="1" applyAlignment="1">
      <alignment horizontal="center" vertical="center"/>
    </xf>
    <xf numFmtId="0" fontId="28" fillId="0" borderId="6" xfId="4" quotePrefix="1" applyFont="1" applyFill="1" applyBorder="1" applyAlignment="1">
      <alignment horizontal="center" vertical="center"/>
    </xf>
    <xf numFmtId="0" fontId="45" fillId="0" borderId="2" xfId="16" applyFont="1" applyFill="1" applyBorder="1" applyAlignment="1">
      <alignment horizontal="center" vertical="center"/>
    </xf>
    <xf numFmtId="0" fontId="45" fillId="0" borderId="4" xfId="4" applyFont="1" applyFill="1" applyBorder="1" applyAlignment="1">
      <alignment horizontal="center" vertical="center"/>
    </xf>
    <xf numFmtId="0" fontId="45" fillId="0" borderId="5" xfId="4" applyFont="1" applyFill="1" applyBorder="1" applyAlignment="1">
      <alignment horizontal="center" vertical="center"/>
    </xf>
    <xf numFmtId="0" fontId="45" fillId="0" borderId="6" xfId="4" applyFont="1" applyFill="1" applyBorder="1" applyAlignment="1">
      <alignment horizontal="center" vertical="center"/>
    </xf>
    <xf numFmtId="0" fontId="45" fillId="0" borderId="2" xfId="16" applyFont="1" applyFill="1" applyBorder="1" applyAlignment="1">
      <alignment horizontal="center"/>
    </xf>
    <xf numFmtId="0" fontId="81" fillId="0" borderId="4" xfId="4" quotePrefix="1" applyFont="1" applyFill="1" applyBorder="1" applyAlignment="1">
      <alignment horizontal="center" vertical="center"/>
    </xf>
    <xf numFmtId="0" fontId="81" fillId="0" borderId="5" xfId="4" quotePrefix="1" applyFont="1" applyFill="1" applyBorder="1" applyAlignment="1">
      <alignment horizontal="center" vertical="center"/>
    </xf>
    <xf numFmtId="0" fontId="81" fillId="0" borderId="6" xfId="4" quotePrefix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/>
    </xf>
  </cellXfs>
  <cellStyles count="50">
    <cellStyle name="Comma" xfId="12" builtinId="3"/>
    <cellStyle name="Comma 2" xfId="10"/>
    <cellStyle name="Comma 3" xfId="14"/>
    <cellStyle name="Comma 3 2" xfId="18"/>
    <cellStyle name="Comma 3 3" xfId="21"/>
    <cellStyle name="Comma 3 4" xfId="23"/>
    <cellStyle name="Comma 4" xfId="36"/>
    <cellStyle name="Comma 5" xfId="49"/>
    <cellStyle name="Normal" xfId="0" builtinId="0"/>
    <cellStyle name="Normal 2" xfId="1"/>
    <cellStyle name="Normal 2 2" xfId="5"/>
    <cellStyle name="Normal 2 2 2" xfId="19"/>
    <cellStyle name="Normal 2 3" xfId="16"/>
    <cellStyle name="Normal 2_ריכוז אגפים" xfId="6"/>
    <cellStyle name="Normal 3" xfId="2"/>
    <cellStyle name="Normal 4" xfId="4"/>
    <cellStyle name="Normal 5" xfId="11"/>
    <cellStyle name="Normal 5 2" xfId="15"/>
    <cellStyle name="Normal 5 2 2" xfId="28"/>
    <cellStyle name="Normal 5 3" xfId="26"/>
    <cellStyle name="Normal 5 3 2" xfId="31"/>
    <cellStyle name="Normal 5 3 2 2" xfId="33"/>
    <cellStyle name="Normal 5 3 3" xfId="32"/>
    <cellStyle name="Normal 5 3 4" xfId="34"/>
    <cellStyle name="Normal 5 3 4 2" xfId="38"/>
    <cellStyle name="Normal 5 3 4 3" xfId="43"/>
    <cellStyle name="Normal 5 3 4 4" xfId="45"/>
    <cellStyle name="Normal 5 3 4 5" xfId="47"/>
    <cellStyle name="Normal 5 3 5" xfId="35"/>
    <cellStyle name="Normal 5 3 5 2" xfId="37"/>
    <cellStyle name="Normal 5 3 5 3" xfId="39"/>
    <cellStyle name="Normal 5 3 5 4" xfId="40"/>
    <cellStyle name="Normal 5 3 5 5" xfId="41"/>
    <cellStyle name="Normal 5 3 5 6" xfId="42"/>
    <cellStyle name="Normal 5 4" xfId="29"/>
    <cellStyle name="Normal 6" xfId="13"/>
    <cellStyle name="Normal 6 2" xfId="17"/>
    <cellStyle name="Normal 6 3" xfId="20"/>
    <cellStyle name="Normal 6 4" xfId="22"/>
    <cellStyle name="Normal 6 4 2" xfId="30"/>
    <cellStyle name="Normal 7" xfId="24"/>
    <cellStyle name="Normal 8" xfId="44"/>
    <cellStyle name="Normal 8 2" xfId="46"/>
    <cellStyle name="Normal 9" xfId="48"/>
    <cellStyle name="Percent 2" xfId="9"/>
    <cellStyle name="Percent 3" xfId="25"/>
    <cellStyle name="Percent 4" xfId="27"/>
    <cellStyle name="הערה 2" xfId="3"/>
    <cellStyle name="הערה 2 2" xfId="7"/>
    <cellStyle name="הערה 2_ריכוז אגפים" xfId="8"/>
  </cellStyles>
  <dxfs count="2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6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 לפי אגפים</a:t>
            </a:r>
            <a:endParaRPr kumimoji="0" lang="he-IL" sz="1320" b="0" i="0" u="sng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73292393-C808-4341-BF4A-25998629D0B1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4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לפי פרקים</a:t>
            </a:r>
            <a: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/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 </a:t>
            </a:r>
          </a:p>
        </cx:rich>
      </cx:tx>
    </cx:title>
    <cx:plotArea>
      <cx:plotAreaRegion>
        <cx:series layoutId="sunburst" uniqueId="{12CDAEE9-78C2-4B8A-8E23-70C6B6751AC6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התקציב לפי מקורות מימון</a:t>
            </a:r>
            <a: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/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D7E84A5A-E96D-45B6-9910-25C250F90FEC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0E2C2472-9A04-48F2-A087-8B62BCA6C8DB" TargetMode="External"/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4.jpg@01D6B376.A2CE7300" TargetMode="External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601980</xdr:colOff>
      <xdr:row>42</xdr:row>
      <xdr:rowOff>60960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6111620" y="0"/>
          <a:ext cx="11574780" cy="7101840"/>
        </a:xfrm>
        <a:prstGeom prst="rect">
          <a:avLst/>
        </a:prstGeom>
      </xdr:spPr>
    </xdr:pic>
    <xdr:clientData/>
  </xdr:twoCellAnchor>
  <xdr:oneCellAnchor>
    <xdr:from>
      <xdr:col>4</xdr:col>
      <xdr:colOff>342899</xdr:colOff>
      <xdr:row>4</xdr:row>
      <xdr:rowOff>68580</xdr:rowOff>
    </xdr:from>
    <xdr:ext cx="6408421" cy="1699260"/>
    <xdr:sp macro="" textlink="">
      <xdr:nvSpPr>
        <xdr:cNvPr id="7" name="TextBox 6"/>
        <xdr:cNvSpPr txBox="1"/>
      </xdr:nvSpPr>
      <xdr:spPr>
        <a:xfrm>
          <a:off x="9978496680" y="739140"/>
          <a:ext cx="6408421" cy="169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ctr">
          <a:noAutofit/>
        </a:bodyPr>
        <a:lstStyle/>
        <a:p>
          <a:pPr algn="ctr" rtl="1"/>
          <a:r>
            <a:rPr lang="he-IL" sz="4800" b="1">
              <a:solidFill>
                <a:schemeClr val="bg1"/>
              </a:solidFill>
              <a:latin typeface="David" panose="020E0502060401010101" pitchFamily="34" charset="-79"/>
              <a:cs typeface="David" panose="020E0502060401010101" pitchFamily="34" charset="-79"/>
            </a:rPr>
            <a:t>הצעת התקציב הבלתי</a:t>
          </a:r>
          <a:r>
            <a:rPr lang="he-IL" sz="4800" b="1" baseline="0">
              <a:solidFill>
                <a:schemeClr val="bg1"/>
              </a:solidFill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4800" b="1">
              <a:solidFill>
                <a:schemeClr val="bg1"/>
              </a:solidFill>
              <a:latin typeface="David" panose="020E0502060401010101" pitchFamily="34" charset="-79"/>
              <a:cs typeface="David" panose="020E0502060401010101" pitchFamily="34" charset="-79"/>
            </a:rPr>
            <a:t>רגיל לשנת 2021</a:t>
          </a:r>
        </a:p>
      </xdr:txBody>
    </xdr:sp>
    <xdr:clientData/>
  </xdr:oneCellAnchor>
  <xdr:oneCellAnchor>
    <xdr:from>
      <xdr:col>9</xdr:col>
      <xdr:colOff>205740</xdr:colOff>
      <xdr:row>24</xdr:row>
      <xdr:rowOff>38100</xdr:rowOff>
    </xdr:from>
    <xdr:ext cx="184731" cy="254557"/>
    <xdr:sp macro="" textlink="">
      <xdr:nvSpPr>
        <xdr:cNvPr id="9" name="TextBox 8"/>
        <xdr:cNvSpPr txBox="1"/>
      </xdr:nvSpPr>
      <xdr:spPr>
        <a:xfrm>
          <a:off x="9981809529" y="40614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he-IL" sz="1100"/>
        </a:p>
      </xdr:txBody>
    </xdr:sp>
    <xdr:clientData/>
  </xdr:oneCellAnchor>
  <xdr:oneCellAnchor>
    <xdr:from>
      <xdr:col>13</xdr:col>
      <xdr:colOff>22859</xdr:colOff>
      <xdr:row>35</xdr:row>
      <xdr:rowOff>144780</xdr:rowOff>
    </xdr:from>
    <xdr:ext cx="3543300" cy="822960"/>
    <xdr:sp macro="" textlink="">
      <xdr:nvSpPr>
        <xdr:cNvPr id="11" name="TextBox 10"/>
        <xdr:cNvSpPr txBox="1"/>
      </xdr:nvSpPr>
      <xdr:spPr>
        <a:xfrm>
          <a:off x="9976195441" y="6012180"/>
          <a:ext cx="354330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טבת תשפ"א , דצמבר 2020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עירית הרצליה/המינהל הכספי - אגף חוזים ותב"ר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e-IL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	מרכז תאו </a:t>
          </a:r>
        </a:p>
        <a:p>
          <a:pPr algn="r" rtl="1"/>
          <a:endParaRPr lang="he-IL" sz="1100" b="1">
            <a:solidFill>
              <a:schemeClr val="bg1"/>
            </a:solidFill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6927</xdr:colOff>
      <xdr:row>0</xdr:row>
      <xdr:rowOff>96982</xdr:rowOff>
    </xdr:from>
    <xdr:to>
      <xdr:col>20</xdr:col>
      <xdr:colOff>615141</xdr:colOff>
      <xdr:row>2</xdr:row>
      <xdr:rowOff>295102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 rot="16200000">
          <a:off x="10226578596" y="-195695"/>
          <a:ext cx="655320" cy="1240674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2021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rot="16200000">
          <a:off x="10228566723" y="-878032"/>
          <a:ext cx="625533" cy="267254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5</xdr:col>
      <xdr:colOff>281940</xdr:colOff>
      <xdr:row>36</xdr:row>
      <xdr:rowOff>7620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254360" y="4853940"/>
          <a:ext cx="4823460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 rot="16200000">
          <a:off x="10228626990" y="-1162050"/>
          <a:ext cx="617220" cy="30937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106680</xdr:rowOff>
    </xdr:from>
    <xdr:to>
      <xdr:col>21</xdr:col>
      <xdr:colOff>7620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 rot="16200000">
          <a:off x="10226337180" y="-342900"/>
          <a:ext cx="586740" cy="14859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60960</xdr:rowOff>
    </xdr:from>
    <xdr:to>
      <xdr:col>14</xdr:col>
      <xdr:colOff>800100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 rot="16200000">
          <a:off x="10229960490" y="-1169670"/>
          <a:ext cx="624840" cy="30861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800100</xdr:colOff>
      <xdr:row>0</xdr:row>
      <xdr:rowOff>76200</xdr:rowOff>
    </xdr:from>
    <xdr:to>
      <xdr:col>20</xdr:col>
      <xdr:colOff>731520</xdr:colOff>
      <xdr:row>2</xdr:row>
      <xdr:rowOff>220980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 rot="16200000">
          <a:off x="10227689730" y="-361950"/>
          <a:ext cx="601980" cy="1478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701040</xdr:colOff>
      <xdr:row>0</xdr:row>
      <xdr:rowOff>60960</xdr:rowOff>
    </xdr:from>
    <xdr:to>
      <xdr:col>14</xdr:col>
      <xdr:colOff>769620</xdr:colOff>
      <xdr:row>2</xdr:row>
      <xdr:rowOff>220980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 rot="16200000">
          <a:off x="10230455790" y="-1070610"/>
          <a:ext cx="617220" cy="28803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762000</xdr:colOff>
      <xdr:row>0</xdr:row>
      <xdr:rowOff>76200</xdr:rowOff>
    </xdr:from>
    <xdr:to>
      <xdr:col>21</xdr:col>
      <xdr:colOff>15240</xdr:colOff>
      <xdr:row>2</xdr:row>
      <xdr:rowOff>213360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 rot="16200000">
          <a:off x="10228322190" y="-339090"/>
          <a:ext cx="594360" cy="14249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1</xdr:rowOff>
    </xdr:from>
    <xdr:to>
      <xdr:col>4</xdr:col>
      <xdr:colOff>1965960</xdr:colOff>
      <xdr:row>36</xdr:row>
      <xdr:rowOff>38100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498200" y="3962401"/>
          <a:ext cx="4716780" cy="30860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129540</xdr:rowOff>
    </xdr:from>
    <xdr:to>
      <xdr:col>14</xdr:col>
      <xdr:colOff>723900</xdr:colOff>
      <xdr:row>2</xdr:row>
      <xdr:rowOff>266700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/>
      </xdr:nvSpPr>
      <xdr:spPr>
        <a:xfrm rot="16200000">
          <a:off x="10349228730" y="-1040130"/>
          <a:ext cx="594360" cy="29337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114300</xdr:rowOff>
    </xdr:from>
    <xdr:to>
      <xdr:col>20</xdr:col>
      <xdr:colOff>716280</xdr:colOff>
      <xdr:row>2</xdr:row>
      <xdr:rowOff>266700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/>
      </xdr:nvSpPr>
      <xdr:spPr>
        <a:xfrm rot="16200000">
          <a:off x="10347007500" y="-304800"/>
          <a:ext cx="609600" cy="14478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129540</xdr:rowOff>
    </xdr:from>
    <xdr:to>
      <xdr:col>19</xdr:col>
      <xdr:colOff>7620</xdr:colOff>
      <xdr:row>3</xdr:row>
      <xdr:rowOff>22860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/>
      </xdr:nvSpPr>
      <xdr:spPr>
        <a:xfrm rot="16200000">
          <a:off x="10350874650" y="-1040130"/>
          <a:ext cx="624840" cy="29641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129540</xdr:rowOff>
    </xdr:from>
    <xdr:to>
      <xdr:col>20</xdr:col>
      <xdr:colOff>655320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/>
      </xdr:nvSpPr>
      <xdr:spPr>
        <a:xfrm rot="16200000">
          <a:off x="10348744860" y="-220980"/>
          <a:ext cx="609600" cy="13106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129540</xdr:rowOff>
    </xdr:from>
    <xdr:to>
      <xdr:col>14</xdr:col>
      <xdr:colOff>617220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/>
      </xdr:nvSpPr>
      <xdr:spPr>
        <a:xfrm rot="16200000">
          <a:off x="10350889890" y="-849630"/>
          <a:ext cx="617220" cy="25755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</xdr:rowOff>
    </xdr:from>
    <xdr:to>
      <xdr:col>20</xdr:col>
      <xdr:colOff>617220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/>
      </xdr:nvSpPr>
      <xdr:spPr>
        <a:xfrm rot="16200000">
          <a:off x="10348904880" y="-175260"/>
          <a:ext cx="716280" cy="1097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129540</xdr:rowOff>
    </xdr:from>
    <xdr:to>
      <xdr:col>14</xdr:col>
      <xdr:colOff>708660</xdr:colOff>
      <xdr:row>2</xdr:row>
      <xdr:rowOff>205740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/>
      </xdr:nvSpPr>
      <xdr:spPr>
        <a:xfrm rot="16200000">
          <a:off x="10353503550" y="-1062990"/>
          <a:ext cx="533400" cy="29184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731520</xdr:colOff>
      <xdr:row>0</xdr:row>
      <xdr:rowOff>68580</xdr:rowOff>
    </xdr:from>
    <xdr:to>
      <xdr:col>20</xdr:col>
      <xdr:colOff>723900</xdr:colOff>
      <xdr:row>3</xdr:row>
      <xdr:rowOff>15240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/>
      </xdr:nvSpPr>
      <xdr:spPr>
        <a:xfrm rot="16200000">
          <a:off x="10351236600" y="-350520"/>
          <a:ext cx="632460" cy="14706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0" y="19050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/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53340</xdr:rowOff>
    </xdr:from>
    <xdr:to>
      <xdr:col>15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/>
      </xdr:nvSpPr>
      <xdr:spPr>
        <a:xfrm rot="16200000">
          <a:off x="10353137790" y="-781050"/>
          <a:ext cx="617220" cy="22860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617220</xdr:colOff>
      <xdr:row>0</xdr:row>
      <xdr:rowOff>68580</xdr:rowOff>
    </xdr:from>
    <xdr:to>
      <xdr:col>20</xdr:col>
      <xdr:colOff>609600</xdr:colOff>
      <xdr:row>3</xdr:row>
      <xdr:rowOff>15240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/>
      </xdr:nvSpPr>
      <xdr:spPr>
        <a:xfrm rot="16200000">
          <a:off x="10351438530" y="-163830"/>
          <a:ext cx="632460" cy="1097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F64F18A5-EF20-419E-BEA5-67F44FB6203C}"/>
            </a:ext>
          </a:extLst>
        </xdr:cNvPr>
        <xdr:cNvSpPr/>
      </xdr:nvSpPr>
      <xdr:spPr>
        <a:xfrm rot="16200000">
          <a:off x="9601211430" y="-300990"/>
          <a:ext cx="556260" cy="13258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8" name="סוגר מסולסל ימני 7">
          <a:extLst>
            <a:ext uri="{FF2B5EF4-FFF2-40B4-BE49-F238E27FC236}">
              <a16:creationId xmlns:a16="http://schemas.microsoft.com/office/drawing/2014/main" id="{F64F18A5-EF20-419E-BEA5-67F44FB6203C}"/>
            </a:ext>
          </a:extLst>
        </xdr:cNvPr>
        <xdr:cNvSpPr/>
      </xdr:nvSpPr>
      <xdr:spPr>
        <a:xfrm rot="16200000">
          <a:off x="9603223110" y="-963930"/>
          <a:ext cx="563880" cy="26746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91440</xdr:rowOff>
    </xdr:from>
    <xdr:to>
      <xdr:col>14</xdr:col>
      <xdr:colOff>617220</xdr:colOff>
      <xdr:row>2</xdr:row>
      <xdr:rowOff>251460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AD386B81-1156-4CDB-B1F7-B249A18A730D}"/>
            </a:ext>
          </a:extLst>
        </xdr:cNvPr>
        <xdr:cNvSpPr/>
      </xdr:nvSpPr>
      <xdr:spPr>
        <a:xfrm rot="16200000">
          <a:off x="9603912720" y="-853440"/>
          <a:ext cx="556260" cy="24460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83820</xdr:rowOff>
    </xdr:from>
    <xdr:to>
      <xdr:col>20</xdr:col>
      <xdr:colOff>609600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F64F18A5-EF20-419E-BEA5-67F44FB6203C}"/>
            </a:ext>
          </a:extLst>
        </xdr:cNvPr>
        <xdr:cNvSpPr/>
      </xdr:nvSpPr>
      <xdr:spPr>
        <a:xfrm rot="16200000">
          <a:off x="9602057250" y="-163830"/>
          <a:ext cx="563880" cy="10591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/>
        <xdr:cNvSpPr/>
      </xdr:nvSpPr>
      <xdr:spPr>
        <a:xfrm rot="16200000">
          <a:off x="10225453260" y="-815340"/>
          <a:ext cx="647700" cy="24460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/>
        <xdr:cNvSpPr/>
      </xdr:nvSpPr>
      <xdr:spPr>
        <a:xfrm rot="16200000">
          <a:off x="10223254890" y="-247650"/>
          <a:ext cx="601980" cy="13258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2021</a:t>
          </a: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/>
        <xdr:cNvSpPr/>
      </xdr:nvSpPr>
      <xdr:spPr>
        <a:xfrm rot="16200000">
          <a:off x="10225152270" y="-781050"/>
          <a:ext cx="647700" cy="23774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594360</xdr:colOff>
      <xdr:row>0</xdr:row>
      <xdr:rowOff>91440</xdr:rowOff>
    </xdr:from>
    <xdr:to>
      <xdr:col>22</xdr:col>
      <xdr:colOff>7620</xdr:colOff>
      <xdr:row>3</xdr:row>
      <xdr:rowOff>7620</xdr:rowOff>
    </xdr:to>
    <xdr:sp macro="" textlink="">
      <xdr:nvSpPr>
        <xdr:cNvPr id="3" name="סוגר מסולסל ימני 2"/>
        <xdr:cNvSpPr/>
      </xdr:nvSpPr>
      <xdr:spPr>
        <a:xfrm rot="16200000">
          <a:off x="10223239650" y="-323850"/>
          <a:ext cx="632460" cy="14630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2021</a:t>
          </a: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13653</xdr:colOff>
      <xdr:row>17</xdr:row>
      <xdr:rowOff>9212</xdr:rowOff>
    </xdr:from>
    <xdr:to>
      <xdr:col>5</xdr:col>
      <xdr:colOff>45721</xdr:colOff>
      <xdr:row>32</xdr:row>
      <xdr:rowOff>121923</xdr:rowOff>
    </xdr:to>
    <xdr:pic>
      <xdr:nvPicPr>
        <xdr:cNvPr id="9" name="תמונה 8" descr="cid:0E2C2472-9A04-48F2-A087-8B62BCA6C8DB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35231307" y="2651764"/>
          <a:ext cx="2878771" cy="4512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81936</xdr:rowOff>
    </xdr:from>
    <xdr:to>
      <xdr:col>15</xdr:col>
      <xdr:colOff>0</xdr:colOff>
      <xdr:row>3</xdr:row>
      <xdr:rowOff>10898</xdr:rowOff>
    </xdr:to>
    <xdr:sp macro="" textlink="">
      <xdr:nvSpPr>
        <xdr:cNvPr id="2" name="סוגר מסולסל ימני 1"/>
        <xdr:cNvSpPr/>
      </xdr:nvSpPr>
      <xdr:spPr>
        <a:xfrm rot="16200000">
          <a:off x="10229565479" y="-669863"/>
          <a:ext cx="690962" cy="26517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737416</xdr:colOff>
      <xdr:row>0</xdr:row>
      <xdr:rowOff>90131</xdr:rowOff>
    </xdr:from>
    <xdr:to>
      <xdr:col>20</xdr:col>
      <xdr:colOff>729227</xdr:colOff>
      <xdr:row>2</xdr:row>
      <xdr:rowOff>303160</xdr:rowOff>
    </xdr:to>
    <xdr:sp macro="" textlink="">
      <xdr:nvSpPr>
        <xdr:cNvPr id="3" name="סוגר מסולסל ימני 2"/>
        <xdr:cNvSpPr/>
      </xdr:nvSpPr>
      <xdr:spPr>
        <a:xfrm rot="16200000">
          <a:off x="10188001455" y="-307260"/>
          <a:ext cx="671868" cy="1466649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81936</xdr:rowOff>
    </xdr:from>
    <xdr:to>
      <xdr:col>15</xdr:col>
      <xdr:colOff>0</xdr:colOff>
      <xdr:row>3</xdr:row>
      <xdr:rowOff>10898</xdr:rowOff>
    </xdr:to>
    <xdr:sp macro="" textlink="">
      <xdr:nvSpPr>
        <xdr:cNvPr id="2" name="סוגר מסולסל ימני 1"/>
        <xdr:cNvSpPr/>
      </xdr:nvSpPr>
      <xdr:spPr>
        <a:xfrm rot="16200000">
          <a:off x="10227439499" y="-898463"/>
          <a:ext cx="690962" cy="26517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721030</xdr:colOff>
      <xdr:row>0</xdr:row>
      <xdr:rowOff>65549</xdr:rowOff>
    </xdr:from>
    <xdr:to>
      <xdr:col>20</xdr:col>
      <xdr:colOff>704646</xdr:colOff>
      <xdr:row>3</xdr:row>
      <xdr:rowOff>1966</xdr:rowOff>
    </xdr:to>
    <xdr:sp macro="" textlink="">
      <xdr:nvSpPr>
        <xdr:cNvPr id="3" name="סוגר מסולסל ימני 2"/>
        <xdr:cNvSpPr/>
      </xdr:nvSpPr>
      <xdr:spPr>
        <a:xfrm rot="16200000">
          <a:off x="10225473253" y="-224750"/>
          <a:ext cx="698417" cy="127901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81936</xdr:rowOff>
    </xdr:from>
    <xdr:to>
      <xdr:col>15</xdr:col>
      <xdr:colOff>0</xdr:colOff>
      <xdr:row>3</xdr:row>
      <xdr:rowOff>10898</xdr:rowOff>
    </xdr:to>
    <xdr:sp macro="" textlink="">
      <xdr:nvSpPr>
        <xdr:cNvPr id="2" name="סוגר מסולסל ימני 1"/>
        <xdr:cNvSpPr/>
      </xdr:nvSpPr>
      <xdr:spPr>
        <a:xfrm rot="16200000">
          <a:off x="10227439499" y="-898463"/>
          <a:ext cx="690962" cy="26517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721030</xdr:colOff>
      <xdr:row>0</xdr:row>
      <xdr:rowOff>65549</xdr:rowOff>
    </xdr:from>
    <xdr:to>
      <xdr:col>20</xdr:col>
      <xdr:colOff>704646</xdr:colOff>
      <xdr:row>3</xdr:row>
      <xdr:rowOff>1966</xdr:rowOff>
    </xdr:to>
    <xdr:sp macro="" textlink="">
      <xdr:nvSpPr>
        <xdr:cNvPr id="3" name="סוגר מסולסל ימני 2"/>
        <xdr:cNvSpPr/>
      </xdr:nvSpPr>
      <xdr:spPr>
        <a:xfrm rot="16200000">
          <a:off x="10225473253" y="-224750"/>
          <a:ext cx="698417" cy="127901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</xdr:rowOff>
    </xdr:from>
    <xdr:to>
      <xdr:col>14</xdr:col>
      <xdr:colOff>655320</xdr:colOff>
      <xdr:row>2</xdr:row>
      <xdr:rowOff>251460</xdr:rowOff>
    </xdr:to>
    <xdr:sp macro="" textlink="">
      <xdr:nvSpPr>
        <xdr:cNvPr id="2" name="סוגר מסולסל ימני 1"/>
        <xdr:cNvSpPr/>
      </xdr:nvSpPr>
      <xdr:spPr>
        <a:xfrm rot="16200000">
          <a:off x="10225411350" y="-971550"/>
          <a:ext cx="693420" cy="26670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83820</xdr:rowOff>
    </xdr:from>
    <xdr:to>
      <xdr:col>20</xdr:col>
      <xdr:colOff>662940</xdr:colOff>
      <xdr:row>3</xdr:row>
      <xdr:rowOff>7620</xdr:rowOff>
    </xdr:to>
    <xdr:sp macro="" textlink="">
      <xdr:nvSpPr>
        <xdr:cNvPr id="3" name="סוגר מסולסל ימני 2"/>
        <xdr:cNvSpPr/>
      </xdr:nvSpPr>
      <xdr:spPr>
        <a:xfrm rot="16200000">
          <a:off x="10223422530" y="-262890"/>
          <a:ext cx="640080" cy="1333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/>
        <xdr:cNvSpPr/>
      </xdr:nvSpPr>
      <xdr:spPr>
        <a:xfrm rot="16200000">
          <a:off x="10227842130" y="-1245870"/>
          <a:ext cx="624840" cy="326898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12</xdr:col>
      <xdr:colOff>868680</xdr:colOff>
      <xdr:row>0</xdr:row>
      <xdr:rowOff>68580</xdr:rowOff>
    </xdr:from>
    <xdr:to>
      <xdr:col>18</xdr:col>
      <xdr:colOff>731520</xdr:colOff>
      <xdr:row>3</xdr:row>
      <xdr:rowOff>15240</xdr:rowOff>
    </xdr:to>
    <xdr:sp macro="" textlink="">
      <xdr:nvSpPr>
        <xdr:cNvPr id="3" name="סוגר מסולסל ימני 2"/>
        <xdr:cNvSpPr/>
      </xdr:nvSpPr>
      <xdr:spPr>
        <a:xfrm rot="16200000">
          <a:off x="10225476120" y="-297180"/>
          <a:ext cx="685800" cy="14173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2021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15240</xdr:rowOff>
    </xdr:from>
    <xdr:to>
      <xdr:col>14</xdr:col>
      <xdr:colOff>609600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10226299080" y="-876300"/>
          <a:ext cx="701040" cy="24841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45720</xdr:rowOff>
    </xdr:from>
    <xdr:to>
      <xdr:col>20</xdr:col>
      <xdr:colOff>617220</xdr:colOff>
      <xdr:row>3</xdr:row>
      <xdr:rowOff>0</xdr:rowOff>
    </xdr:to>
    <xdr:sp macro="" textlink="">
      <xdr:nvSpPr>
        <xdr:cNvPr id="3" name="סוגר מסולסל ימני 2"/>
        <xdr:cNvSpPr/>
      </xdr:nvSpPr>
      <xdr:spPr>
        <a:xfrm rot="16200000">
          <a:off x="10224435990" y="-240030"/>
          <a:ext cx="670560" cy="12420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SpPr/>
      </xdr:nvSpPr>
      <xdr:spPr>
        <a:xfrm rot="16200000">
          <a:off x="10228394580" y="-914400"/>
          <a:ext cx="685800" cy="26670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SpPr/>
      </xdr:nvSpPr>
      <xdr:spPr>
        <a:xfrm rot="16200000">
          <a:off x="10225003680" y="-167640"/>
          <a:ext cx="594360" cy="12344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617220</xdr:colOff>
      <xdr:row>0</xdr:row>
      <xdr:rowOff>76200</xdr:rowOff>
    </xdr:from>
    <xdr:to>
      <xdr:col>15</xdr:col>
      <xdr:colOff>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SpPr/>
      </xdr:nvSpPr>
      <xdr:spPr>
        <a:xfrm rot="16200000">
          <a:off x="10228352670" y="-697230"/>
          <a:ext cx="693420" cy="2240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SpPr/>
      </xdr:nvSpPr>
      <xdr:spPr>
        <a:xfrm rot="16200000">
          <a:off x="10226699130" y="-125730"/>
          <a:ext cx="594360" cy="11506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12</xdr:row>
      <xdr:rowOff>68581</xdr:rowOff>
    </xdr:from>
    <xdr:to>
      <xdr:col>8</xdr:col>
      <xdr:colOff>327660</xdr:colOff>
      <xdr:row>35</xdr:row>
      <xdr:rowOff>7621</xdr:rowOff>
    </xdr:to>
    <xdr:pic>
      <xdr:nvPicPr>
        <xdr:cNvPr id="4" name="תמונה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2174100" y="2468881"/>
          <a:ext cx="7322820" cy="397002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9976477380" y="-990600"/>
          <a:ext cx="563880" cy="26822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/>
        <xdr:cNvSpPr/>
      </xdr:nvSpPr>
      <xdr:spPr>
        <a:xfrm rot="16200000">
          <a:off x="9976378320" y="-1447800"/>
          <a:ext cx="563880" cy="36118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617220</xdr:colOff>
      <xdr:row>0</xdr:row>
      <xdr:rowOff>68580</xdr:rowOff>
    </xdr:from>
    <xdr:to>
      <xdr:col>15</xdr:col>
      <xdr:colOff>0</xdr:colOff>
      <xdr:row>2</xdr:row>
      <xdr:rowOff>228600</xdr:rowOff>
    </xdr:to>
    <xdr:sp macro="" textlink="">
      <xdr:nvSpPr>
        <xdr:cNvPr id="2" name="סוגר מסולסל ימני 1"/>
        <xdr:cNvSpPr/>
      </xdr:nvSpPr>
      <xdr:spPr>
        <a:xfrm rot="16200000">
          <a:off x="9976866000" y="-899160"/>
          <a:ext cx="563880" cy="24993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/>
        <xdr:cNvSpPr/>
      </xdr:nvSpPr>
      <xdr:spPr>
        <a:xfrm rot="16200000">
          <a:off x="9975098160" y="-160020"/>
          <a:ext cx="563880" cy="10363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2021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10224889380" y="-876300"/>
          <a:ext cx="708660" cy="24917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/>
        <xdr:cNvSpPr/>
      </xdr:nvSpPr>
      <xdr:spPr>
        <a:xfrm rot="16200000">
          <a:off x="10222504320" y="-297180"/>
          <a:ext cx="670560" cy="13411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2021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10224805560" y="-876300"/>
          <a:ext cx="708660" cy="24917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617220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/>
        <xdr:cNvSpPr/>
      </xdr:nvSpPr>
      <xdr:spPr>
        <a:xfrm rot="16200000">
          <a:off x="10222957710" y="-255270"/>
          <a:ext cx="670560" cy="12573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2021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22</xdr:row>
      <xdr:rowOff>22860</xdr:rowOff>
    </xdr:from>
    <xdr:to>
      <xdr:col>5</xdr:col>
      <xdr:colOff>220980</xdr:colOff>
      <xdr:row>37</xdr:row>
      <xdr:rowOff>114300</xdr:rowOff>
    </xdr:to>
    <xdr:pic>
      <xdr:nvPicPr>
        <xdr:cNvPr id="6" name="9B675B28-2DFB-4861-8F03-5B67D97A4461" descr="cid:image004.jpg@01D6B376.A2CE73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155300" y="4480560"/>
          <a:ext cx="5044440" cy="2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10227834510" y="-849630"/>
          <a:ext cx="571500" cy="24993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655320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/>
        <xdr:cNvSpPr/>
      </xdr:nvSpPr>
      <xdr:spPr>
        <a:xfrm rot="16200000">
          <a:off x="10225979040" y="-205740"/>
          <a:ext cx="571500" cy="12115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16002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/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/>
        <xdr:cNvSpPr/>
      </xdr:nvSpPr>
      <xdr:spPr>
        <a:xfrm rot="16200000">
          <a:off x="10227400170" y="-834390"/>
          <a:ext cx="571500" cy="24688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655320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/>
        <xdr:cNvSpPr/>
      </xdr:nvSpPr>
      <xdr:spPr>
        <a:xfrm rot="16200000">
          <a:off x="10225552320" y="-213360"/>
          <a:ext cx="571500" cy="12268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99060</xdr:rowOff>
    </xdr:from>
    <xdr:to>
      <xdr:col>12</xdr:col>
      <xdr:colOff>853440</xdr:colOff>
      <xdr:row>2</xdr:row>
      <xdr:rowOff>236220</xdr:rowOff>
    </xdr:to>
    <xdr:sp macro="" textlink="">
      <xdr:nvSpPr>
        <xdr:cNvPr id="3" name="סוגר מסולסל ימני 2"/>
        <xdr:cNvSpPr/>
      </xdr:nvSpPr>
      <xdr:spPr>
        <a:xfrm rot="16200000">
          <a:off x="10228939410" y="-1238250"/>
          <a:ext cx="624840" cy="32994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281940</xdr:rowOff>
    </xdr:to>
    <xdr:sp macro="" textlink="">
      <xdr:nvSpPr>
        <xdr:cNvPr id="5" name="סוגר מסולסל ימני 4"/>
        <xdr:cNvSpPr/>
      </xdr:nvSpPr>
      <xdr:spPr>
        <a:xfrm rot="16200000">
          <a:off x="10226470530" y="-354330"/>
          <a:ext cx="701040" cy="15468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" y="333375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/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17</xdr:row>
      <xdr:rowOff>53341</xdr:rowOff>
    </xdr:from>
    <xdr:to>
      <xdr:col>7</xdr:col>
      <xdr:colOff>60960</xdr:colOff>
      <xdr:row>37</xdr:row>
      <xdr:rowOff>91440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3271380" y="3497581"/>
          <a:ext cx="5539740" cy="35432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 rot="16200000">
          <a:off x="10224979781" y="-267739"/>
          <a:ext cx="604058" cy="14706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2021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rot="16200000">
          <a:off x="10233557823" y="-519892"/>
          <a:ext cx="625533" cy="195626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6927</xdr:colOff>
      <xdr:row>0</xdr:row>
      <xdr:rowOff>96982</xdr:rowOff>
    </xdr:from>
    <xdr:to>
      <xdr:col>20</xdr:col>
      <xdr:colOff>731520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 rot="16200000">
          <a:off x="10227037528" y="-298566"/>
          <a:ext cx="672638" cy="1463733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2021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rot="16200000">
          <a:off x="10228566723" y="-878032"/>
          <a:ext cx="625533" cy="267254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514;&#1493;&#1499;&#1504;&#1497;&#1514;%20&#1506;&#1489;&#1493;&#1491;&#1492;%202021\&#1492;&#1499;&#1504;&#1514;%20&#1514;&#1511;&#1510;&#1497;&#1489;%202021\&#1502;&#1497;&#1502;&#1493;&#1513;%20&#1514;&#1511;&#1510;&#1497;&#1489;%202020\&#1502;&#1497;&#1502;&#1493;&#1513;%20&#1514;&#1511;&#1510;&#1497;&#1489;%20&#1508;&#1497;&#1514;&#1493;&#1495;%202020%20&#1502;&#1506;&#1493;&#1491;&#1499;&#1503;%20&#1511;&#1493;&#1512;&#1493;&#1504;&#1492;%2023.9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2020"/>
      <sheetName val="תוכן ענינים"/>
      <sheetName val="מבוא"/>
      <sheetName val="תקציב 2019"/>
      <sheetName val="תקציב 2020 "/>
      <sheetName val="תקציב 2020 פרקים"/>
      <sheetName val="תקציב 2020  אגפים "/>
      <sheetName val="תקציב 2020  מקורות "/>
      <sheetName val="תקציב 2020 קרנות הרשות"/>
      <sheetName val="תקציב 2020 מקורות אחרים"/>
      <sheetName val="תרשים אגפים"/>
      <sheetName val="ריכוז אגפים"/>
      <sheetName val="תרשים פרקים"/>
      <sheetName val="ריכוז פרקים"/>
      <sheetName val="פרוט מקורות אחרים"/>
      <sheetName val="תרשים מקורות מימון"/>
      <sheetName val="הנדסה 2020"/>
      <sheetName val="הנדסה 2020 (2)"/>
      <sheetName val="תקציב הנדסה 2020 "/>
      <sheetName val="תקציב הנדסה 2020 טיוטה תאור"/>
      <sheetName val="הנדסה 2020 פרקים"/>
      <sheetName val="החברה לפיתוח 2020"/>
      <sheetName val="החב. לפיתוח 2020"/>
      <sheetName val="תקציב החברה לפיתוח 2020"/>
      <sheetName val="תקציב החברה לפיתוח 2020 תאור"/>
      <sheetName val="החברה לפיתוח 2020 פרקים"/>
      <sheetName val="אגף ת.ב.ל 2020"/>
      <sheetName val="אגף ת.ב.ל 2020 (2)"/>
      <sheetName val="תקציב אגף ת.ב.ל 2020 "/>
      <sheetName val="אגף ת.ב.ל 2020 פרקים"/>
      <sheetName val="תקציב אגף ת.ב.ל 2020 תאור"/>
      <sheetName val="אגף בטחון פיקוח סד&quot;צ 2020"/>
      <sheetName val="תקציב אגף בטחון פיקוח סד&quot;צ 2020"/>
      <sheetName val="בטחון פיקוח סד&quot;צ 2020 פרקים"/>
      <sheetName val="אגף חינוך 2020"/>
      <sheetName val="תקציב אגף חינוך 2020"/>
      <sheetName val=" חינוך 2020 פרקים"/>
      <sheetName val="אגף תנוס 2020"/>
      <sheetName val="תקציב אגף תנוס 2020 "/>
      <sheetName val="תנוס 2020פרקים"/>
      <sheetName val="אגף שאיפה 2020"/>
      <sheetName val="אגף שאיפה 2020 (2)"/>
      <sheetName val="תקציב אגף שאיפה  2020 "/>
      <sheetName val=" שאיפה  2020 פרקים"/>
      <sheetName val="תקציב אגף שאיפה  2020 תאור"/>
      <sheetName val="רשות החופים 2020"/>
      <sheetName val="תקציב רשות החופים 2020 "/>
      <sheetName val="רשות החופים 2020 פרקים"/>
      <sheetName val="החברה לתירות 2020"/>
      <sheetName val="תקציב החברה לתירות 2020 "/>
      <sheetName val="החברה לתירות 2020 פרקים"/>
      <sheetName val="אגף תקשוב ומע. מידע 2020"/>
      <sheetName val="אגף תקשוב ומע. מידע 2020 (2)"/>
      <sheetName val="תקציב אגף תקשוב 2020 "/>
      <sheetName val=" תקשוב 2020 פרקים"/>
      <sheetName val="אגף נכסים וביטוח 2020"/>
      <sheetName val="תקציב אגף נכסים וביטוח 2020 "/>
      <sheetName val="נכסים וביטוח 2020 פרקים"/>
      <sheetName val="מינהל כללי 2020"/>
      <sheetName val="תקציב מינהל כללי 2020 "/>
      <sheetName val=" מינהל כללי 2020 פרקים"/>
      <sheetName val="תקציב 2019 - ביצוע"/>
      <sheetName val="ריכוז אגפים 2019"/>
      <sheetName val="הנדסה 2019"/>
      <sheetName val="החברה לפיתוח 2019"/>
      <sheetName val="אגף ת.ב.ל 2019"/>
      <sheetName val=" אגף בטחון פיקוח סד&quot;צ 2019"/>
      <sheetName val="תקציב אגף חינוך 2019"/>
      <sheetName val=" אגף תנוס 2019"/>
      <sheetName val="אגף שאיפה  2019"/>
      <sheetName val="רשות החופים 2019 "/>
      <sheetName val="החברה לתירות 2019"/>
      <sheetName val="אגף תקשוב 2019"/>
      <sheetName val=" אגף נכסים וביטוח 2019"/>
      <sheetName val="מינהל כללי 2019"/>
      <sheetName val="ריכוז תקציב מעבר לתוכנית 2019"/>
      <sheetName val="פרויקטים החב. לפיתוח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7">
          <cell r="A87">
            <v>81</v>
          </cell>
          <cell r="D87">
            <v>624882129</v>
          </cell>
          <cell r="E87">
            <v>624882129</v>
          </cell>
          <cell r="F87">
            <v>0</v>
          </cell>
          <cell r="G87">
            <v>287696552</v>
          </cell>
          <cell r="H87">
            <v>241172328.07999995</v>
          </cell>
          <cell r="I87">
            <v>9812546.0800000001</v>
          </cell>
          <cell r="J87">
            <v>8657506.3099999987</v>
          </cell>
          <cell r="K87">
            <v>18470052.390000001</v>
          </cell>
          <cell r="L87">
            <v>259642380.46999997</v>
          </cell>
          <cell r="M87">
            <v>28054171.529999997</v>
          </cell>
          <cell r="N87">
            <v>31558338</v>
          </cell>
          <cell r="O87">
            <v>31558338</v>
          </cell>
          <cell r="P87">
            <v>305627239</v>
          </cell>
          <cell r="Q87">
            <v>28054171.529999997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31558338</v>
          </cell>
          <cell r="W87">
            <v>30203894</v>
          </cell>
          <cell r="X87">
            <v>0</v>
          </cell>
          <cell r="Y87">
            <v>0</v>
          </cell>
          <cell r="Z87">
            <v>0</v>
          </cell>
          <cell r="AA87">
            <v>1354444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31558338</v>
          </cell>
          <cell r="AJ87">
            <v>30203894</v>
          </cell>
          <cell r="AK87">
            <v>0</v>
          </cell>
          <cell r="AL87">
            <v>0</v>
          </cell>
          <cell r="AM87">
            <v>0</v>
          </cell>
          <cell r="AN87">
            <v>1354444</v>
          </cell>
          <cell r="AO87">
            <v>23080000</v>
          </cell>
          <cell r="AP87">
            <v>24251679.080000002</v>
          </cell>
          <cell r="AQ87">
            <v>0</v>
          </cell>
          <cell r="AR87">
            <v>18130000</v>
          </cell>
          <cell r="AS87">
            <v>26084171.529999997</v>
          </cell>
          <cell r="AT87">
            <v>44214171.530000001</v>
          </cell>
          <cell r="AU87">
            <v>321025577</v>
          </cell>
          <cell r="AV87">
            <v>16160000</v>
          </cell>
          <cell r="AW87">
            <v>16060000</v>
          </cell>
          <cell r="AX87">
            <v>0</v>
          </cell>
          <cell r="AY87">
            <v>0</v>
          </cell>
          <cell r="AZ87">
            <v>0</v>
          </cell>
          <cell r="BA87">
            <v>100000</v>
          </cell>
          <cell r="BB87">
            <v>-1970000</v>
          </cell>
        </row>
      </sheetData>
      <sheetData sheetId="19"/>
      <sheetData sheetId="20"/>
      <sheetData sheetId="21"/>
      <sheetData sheetId="22"/>
      <sheetData sheetId="23">
        <row r="129">
          <cell r="A129">
            <v>117</v>
          </cell>
          <cell r="D129">
            <v>2887657813</v>
          </cell>
          <cell r="E129">
            <v>2884587813</v>
          </cell>
          <cell r="F129">
            <v>3070000</v>
          </cell>
          <cell r="G129">
            <v>1321315076</v>
          </cell>
          <cell r="H129">
            <v>966130777.77999997</v>
          </cell>
          <cell r="I129">
            <v>1941356.11</v>
          </cell>
          <cell r="J129">
            <v>45839482.719999991</v>
          </cell>
          <cell r="K129">
            <v>47780838.829999991</v>
          </cell>
          <cell r="L129">
            <v>1013911616.61</v>
          </cell>
          <cell r="M129">
            <v>307403459.38999999</v>
          </cell>
          <cell r="N129">
            <v>345450033</v>
          </cell>
          <cell r="O129">
            <v>333164507</v>
          </cell>
          <cell r="P129">
            <v>1232378230</v>
          </cell>
          <cell r="Q129">
            <v>307403459.38999999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345450033</v>
          </cell>
          <cell r="W129">
            <v>140303099</v>
          </cell>
          <cell r="X129">
            <v>3000000</v>
          </cell>
          <cell r="Y129">
            <v>0</v>
          </cell>
          <cell r="Z129">
            <v>100433357</v>
          </cell>
          <cell r="AA129">
            <v>101713577</v>
          </cell>
          <cell r="AD129">
            <v>0</v>
          </cell>
          <cell r="AE129">
            <v>0</v>
          </cell>
          <cell r="AF129">
            <v>12285526</v>
          </cell>
          <cell r="AG129">
            <v>0</v>
          </cell>
          <cell r="AH129">
            <v>12285526</v>
          </cell>
          <cell r="AI129">
            <v>334634507</v>
          </cell>
          <cell r="AJ129">
            <v>134673099</v>
          </cell>
          <cell r="AK129">
            <v>3000000</v>
          </cell>
          <cell r="AL129">
            <v>0</v>
          </cell>
          <cell r="AM129">
            <v>100433357</v>
          </cell>
          <cell r="AN129">
            <v>96528051</v>
          </cell>
          <cell r="AO129">
            <v>226835526</v>
          </cell>
          <cell r="AP129">
            <v>214640256.68000001</v>
          </cell>
          <cell r="AQ129"/>
          <cell r="AR129">
            <v>244647724</v>
          </cell>
          <cell r="AS129">
            <v>233123459.38999996</v>
          </cell>
          <cell r="AT129">
            <v>477771183.39000005</v>
          </cell>
          <cell r="AU129">
            <v>1395975013</v>
          </cell>
          <cell r="AV129">
            <v>170367724</v>
          </cell>
          <cell r="AW129">
            <v>-13829875</v>
          </cell>
          <cell r="AX129">
            <v>-700000</v>
          </cell>
          <cell r="AY129">
            <v>0</v>
          </cell>
          <cell r="AZ129">
            <v>93867483</v>
          </cell>
          <cell r="BA129">
            <v>91030116</v>
          </cell>
          <cell r="BB129">
            <v>-74280000</v>
          </cell>
          <cell r="BC129">
            <v>244647724</v>
          </cell>
        </row>
      </sheetData>
      <sheetData sheetId="24"/>
      <sheetData sheetId="25"/>
      <sheetData sheetId="26"/>
      <sheetData sheetId="27"/>
      <sheetData sheetId="28">
        <row r="61">
          <cell r="A61">
            <v>55</v>
          </cell>
          <cell r="D61">
            <v>408834105</v>
          </cell>
          <cell r="E61">
            <v>408834105</v>
          </cell>
          <cell r="F61">
            <v>0</v>
          </cell>
          <cell r="G61">
            <v>270451901</v>
          </cell>
          <cell r="H61">
            <v>190562965.44999999</v>
          </cell>
          <cell r="I61">
            <v>12731990.989999998</v>
          </cell>
          <cell r="J61">
            <v>27192992.630000003</v>
          </cell>
          <cell r="K61">
            <v>39924983.619999997</v>
          </cell>
          <cell r="L61">
            <v>230487949.06999993</v>
          </cell>
          <cell r="M61">
            <v>39963951.929999992</v>
          </cell>
          <cell r="N61">
            <v>60761300</v>
          </cell>
          <cell r="O61">
            <v>41619300</v>
          </cell>
          <cell r="P61">
            <v>96762904</v>
          </cell>
          <cell r="Q61">
            <v>39963951.929999992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60761300</v>
          </cell>
          <cell r="W61">
            <v>18950000</v>
          </cell>
          <cell r="X61">
            <v>30600000</v>
          </cell>
          <cell r="Y61">
            <v>0</v>
          </cell>
          <cell r="Z61">
            <v>0</v>
          </cell>
          <cell r="AA61">
            <v>11211300</v>
          </cell>
          <cell r="AD61">
            <v>608000</v>
          </cell>
          <cell r="AE61">
            <v>12100000</v>
          </cell>
          <cell r="AF61">
            <v>6434000</v>
          </cell>
          <cell r="AG61">
            <v>0</v>
          </cell>
          <cell r="AH61">
            <v>19142000</v>
          </cell>
          <cell r="AI61">
            <v>41619300</v>
          </cell>
          <cell r="AJ61">
            <v>11550000</v>
          </cell>
          <cell r="AK61">
            <v>18858000</v>
          </cell>
          <cell r="AL61">
            <v>0</v>
          </cell>
          <cell r="AM61">
            <v>0</v>
          </cell>
          <cell r="AN61">
            <v>11211300</v>
          </cell>
          <cell r="AO61">
            <v>22468000</v>
          </cell>
          <cell r="AP61">
            <v>15797736.610000001</v>
          </cell>
          <cell r="AQ61">
            <v>0</v>
          </cell>
          <cell r="AR61">
            <v>13188000</v>
          </cell>
          <cell r="AS61">
            <v>20780951.18</v>
          </cell>
          <cell r="AT61">
            <v>33968951.18</v>
          </cell>
          <cell r="AU61">
            <v>144377204.75</v>
          </cell>
          <cell r="AV61">
            <v>-5995000.7500000037</v>
          </cell>
          <cell r="AW61">
            <v>-6080000</v>
          </cell>
          <cell r="AX61">
            <v>-25000.750000001863</v>
          </cell>
          <cell r="AY61">
            <v>0</v>
          </cell>
          <cell r="AZ61">
            <v>0</v>
          </cell>
          <cell r="BA61">
            <v>110000</v>
          </cell>
          <cell r="BB61">
            <v>-19183000.750000004</v>
          </cell>
          <cell r="BC61">
            <v>13188000</v>
          </cell>
        </row>
      </sheetData>
      <sheetData sheetId="29"/>
      <sheetData sheetId="30"/>
      <sheetData sheetId="31"/>
      <sheetData sheetId="32">
        <row r="9">
          <cell r="A9">
            <v>3</v>
          </cell>
          <cell r="D9">
            <v>4720000</v>
          </cell>
          <cell r="E9">
            <v>4720000</v>
          </cell>
          <cell r="F9">
            <v>0</v>
          </cell>
          <cell r="G9">
            <v>4220000</v>
          </cell>
          <cell r="H9">
            <v>2187119</v>
          </cell>
          <cell r="I9">
            <v>0</v>
          </cell>
          <cell r="J9">
            <v>74690.929999999993</v>
          </cell>
          <cell r="K9">
            <v>74690.929999999993</v>
          </cell>
          <cell r="L9">
            <v>2261809.9299999997</v>
          </cell>
          <cell r="M9">
            <v>1958190.07</v>
          </cell>
          <cell r="N9">
            <v>500000</v>
          </cell>
          <cell r="O9">
            <v>500000</v>
          </cell>
          <cell r="P9">
            <v>0</v>
          </cell>
          <cell r="Q9">
            <v>1958190.07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500000</v>
          </cell>
          <cell r="W9">
            <v>0</v>
          </cell>
          <cell r="X9">
            <v>500000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500000</v>
          </cell>
          <cell r="AJ9">
            <v>0</v>
          </cell>
          <cell r="AK9">
            <v>500000</v>
          </cell>
          <cell r="AL9">
            <v>0</v>
          </cell>
          <cell r="AM9">
            <v>0</v>
          </cell>
          <cell r="AN9">
            <v>0</v>
          </cell>
          <cell r="AO9">
            <v>500000</v>
          </cell>
          <cell r="AP9">
            <v>1196800</v>
          </cell>
          <cell r="AQ9">
            <v>0</v>
          </cell>
          <cell r="AR9">
            <v>0</v>
          </cell>
          <cell r="AS9">
            <v>1258190</v>
          </cell>
          <cell r="AT9">
            <v>1258190</v>
          </cell>
          <cell r="AU9">
            <v>1200000.07</v>
          </cell>
          <cell r="AV9">
            <v>-700000.07000000007</v>
          </cell>
          <cell r="AW9">
            <v>0</v>
          </cell>
          <cell r="AX9">
            <v>-700000.07000000007</v>
          </cell>
          <cell r="AY9">
            <v>0</v>
          </cell>
          <cell r="AZ9">
            <v>0</v>
          </cell>
          <cell r="BA9">
            <v>0</v>
          </cell>
          <cell r="BB9">
            <v>-700000.07000000007</v>
          </cell>
          <cell r="BC9">
            <v>0</v>
          </cell>
        </row>
      </sheetData>
      <sheetData sheetId="33"/>
      <sheetData sheetId="34"/>
      <sheetData sheetId="35">
        <row r="27">
          <cell r="A27">
            <v>21</v>
          </cell>
          <cell r="D27">
            <v>40786000</v>
          </cell>
          <cell r="E27">
            <v>40786000</v>
          </cell>
          <cell r="F27">
            <v>0</v>
          </cell>
          <cell r="G27">
            <v>14887000</v>
          </cell>
          <cell r="H27">
            <v>7127943.4100000001</v>
          </cell>
          <cell r="I27">
            <v>621307.5</v>
          </cell>
          <cell r="J27">
            <v>140767.91999999998</v>
          </cell>
          <cell r="K27">
            <v>762075.42</v>
          </cell>
          <cell r="L27">
            <v>7890018.8300000001</v>
          </cell>
          <cell r="M27">
            <v>6996981.1699999999</v>
          </cell>
          <cell r="N27">
            <v>5455000</v>
          </cell>
          <cell r="O27">
            <v>4875000</v>
          </cell>
          <cell r="P27">
            <v>21024000</v>
          </cell>
          <cell r="Q27">
            <v>6996981.1699999999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5455000</v>
          </cell>
          <cell r="W27">
            <v>0</v>
          </cell>
          <cell r="X27">
            <v>4917000</v>
          </cell>
          <cell r="Y27">
            <v>0</v>
          </cell>
          <cell r="Z27">
            <v>0</v>
          </cell>
          <cell r="AA27">
            <v>538000</v>
          </cell>
          <cell r="AD27">
            <v>0</v>
          </cell>
          <cell r="AE27">
            <v>0</v>
          </cell>
          <cell r="AF27">
            <v>580000</v>
          </cell>
          <cell r="AG27">
            <v>0</v>
          </cell>
          <cell r="AH27">
            <v>580000</v>
          </cell>
          <cell r="AI27">
            <v>4875000</v>
          </cell>
          <cell r="AJ27">
            <v>0</v>
          </cell>
          <cell r="AK27">
            <v>4337000</v>
          </cell>
          <cell r="AL27">
            <v>0</v>
          </cell>
          <cell r="AM27">
            <v>0</v>
          </cell>
          <cell r="AN27">
            <v>538000</v>
          </cell>
          <cell r="AO27">
            <v>1650000</v>
          </cell>
          <cell r="AP27">
            <v>5156688.68</v>
          </cell>
          <cell r="AQ27">
            <v>0</v>
          </cell>
          <cell r="AR27">
            <v>1650000</v>
          </cell>
          <cell r="AS27">
            <v>5156980.68</v>
          </cell>
          <cell r="AT27">
            <v>6806980.6799999997</v>
          </cell>
          <cell r="AU27">
            <v>26089000.490000002</v>
          </cell>
          <cell r="AV27">
            <v>-190000.49000000022</v>
          </cell>
          <cell r="AW27">
            <v>0</v>
          </cell>
          <cell r="AX27">
            <v>-650000.49000000022</v>
          </cell>
          <cell r="AY27">
            <v>0</v>
          </cell>
          <cell r="AZ27">
            <v>0</v>
          </cell>
          <cell r="BA27">
            <v>460000</v>
          </cell>
          <cell r="BB27">
            <v>-1840000.4900000002</v>
          </cell>
          <cell r="BC27">
            <v>1650000</v>
          </cell>
        </row>
      </sheetData>
      <sheetData sheetId="36"/>
      <sheetData sheetId="37"/>
      <sheetData sheetId="38">
        <row r="17">
          <cell r="A17">
            <v>11</v>
          </cell>
          <cell r="D17">
            <v>21059594</v>
          </cell>
          <cell r="E17">
            <v>21059594</v>
          </cell>
          <cell r="F17">
            <v>0</v>
          </cell>
          <cell r="G17">
            <v>15935365</v>
          </cell>
          <cell r="H17">
            <v>11922729.51</v>
          </cell>
          <cell r="I17">
            <v>0</v>
          </cell>
          <cell r="J17">
            <v>1220907.8799999999</v>
          </cell>
          <cell r="K17">
            <v>1220907.8799999999</v>
          </cell>
          <cell r="L17">
            <v>13143637.389999999</v>
          </cell>
          <cell r="M17">
            <v>2791727.61</v>
          </cell>
          <cell r="N17">
            <v>3940229</v>
          </cell>
          <cell r="O17">
            <v>2754229</v>
          </cell>
          <cell r="P17">
            <v>2370000</v>
          </cell>
          <cell r="Q17">
            <v>2791727.61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3940229</v>
          </cell>
          <cell r="W17">
            <v>0</v>
          </cell>
          <cell r="X17">
            <v>3435000</v>
          </cell>
          <cell r="Y17">
            <v>0</v>
          </cell>
          <cell r="Z17">
            <v>0</v>
          </cell>
          <cell r="AA17">
            <v>505229</v>
          </cell>
          <cell r="AD17">
            <v>0</v>
          </cell>
          <cell r="AE17">
            <v>1186000</v>
          </cell>
          <cell r="AF17">
            <v>0</v>
          </cell>
          <cell r="AG17">
            <v>0</v>
          </cell>
          <cell r="AH17">
            <v>1186000</v>
          </cell>
          <cell r="AI17">
            <v>2754229</v>
          </cell>
          <cell r="AJ17">
            <v>0</v>
          </cell>
          <cell r="AK17">
            <v>2309229</v>
          </cell>
          <cell r="AL17">
            <v>0</v>
          </cell>
          <cell r="AM17">
            <v>0</v>
          </cell>
          <cell r="AN17">
            <v>445000</v>
          </cell>
          <cell r="AO17">
            <v>0</v>
          </cell>
          <cell r="AP17">
            <v>0</v>
          </cell>
          <cell r="AQ17">
            <v>0</v>
          </cell>
          <cell r="AR17">
            <v>70000</v>
          </cell>
          <cell r="AS17">
            <v>1311727.21</v>
          </cell>
          <cell r="AT17">
            <v>1381727.21</v>
          </cell>
          <cell r="AU17">
            <v>6534229.4000000004</v>
          </cell>
          <cell r="AV17">
            <v>-1410000.3999999997</v>
          </cell>
          <cell r="AW17">
            <v>0</v>
          </cell>
          <cell r="AX17">
            <v>-1410000.3999999997</v>
          </cell>
          <cell r="AY17">
            <v>0</v>
          </cell>
          <cell r="AZ17">
            <v>0</v>
          </cell>
          <cell r="BA17">
            <v>0</v>
          </cell>
          <cell r="BB17">
            <v>-1480000.3999999997</v>
          </cell>
          <cell r="BC17">
            <v>70000</v>
          </cell>
        </row>
      </sheetData>
      <sheetData sheetId="39"/>
      <sheetData sheetId="40"/>
      <sheetData sheetId="41"/>
      <sheetData sheetId="42">
        <row r="46">
          <cell r="A46">
            <v>40</v>
          </cell>
          <cell r="D46">
            <v>243518379</v>
          </cell>
          <cell r="E46">
            <v>242259379</v>
          </cell>
          <cell r="F46">
            <v>1259000</v>
          </cell>
          <cell r="G46">
            <v>204940379</v>
          </cell>
          <cell r="H46">
            <v>186472910.16000003</v>
          </cell>
          <cell r="I46">
            <v>0</v>
          </cell>
          <cell r="J46">
            <v>6932798.8100000005</v>
          </cell>
          <cell r="K46">
            <v>6932798.8100000005</v>
          </cell>
          <cell r="L46">
            <v>193405708.97000003</v>
          </cell>
          <cell r="M46">
            <v>11534670.030000001</v>
          </cell>
          <cell r="N46">
            <v>33192000</v>
          </cell>
          <cell r="O46">
            <v>24345000</v>
          </cell>
          <cell r="P46">
            <v>12974000</v>
          </cell>
          <cell r="Q46">
            <v>11534670.030000001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33192000</v>
          </cell>
          <cell r="W46">
            <v>2930000</v>
          </cell>
          <cell r="X46">
            <v>12522000</v>
          </cell>
          <cell r="Y46">
            <v>0</v>
          </cell>
          <cell r="Z46">
            <v>0</v>
          </cell>
          <cell r="AA46">
            <v>17740000</v>
          </cell>
          <cell r="AD46">
            <v>0</v>
          </cell>
          <cell r="AE46">
            <v>1500000</v>
          </cell>
          <cell r="AF46">
            <v>7347000</v>
          </cell>
          <cell r="AG46">
            <v>0</v>
          </cell>
          <cell r="AH46">
            <v>8847000</v>
          </cell>
          <cell r="AI46">
            <v>24345000</v>
          </cell>
          <cell r="AJ46">
            <v>830000</v>
          </cell>
          <cell r="AK46">
            <v>8925000</v>
          </cell>
          <cell r="AL46">
            <v>0</v>
          </cell>
          <cell r="AM46">
            <v>0</v>
          </cell>
          <cell r="AN46">
            <v>14590000</v>
          </cell>
          <cell r="AO46">
            <v>12500002</v>
          </cell>
          <cell r="AP46">
            <v>7492707.4200000018</v>
          </cell>
          <cell r="AQ46">
            <v>0</v>
          </cell>
          <cell r="AR46">
            <v>14099000</v>
          </cell>
          <cell r="AS46">
            <v>7208670.0300000012</v>
          </cell>
          <cell r="AT46">
            <v>21307670.030000005</v>
          </cell>
          <cell r="AU46">
            <v>28805000</v>
          </cell>
          <cell r="AV46">
            <v>9773000</v>
          </cell>
          <cell r="AW46">
            <v>-2015000</v>
          </cell>
          <cell r="AX46">
            <v>529000</v>
          </cell>
          <cell r="AY46">
            <v>0</v>
          </cell>
          <cell r="AZ46">
            <v>0</v>
          </cell>
          <cell r="BA46">
            <v>11259000</v>
          </cell>
          <cell r="BB46">
            <v>-4326000</v>
          </cell>
          <cell r="BC46">
            <v>14099000</v>
          </cell>
        </row>
      </sheetData>
      <sheetData sheetId="43"/>
      <sheetData sheetId="44"/>
      <sheetData sheetId="45"/>
      <sheetData sheetId="46">
        <row r="23">
          <cell r="A23">
            <v>17</v>
          </cell>
          <cell r="D23">
            <v>6635620</v>
          </cell>
          <cell r="E23">
            <v>6635620</v>
          </cell>
          <cell r="F23">
            <v>0</v>
          </cell>
          <cell r="G23">
            <v>6400649</v>
          </cell>
          <cell r="H23">
            <v>3815059.32</v>
          </cell>
          <cell r="I23">
            <v>484961.06999999995</v>
          </cell>
          <cell r="J23">
            <v>1421980.21</v>
          </cell>
          <cell r="K23">
            <v>1906941.2799999998</v>
          </cell>
          <cell r="L23">
            <v>5722000.5999999996</v>
          </cell>
          <cell r="M23">
            <v>678648.40000000037</v>
          </cell>
          <cell r="N23">
            <v>1934971</v>
          </cell>
          <cell r="O23">
            <v>84971</v>
          </cell>
          <cell r="P23">
            <v>150000</v>
          </cell>
          <cell r="Q23">
            <v>678648.40000000037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1934971</v>
          </cell>
          <cell r="W23">
            <v>0</v>
          </cell>
          <cell r="X23">
            <v>1906971</v>
          </cell>
          <cell r="Y23">
            <v>0</v>
          </cell>
          <cell r="Z23">
            <v>0</v>
          </cell>
          <cell r="AA23">
            <v>28000</v>
          </cell>
          <cell r="AD23">
            <v>0</v>
          </cell>
          <cell r="AE23">
            <v>1850000</v>
          </cell>
          <cell r="AF23">
            <v>0</v>
          </cell>
          <cell r="AG23">
            <v>0</v>
          </cell>
          <cell r="AH23">
            <v>1850000</v>
          </cell>
          <cell r="AI23">
            <v>84971</v>
          </cell>
          <cell r="AJ23">
            <v>0</v>
          </cell>
          <cell r="AK23">
            <v>56971</v>
          </cell>
          <cell r="AL23">
            <v>0</v>
          </cell>
          <cell r="AM23">
            <v>0</v>
          </cell>
          <cell r="AN23">
            <v>28000</v>
          </cell>
          <cell r="AO23">
            <v>100000</v>
          </cell>
          <cell r="AP23">
            <v>678648</v>
          </cell>
          <cell r="AQ23">
            <v>0</v>
          </cell>
          <cell r="AR23">
            <v>100000</v>
          </cell>
          <cell r="AS23">
            <v>678648</v>
          </cell>
          <cell r="AT23">
            <v>778648</v>
          </cell>
          <cell r="AU23">
            <v>134971.4000000004</v>
          </cell>
          <cell r="AV23">
            <v>99999.599999999613</v>
          </cell>
          <cell r="AW23">
            <v>0</v>
          </cell>
          <cell r="AX23">
            <v>-0.40000000038344297</v>
          </cell>
          <cell r="AY23">
            <v>0</v>
          </cell>
          <cell r="AZ23">
            <v>0</v>
          </cell>
          <cell r="BA23">
            <v>100000</v>
          </cell>
          <cell r="BB23">
            <v>-0.40000000038344297</v>
          </cell>
          <cell r="BC23">
            <v>100000</v>
          </cell>
        </row>
      </sheetData>
      <sheetData sheetId="47"/>
      <sheetData sheetId="48"/>
      <sheetData sheetId="49">
        <row r="15">
          <cell r="A15">
            <v>9</v>
          </cell>
          <cell r="D15">
            <v>40043000</v>
          </cell>
          <cell r="E15">
            <v>40043000</v>
          </cell>
          <cell r="F15">
            <v>0</v>
          </cell>
          <cell r="G15">
            <v>15315000</v>
          </cell>
          <cell r="H15">
            <v>14878987.530000001</v>
          </cell>
          <cell r="I15">
            <v>0</v>
          </cell>
          <cell r="J15">
            <v>0</v>
          </cell>
          <cell r="K15">
            <v>0</v>
          </cell>
          <cell r="L15">
            <v>14878987.530000001</v>
          </cell>
          <cell r="M15">
            <v>436012.46999999951</v>
          </cell>
          <cell r="N15">
            <v>3015000</v>
          </cell>
          <cell r="O15">
            <v>3015000</v>
          </cell>
          <cell r="P15">
            <v>21713000</v>
          </cell>
          <cell r="Q15">
            <v>436012.46999999951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3015000</v>
          </cell>
          <cell r="W15">
            <v>1215000</v>
          </cell>
          <cell r="X15">
            <v>1000000</v>
          </cell>
          <cell r="Y15">
            <v>0</v>
          </cell>
          <cell r="Z15">
            <v>0</v>
          </cell>
          <cell r="AA15">
            <v>800000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3015000</v>
          </cell>
          <cell r="AJ15">
            <v>1215000</v>
          </cell>
          <cell r="AK15">
            <v>1000000</v>
          </cell>
          <cell r="AL15">
            <v>0</v>
          </cell>
          <cell r="AM15">
            <v>0</v>
          </cell>
          <cell r="AN15">
            <v>800000</v>
          </cell>
          <cell r="AO15">
            <v>0</v>
          </cell>
          <cell r="AP15">
            <v>0</v>
          </cell>
          <cell r="AQ15">
            <v>0</v>
          </cell>
          <cell r="AR15">
            <v>2215000</v>
          </cell>
          <cell r="AS15">
            <v>436012.46999999951</v>
          </cell>
          <cell r="AT15">
            <v>2651012.4699999993</v>
          </cell>
          <cell r="AU15">
            <v>22513000</v>
          </cell>
          <cell r="AV15">
            <v>2215000</v>
          </cell>
          <cell r="AW15">
            <v>2215000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2215000</v>
          </cell>
        </row>
      </sheetData>
      <sheetData sheetId="50"/>
      <sheetData sheetId="51"/>
      <sheetData sheetId="52"/>
      <sheetData sheetId="53">
        <row r="15">
          <cell r="A15">
            <v>9</v>
          </cell>
          <cell r="D15">
            <v>49790000</v>
          </cell>
          <cell r="E15">
            <v>49790000</v>
          </cell>
          <cell r="F15">
            <v>0</v>
          </cell>
          <cell r="G15">
            <v>27553000</v>
          </cell>
          <cell r="H15">
            <v>17379634.959999997</v>
          </cell>
          <cell r="I15">
            <v>136200</v>
          </cell>
          <cell r="J15">
            <v>5844321.4299999997</v>
          </cell>
          <cell r="K15">
            <v>5980521.4299999997</v>
          </cell>
          <cell r="L15">
            <v>23360156.390000001</v>
          </cell>
          <cell r="M15">
            <v>4192843.61</v>
          </cell>
          <cell r="N15">
            <v>13930000</v>
          </cell>
          <cell r="O15">
            <v>11350000</v>
          </cell>
          <cell r="P15">
            <v>10887000</v>
          </cell>
          <cell r="Q15">
            <v>4192843.61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13930000</v>
          </cell>
          <cell r="W15">
            <v>5000000</v>
          </cell>
          <cell r="X15">
            <v>4850000</v>
          </cell>
          <cell r="Y15">
            <v>0</v>
          </cell>
          <cell r="Z15">
            <v>0</v>
          </cell>
          <cell r="AA15">
            <v>4080000</v>
          </cell>
          <cell r="AD15">
            <v>0</v>
          </cell>
          <cell r="AE15">
            <v>2580000</v>
          </cell>
          <cell r="AF15">
            <v>0</v>
          </cell>
          <cell r="AG15">
            <v>0</v>
          </cell>
          <cell r="AH15">
            <v>2580000</v>
          </cell>
          <cell r="AI15">
            <v>11350000</v>
          </cell>
          <cell r="AJ15">
            <v>2500000</v>
          </cell>
          <cell r="AK15">
            <v>4770000</v>
          </cell>
          <cell r="AL15">
            <v>0</v>
          </cell>
          <cell r="AM15">
            <v>0</v>
          </cell>
          <cell r="AN15">
            <v>4080000</v>
          </cell>
          <cell r="AO15">
            <v>0</v>
          </cell>
          <cell r="AP15">
            <v>50000</v>
          </cell>
          <cell r="AQ15">
            <v>0</v>
          </cell>
          <cell r="AR15">
            <v>2680000</v>
          </cell>
          <cell r="AS15">
            <v>4192843.61</v>
          </cell>
          <cell r="AT15">
            <v>6872843.6099999994</v>
          </cell>
          <cell r="AU15">
            <v>19557000</v>
          </cell>
          <cell r="AV15">
            <v>2680000</v>
          </cell>
          <cell r="AW15">
            <v>0</v>
          </cell>
          <cell r="AX15">
            <v>100000</v>
          </cell>
          <cell r="AY15">
            <v>0</v>
          </cell>
          <cell r="AZ15">
            <v>0</v>
          </cell>
          <cell r="BA15">
            <v>2580000</v>
          </cell>
          <cell r="BB15">
            <v>0</v>
          </cell>
          <cell r="BC15">
            <v>2680000</v>
          </cell>
        </row>
      </sheetData>
      <sheetData sheetId="54"/>
      <sheetData sheetId="55"/>
      <sheetData sheetId="56">
        <row r="23">
          <cell r="A23">
            <v>17</v>
          </cell>
          <cell r="D23">
            <v>162104000</v>
          </cell>
          <cell r="E23">
            <v>162104000</v>
          </cell>
          <cell r="F23">
            <v>0</v>
          </cell>
          <cell r="G23">
            <v>90792525</v>
          </cell>
          <cell r="H23">
            <v>70043798.50999999</v>
          </cell>
          <cell r="I23">
            <v>169650</v>
          </cell>
          <cell r="J23">
            <v>15589.75</v>
          </cell>
          <cell r="K23">
            <v>185239.75</v>
          </cell>
          <cell r="L23">
            <v>70229038.25999999</v>
          </cell>
          <cell r="M23">
            <v>20563486.740000002</v>
          </cell>
          <cell r="N23">
            <v>8924300</v>
          </cell>
          <cell r="O23">
            <v>8604300</v>
          </cell>
          <cell r="P23">
            <v>62707175</v>
          </cell>
          <cell r="Q23">
            <v>20563486.740000002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8924300</v>
          </cell>
          <cell r="W23">
            <v>8924300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320000</v>
          </cell>
          <cell r="AF23">
            <v>0</v>
          </cell>
          <cell r="AG23">
            <v>0</v>
          </cell>
          <cell r="AH23">
            <v>320000</v>
          </cell>
          <cell r="AI23">
            <v>8604300</v>
          </cell>
          <cell r="AJ23">
            <v>8604300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8604300</v>
          </cell>
          <cell r="AS23">
            <v>20563486.740000002</v>
          </cell>
          <cell r="AT23">
            <v>29167786.740000002</v>
          </cell>
          <cell r="AU23">
            <v>62707175</v>
          </cell>
          <cell r="AV23">
            <v>8604300</v>
          </cell>
          <cell r="AW23">
            <v>8604300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8604300</v>
          </cell>
        </row>
      </sheetData>
      <sheetData sheetId="57"/>
      <sheetData sheetId="58"/>
      <sheetData sheetId="59">
        <row r="15">
          <cell r="A15">
            <v>9</v>
          </cell>
          <cell r="D15">
            <v>128901682</v>
          </cell>
          <cell r="E15">
            <v>128901682</v>
          </cell>
          <cell r="F15">
            <v>0</v>
          </cell>
          <cell r="G15">
            <v>93703621</v>
          </cell>
          <cell r="H15">
            <v>79798363.820000008</v>
          </cell>
          <cell r="I15">
            <v>0</v>
          </cell>
          <cell r="J15">
            <v>1465969.83</v>
          </cell>
          <cell r="K15">
            <v>1465969.83</v>
          </cell>
          <cell r="L15">
            <v>81264333.650000006</v>
          </cell>
          <cell r="M15">
            <v>12439287.350000001</v>
          </cell>
          <cell r="N15">
            <v>8924955</v>
          </cell>
          <cell r="O15">
            <v>8194955</v>
          </cell>
          <cell r="P15">
            <v>27003106</v>
          </cell>
          <cell r="Q15">
            <v>12439287.350000001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8924955</v>
          </cell>
          <cell r="W15">
            <v>2455926</v>
          </cell>
          <cell r="X15">
            <v>6469029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E15">
            <v>100000</v>
          </cell>
          <cell r="AF15">
            <v>630000</v>
          </cell>
          <cell r="AG15">
            <v>0</v>
          </cell>
          <cell r="AH15">
            <v>730000</v>
          </cell>
          <cell r="AI15">
            <v>8194955</v>
          </cell>
          <cell r="AJ15">
            <v>2455269</v>
          </cell>
          <cell r="AK15">
            <v>5739686</v>
          </cell>
          <cell r="AL15">
            <v>0</v>
          </cell>
          <cell r="AM15">
            <v>0</v>
          </cell>
          <cell r="AN15">
            <v>0</v>
          </cell>
          <cell r="AO15">
            <v>1000000</v>
          </cell>
          <cell r="AP15">
            <v>2088929</v>
          </cell>
          <cell r="AQ15"/>
          <cell r="AR15">
            <v>6224955</v>
          </cell>
          <cell r="AS15">
            <v>12439287.050000001</v>
          </cell>
          <cell r="AT15">
            <v>18664242.050000001</v>
          </cell>
          <cell r="AU15">
            <v>28973106.300000001</v>
          </cell>
          <cell r="AV15">
            <v>6224954.6999999993</v>
          </cell>
          <cell r="AW15">
            <v>1455268.6999999993</v>
          </cell>
          <cell r="AX15">
            <v>4769686</v>
          </cell>
          <cell r="AY15">
            <v>0</v>
          </cell>
          <cell r="AZ15">
            <v>0</v>
          </cell>
          <cell r="BA15">
            <v>0</v>
          </cell>
          <cell r="BB15">
            <v>-0.30000000074505806</v>
          </cell>
          <cell r="BC15">
            <v>6224955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1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1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7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18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20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2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22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2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4.bin"/><Relationship Id="rId4" Type="http://schemas.openxmlformats.org/officeDocument/2006/relationships/comments" Target="../comments2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2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60.bin"/><Relationship Id="rId4" Type="http://schemas.openxmlformats.org/officeDocument/2006/relationships/comments" Target="../comments26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1.bin"/><Relationship Id="rId4" Type="http://schemas.openxmlformats.org/officeDocument/2006/relationships/comments" Target="../comments27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Normal="100" workbookViewId="0">
      <selection activeCell="P48" sqref="P48"/>
    </sheetView>
  </sheetViews>
  <sheetFormatPr defaultRowHeight="12.5"/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9"/>
  <sheetViews>
    <sheetView showZeros="0" rightToLeft="1" topLeftCell="A16" workbookViewId="0">
      <selection activeCell="U40" sqref="U40"/>
    </sheetView>
  </sheetViews>
  <sheetFormatPr defaultColWidth="9.08984375" defaultRowHeight="14"/>
  <cols>
    <col min="1" max="3" width="4.08984375" style="96" customWidth="1"/>
    <col min="4" max="4" width="33" style="96" customWidth="1"/>
    <col min="5" max="9" width="12.08984375" style="96" customWidth="1"/>
    <col min="10" max="10" width="7.90625" style="96" customWidth="1"/>
    <col min="11" max="16384" width="9.08984375" style="96"/>
  </cols>
  <sheetData>
    <row r="3" spans="1:17" ht="20.5">
      <c r="E3" s="97"/>
    </row>
    <row r="4" spans="1:17" ht="15.5">
      <c r="A4" s="98">
        <v>3.7</v>
      </c>
      <c r="C4" s="98" t="s">
        <v>248</v>
      </c>
      <c r="D4" s="98"/>
      <c r="E4" s="98"/>
      <c r="F4" s="98"/>
      <c r="G4" s="98"/>
      <c r="H4" s="98"/>
      <c r="I4" s="98"/>
      <c r="J4" s="98"/>
      <c r="K4" s="98"/>
      <c r="L4" s="98"/>
    </row>
    <row r="5" spans="1:17" ht="16" thickBot="1"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7" ht="20.149999999999999" customHeight="1">
      <c r="A6" s="98"/>
      <c r="C6" s="119" t="s">
        <v>200</v>
      </c>
      <c r="D6" s="120"/>
      <c r="E6" s="121"/>
      <c r="F6" s="122" t="s">
        <v>1244</v>
      </c>
      <c r="G6" s="144" t="s">
        <v>625</v>
      </c>
      <c r="M6" s="98"/>
      <c r="N6" s="98"/>
      <c r="O6" s="98"/>
    </row>
    <row r="7" spans="1:17" ht="20.149999999999999" customHeight="1">
      <c r="A7" s="98"/>
      <c r="C7" s="124" t="s">
        <v>249</v>
      </c>
      <c r="D7" s="125"/>
      <c r="E7" s="126"/>
      <c r="F7" s="127">
        <f>'פרוט מקורות אחרים'!M16/1000</f>
        <v>350</v>
      </c>
      <c r="G7" s="128">
        <v>3067.511</v>
      </c>
      <c r="M7" s="98"/>
      <c r="N7" s="98"/>
      <c r="O7" s="98"/>
    </row>
    <row r="8" spans="1:17" ht="20.149999999999999" customHeight="1">
      <c r="A8" s="98"/>
      <c r="C8" s="124" t="s">
        <v>250</v>
      </c>
      <c r="D8" s="130"/>
      <c r="E8" s="126"/>
      <c r="F8" s="127">
        <f>'פרוט מקורות אחרים'!D16/1000</f>
        <v>65422.213000000003</v>
      </c>
      <c r="G8" s="128">
        <v>40189.300000000003</v>
      </c>
      <c r="M8" s="98"/>
      <c r="N8" s="98"/>
      <c r="O8" s="98"/>
    </row>
    <row r="9" spans="1:17" ht="20.149999999999999" hidden="1" customHeight="1">
      <c r="A9" s="98"/>
      <c r="C9" s="124" t="s">
        <v>251</v>
      </c>
      <c r="D9" s="125"/>
      <c r="E9" s="126"/>
      <c r="F9" s="127"/>
      <c r="G9" s="128"/>
      <c r="M9" s="98"/>
      <c r="N9" s="98"/>
      <c r="O9" s="98"/>
    </row>
    <row r="10" spans="1:17" ht="20.149999999999999" customHeight="1">
      <c r="A10" s="98"/>
      <c r="C10" s="124" t="s">
        <v>252</v>
      </c>
      <c r="D10" s="125"/>
      <c r="E10" s="126"/>
      <c r="F10" s="127">
        <f>'פרוט מקורות אחרים'!B16/1000</f>
        <v>16457.303</v>
      </c>
      <c r="G10" s="128">
        <v>47874.675999999999</v>
      </c>
      <c r="M10" s="98"/>
      <c r="N10" s="98"/>
      <c r="O10" s="98"/>
    </row>
    <row r="11" spans="1:17" ht="20.149999999999999" customHeight="1">
      <c r="A11" s="98"/>
      <c r="C11" s="124" t="s">
        <v>232</v>
      </c>
      <c r="D11" s="145"/>
      <c r="E11" s="146"/>
      <c r="F11" s="127">
        <f>('פרוט מקורות אחרים'!C16+'פרוט מקורות אחרים'!E16+'פרוט מקורות אחרים'!F16+'פרוט מקורות אחרים'!I16+'פרוט מקורות אחרים'!J16+'פרוט מקורות אחרים'!K16+'פרוט מקורות אחרים'!L16)/1000+'פרוט מקורות אחרים'!G16/1000</f>
        <v>25662.555</v>
      </c>
      <c r="G11" s="128">
        <v>25911.281999999999</v>
      </c>
      <c r="L11" s="135"/>
      <c r="M11" s="98"/>
      <c r="N11" s="98"/>
      <c r="O11" s="98"/>
    </row>
    <row r="12" spans="1:17" ht="20.149999999999999" customHeight="1">
      <c r="A12" s="98"/>
      <c r="C12" s="124" t="s">
        <v>253</v>
      </c>
      <c r="D12" s="125"/>
      <c r="E12" s="126"/>
      <c r="F12" s="127">
        <f>'פרוט מקורות אחרים'!H16/1000</f>
        <v>7000</v>
      </c>
      <c r="G12" s="128">
        <v>2580</v>
      </c>
      <c r="M12" s="98"/>
      <c r="N12" s="98"/>
      <c r="O12" s="98"/>
    </row>
    <row r="13" spans="1:17" ht="20.149999999999999" customHeight="1">
      <c r="A13" s="98"/>
      <c r="C13" s="124" t="s">
        <v>254</v>
      </c>
      <c r="D13" s="130"/>
      <c r="E13" s="126"/>
      <c r="F13" s="127">
        <f>'פרוט מקורות אחרים'!N16/1000</f>
        <v>19300</v>
      </c>
      <c r="G13" s="128">
        <v>17500</v>
      </c>
      <c r="M13" s="98"/>
      <c r="N13" s="98"/>
      <c r="O13" s="98"/>
    </row>
    <row r="14" spans="1:17" ht="20.149999999999999" customHeight="1" thickBot="1">
      <c r="A14" s="98"/>
      <c r="C14" s="136" t="s">
        <v>105</v>
      </c>
      <c r="D14" s="137"/>
      <c r="E14" s="138"/>
      <c r="F14" s="139">
        <f>SUM(F7:F13)</f>
        <v>134192.071</v>
      </c>
      <c r="G14" s="147">
        <f>SUM(G7:G13)</f>
        <v>137122.769</v>
      </c>
      <c r="M14" s="98"/>
      <c r="N14" s="98"/>
      <c r="O14" s="98"/>
    </row>
    <row r="15" spans="1:17" ht="15.5">
      <c r="C15" s="98"/>
      <c r="D15" s="98"/>
      <c r="E15" s="98"/>
      <c r="F15" s="98"/>
      <c r="G15" s="98"/>
      <c r="H15" s="98"/>
      <c r="I15" s="98"/>
      <c r="J15" s="98"/>
      <c r="K15" s="98"/>
      <c r="L15" s="330"/>
    </row>
    <row r="16" spans="1:17" ht="15.5">
      <c r="B16" s="96" t="s">
        <v>255</v>
      </c>
      <c r="C16" s="98" t="s">
        <v>256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ht="15.5">
      <c r="C17" s="98" t="s">
        <v>257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ht="15.5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ht="15.5">
      <c r="A19" s="98"/>
      <c r="B19" s="98"/>
      <c r="C19" s="213" t="s">
        <v>1656</v>
      </c>
      <c r="D19" s="213"/>
      <c r="E19" s="98"/>
      <c r="F19" s="98"/>
      <c r="G19" s="103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ht="15.5">
      <c r="A20" s="98"/>
      <c r="B20" s="98"/>
      <c r="C20" s="213"/>
      <c r="D20" s="213"/>
      <c r="E20" s="98"/>
      <c r="F20" s="98"/>
      <c r="G20" s="103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ht="15.5">
      <c r="A21" s="98">
        <v>3.8</v>
      </c>
      <c r="B21" s="98"/>
      <c r="C21" s="621" t="s">
        <v>1679</v>
      </c>
      <c r="D21" s="213"/>
      <c r="E21" s="98"/>
      <c r="F21" s="98"/>
      <c r="G21" s="103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ht="15.5">
      <c r="A22" s="98"/>
      <c r="B22" s="98"/>
      <c r="C22" s="621"/>
      <c r="D22" s="213"/>
      <c r="E22" s="98"/>
      <c r="F22" s="98"/>
      <c r="G22" s="103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ht="15.5">
      <c r="A23" s="98"/>
      <c r="B23" s="98"/>
      <c r="C23" s="621" t="s">
        <v>1676</v>
      </c>
      <c r="D23" s="213"/>
      <c r="E23" s="98"/>
      <c r="F23" s="98"/>
      <c r="G23" s="103"/>
      <c r="H23" s="98"/>
      <c r="I23" s="98"/>
      <c r="J23" s="98"/>
      <c r="K23" s="98"/>
      <c r="L23" s="98"/>
      <c r="M23" s="98"/>
      <c r="N23" s="98"/>
      <c r="O23" s="98"/>
      <c r="P23" s="98"/>
      <c r="Q23" s="98"/>
    </row>
    <row r="24" spans="1:17" ht="15.5">
      <c r="A24" s="98"/>
      <c r="B24" s="98"/>
      <c r="C24" s="621" t="s">
        <v>1678</v>
      </c>
      <c r="D24" s="213"/>
      <c r="E24" s="98"/>
      <c r="F24" s="98"/>
      <c r="G24" s="103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ht="15.5">
      <c r="A25" s="98"/>
      <c r="B25" s="98"/>
      <c r="C25" s="621" t="s">
        <v>1677</v>
      </c>
      <c r="D25" s="213"/>
      <c r="E25" s="98"/>
      <c r="F25" s="98"/>
      <c r="G25" s="103"/>
      <c r="H25" s="98"/>
      <c r="I25" s="98"/>
      <c r="J25" s="98"/>
      <c r="K25" s="98"/>
      <c r="L25" s="98"/>
      <c r="M25" s="98"/>
      <c r="N25" s="98"/>
      <c r="O25" s="98"/>
      <c r="P25" s="98"/>
      <c r="Q25" s="98"/>
    </row>
    <row r="26" spans="1:17" ht="15.5">
      <c r="A26" s="98"/>
      <c r="B26" s="98"/>
      <c r="C26" s="621"/>
      <c r="D26" s="213"/>
      <c r="E26" s="98"/>
      <c r="F26" s="98"/>
      <c r="G26" s="103"/>
      <c r="H26" s="98"/>
      <c r="I26" s="98"/>
      <c r="J26" s="98"/>
      <c r="K26" s="98"/>
      <c r="L26" s="98"/>
      <c r="M26" s="98"/>
      <c r="N26" s="98"/>
      <c r="O26" s="98"/>
      <c r="P26" s="98"/>
      <c r="Q26" s="98"/>
    </row>
    <row r="27" spans="1:17" ht="15.5">
      <c r="A27" s="98"/>
      <c r="B27" s="98"/>
      <c r="C27" s="621" t="s">
        <v>1727</v>
      </c>
      <c r="D27" s="213"/>
      <c r="E27" s="98"/>
      <c r="F27" s="98"/>
      <c r="G27" s="103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7" ht="15.5">
      <c r="A28" s="98"/>
      <c r="B28" s="98"/>
      <c r="C28" s="621" t="s">
        <v>1728</v>
      </c>
      <c r="D28" s="213"/>
      <c r="E28" s="98"/>
      <c r="F28" s="98"/>
      <c r="G28" s="103"/>
      <c r="H28" s="98"/>
      <c r="I28" s="98"/>
      <c r="J28" s="98"/>
      <c r="K28" s="98"/>
      <c r="L28" s="98"/>
      <c r="M28" s="98"/>
      <c r="N28" s="98"/>
      <c r="O28" s="98"/>
      <c r="P28" s="98"/>
      <c r="Q28" s="98"/>
    </row>
    <row r="29" spans="1:17" ht="15.5" hidden="1">
      <c r="A29" s="98"/>
      <c r="B29" s="98"/>
      <c r="C29" s="621"/>
      <c r="D29" s="213"/>
      <c r="E29" s="98"/>
      <c r="F29" s="98"/>
      <c r="G29" s="103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ht="15.5" hidden="1">
      <c r="A30" s="98"/>
      <c r="B30" s="98"/>
      <c r="C30" s="621"/>
      <c r="D30" s="213"/>
      <c r="E30" s="98"/>
      <c r="F30" s="98"/>
      <c r="G30" s="103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ht="15.5" hidden="1">
      <c r="A31" s="98"/>
      <c r="B31" s="98"/>
      <c r="C31" s="621"/>
      <c r="D31" s="213"/>
      <c r="E31" s="98"/>
      <c r="F31" s="98"/>
      <c r="G31" s="103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ht="15.5" hidden="1">
      <c r="A32" s="98"/>
      <c r="B32" s="98"/>
      <c r="C32" s="621"/>
      <c r="D32" s="213"/>
      <c r="E32" s="98"/>
      <c r="F32" s="98"/>
      <c r="G32" s="103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ht="15.5" hidden="1">
      <c r="A33" s="98"/>
      <c r="B33" s="98"/>
      <c r="C33" s="621"/>
      <c r="D33" s="213"/>
      <c r="E33" s="98"/>
      <c r="F33" s="98"/>
      <c r="G33" s="103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17" ht="15.5" hidden="1">
      <c r="A34" s="105" t="s">
        <v>258</v>
      </c>
      <c r="B34" s="99" t="s">
        <v>259</v>
      </c>
    </row>
    <row r="35" spans="1:17" ht="15.5" hidden="1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17" ht="23" hidden="1">
      <c r="A36" s="98">
        <v>4.0999999999999996</v>
      </c>
      <c r="B36" s="98" t="s">
        <v>260</v>
      </c>
      <c r="C36" s="98"/>
      <c r="D36" s="98"/>
      <c r="E36" s="98"/>
      <c r="F36" s="98"/>
      <c r="G36" s="98"/>
      <c r="H36" s="98"/>
      <c r="I36" s="149"/>
      <c r="J36" s="98"/>
      <c r="K36" s="98"/>
      <c r="L36" s="98"/>
      <c r="M36" s="98"/>
      <c r="N36" s="98"/>
      <c r="O36" s="98"/>
      <c r="P36" s="98"/>
      <c r="Q36" s="98"/>
    </row>
    <row r="37" spans="1:17" ht="15.5" hidden="1">
      <c r="B37" s="98" t="s">
        <v>261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</row>
    <row r="38" spans="1:17" ht="15.5" hidden="1">
      <c r="B38" s="98" t="s">
        <v>262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</row>
    <row r="39" spans="1:17" ht="15.5" hidden="1">
      <c r="B39" s="98" t="s">
        <v>263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ht="15.5" hidden="1">
      <c r="B40" s="98" t="s">
        <v>264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ht="15.5" hidden="1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</row>
    <row r="42" spans="1:17" ht="15.5" hidden="1">
      <c r="A42" s="98">
        <v>4.2</v>
      </c>
      <c r="B42" s="98" t="s">
        <v>265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1:17" ht="15.5" hidden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</row>
    <row r="44" spans="1:17" ht="15.5" hidden="1">
      <c r="A44" s="98"/>
      <c r="B44" s="98" t="s">
        <v>266</v>
      </c>
      <c r="C44" s="98"/>
      <c r="D44" s="98"/>
      <c r="E44" s="98"/>
      <c r="F44" s="98"/>
      <c r="H44" s="98"/>
      <c r="I44" s="98"/>
      <c r="J44" s="98"/>
      <c r="K44" s="98"/>
      <c r="L44" s="98"/>
      <c r="M44" s="98"/>
      <c r="N44" s="98"/>
      <c r="O44" s="98"/>
      <c r="P44" s="98"/>
      <c r="Q44" s="98"/>
    </row>
    <row r="45" spans="1:17" ht="15.5" hidden="1">
      <c r="A45" s="98"/>
      <c r="B45" s="98"/>
      <c r="C45" s="213" t="s">
        <v>591</v>
      </c>
      <c r="D45" s="213"/>
      <c r="E45" s="98"/>
      <c r="F45" s="98"/>
      <c r="G45" s="103"/>
      <c r="H45" s="98"/>
      <c r="I45" s="98"/>
      <c r="J45" s="98"/>
      <c r="K45" s="98"/>
      <c r="L45" s="98"/>
      <c r="M45" s="98"/>
      <c r="N45" s="98"/>
      <c r="O45" s="98"/>
      <c r="P45" s="98"/>
      <c r="Q45" s="98"/>
    </row>
    <row r="46" spans="1:17" ht="20.149999999999999" customHeight="1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</row>
    <row r="47" spans="1:17" ht="15.5">
      <c r="A47" s="105" t="s">
        <v>258</v>
      </c>
      <c r="B47" s="99" t="s">
        <v>267</v>
      </c>
    </row>
    <row r="48" spans="1:17" ht="20.149999999999999" customHeight="1">
      <c r="B48" s="98"/>
      <c r="C48" s="98"/>
      <c r="D48" s="98"/>
      <c r="E48" s="621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1:17" ht="20.149999999999999" customHeight="1">
      <c r="B49" s="98" t="s">
        <v>268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</row>
    <row r="50" spans="1:17" ht="20.149999999999999" customHeight="1">
      <c r="B50" s="98" t="s">
        <v>269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</row>
    <row r="51" spans="1:17" ht="20.149999999999999" customHeight="1">
      <c r="B51" s="98" t="s">
        <v>1683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</row>
    <row r="52" spans="1:17" ht="20.149999999999999" customHeight="1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1:17" ht="20.149999999999999" customHeight="1">
      <c r="B53" s="211" t="s">
        <v>1685</v>
      </c>
      <c r="C53" s="211"/>
      <c r="D53" s="211"/>
      <c r="E53" s="213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ht="15.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</row>
    <row r="55" spans="1:17" ht="15.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</row>
    <row r="56" spans="1:17" ht="15.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</row>
    <row r="57" spans="1:17" ht="15.5">
      <c r="A57" s="105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</row>
    <row r="58" spans="1:17" ht="15.5"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</row>
    <row r="59" spans="1:17" ht="15.5"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4"/>
  <sheetViews>
    <sheetView rightToLeft="1" topLeftCell="E1" workbookViewId="0">
      <selection activeCell="U40" sqref="U40"/>
    </sheetView>
  </sheetViews>
  <sheetFormatPr defaultColWidth="9.08984375" defaultRowHeight="14"/>
  <cols>
    <col min="1" max="3" width="4.08984375" style="220" customWidth="1"/>
    <col min="4" max="4" width="33" style="220" customWidth="1"/>
    <col min="5" max="9" width="12.08984375" style="220" customWidth="1"/>
    <col min="10" max="10" width="7.90625" style="220" customWidth="1"/>
    <col min="11" max="16384" width="9.08984375" style="220"/>
  </cols>
  <sheetData>
    <row r="3" spans="1:17" ht="20.5">
      <c r="E3" s="221"/>
    </row>
    <row r="4" spans="1:17" ht="15.5">
      <c r="A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7" ht="15.5"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7" ht="20.149999999999999" customHeight="1">
      <c r="A6" s="222"/>
      <c r="C6" s="223"/>
      <c r="D6" s="224"/>
      <c r="F6" s="225"/>
      <c r="G6" s="225"/>
      <c r="M6" s="222"/>
      <c r="N6" s="222"/>
      <c r="O6" s="222"/>
    </row>
    <row r="7" spans="1:17" ht="20.149999999999999" customHeight="1">
      <c r="A7" s="222"/>
      <c r="C7" s="222"/>
      <c r="D7" s="222"/>
      <c r="F7" s="226"/>
      <c r="G7" s="226"/>
      <c r="M7" s="222"/>
      <c r="N7" s="222"/>
      <c r="O7" s="222"/>
    </row>
    <row r="8" spans="1:17" ht="20.149999999999999" customHeight="1">
      <c r="A8" s="222"/>
      <c r="C8" s="222"/>
      <c r="D8" s="222"/>
      <c r="F8" s="226"/>
      <c r="G8" s="226"/>
      <c r="M8" s="222"/>
      <c r="N8" s="222"/>
      <c r="O8" s="222"/>
    </row>
    <row r="9" spans="1:17" ht="20.149999999999999" customHeight="1">
      <c r="A9" s="222"/>
      <c r="C9" s="222"/>
      <c r="D9" s="222"/>
      <c r="F9" s="226"/>
      <c r="G9" s="226"/>
      <c r="M9" s="222"/>
      <c r="N9" s="222"/>
      <c r="O9" s="222"/>
    </row>
    <row r="10" spans="1:17" ht="20.149999999999999" customHeight="1">
      <c r="A10" s="222"/>
      <c r="C10" s="222"/>
      <c r="D10" s="222"/>
      <c r="F10" s="226"/>
      <c r="G10" s="226"/>
      <c r="M10" s="222"/>
      <c r="N10" s="222"/>
      <c r="O10" s="222"/>
    </row>
    <row r="11" spans="1:17" ht="20.149999999999999" customHeight="1">
      <c r="A11" s="222"/>
      <c r="C11" s="222"/>
      <c r="D11" s="223"/>
      <c r="E11" s="227"/>
      <c r="F11" s="226"/>
      <c r="G11" s="226"/>
      <c r="L11" s="226"/>
      <c r="M11" s="222"/>
      <c r="N11" s="222"/>
      <c r="O11" s="222"/>
    </row>
    <row r="12" spans="1:17" ht="20.149999999999999" customHeight="1">
      <c r="A12" s="222"/>
      <c r="C12" s="222"/>
      <c r="D12" s="222"/>
      <c r="F12" s="226"/>
      <c r="G12" s="226"/>
      <c r="M12" s="222"/>
      <c r="N12" s="222"/>
      <c r="O12" s="222"/>
    </row>
    <row r="13" spans="1:17" ht="20.149999999999999" customHeight="1">
      <c r="A13" s="222"/>
      <c r="C13" s="222"/>
      <c r="D13" s="222"/>
      <c r="F13" s="226"/>
      <c r="G13" s="226"/>
      <c r="M13" s="222"/>
      <c r="N13" s="222"/>
      <c r="O13" s="222"/>
    </row>
    <row r="14" spans="1:17" ht="20.149999999999999" customHeight="1">
      <c r="A14" s="222"/>
      <c r="C14" s="223"/>
      <c r="D14" s="222"/>
      <c r="F14" s="228"/>
      <c r="G14" s="225"/>
      <c r="M14" s="222"/>
      <c r="N14" s="222"/>
      <c r="O14" s="222"/>
    </row>
    <row r="15" spans="1:17" ht="15.5">
      <c r="C15" s="222"/>
      <c r="D15" s="222"/>
      <c r="E15" s="222"/>
      <c r="F15" s="222"/>
      <c r="G15" s="222"/>
      <c r="H15" s="222"/>
      <c r="I15" s="222"/>
      <c r="J15" s="222"/>
      <c r="K15" s="222"/>
      <c r="L15" s="222"/>
    </row>
    <row r="16" spans="1:17" ht="15.5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</row>
    <row r="17" spans="1:17" ht="15.5"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</row>
    <row r="18" spans="1:17" ht="15.5"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ht="15.5" hidden="1">
      <c r="A19" s="229"/>
      <c r="B19" s="230"/>
    </row>
    <row r="20" spans="1:17" ht="15.5" hidden="1"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</row>
    <row r="21" spans="1:17" ht="23" hidden="1">
      <c r="A21" s="222"/>
      <c r="B21" s="222"/>
      <c r="C21" s="222"/>
      <c r="D21" s="222"/>
      <c r="E21" s="222"/>
      <c r="F21" s="222"/>
      <c r="G21" s="222"/>
      <c r="H21" s="222"/>
      <c r="I21" s="231"/>
      <c r="J21" s="222"/>
      <c r="K21" s="222"/>
      <c r="L21" s="222"/>
      <c r="M21" s="222"/>
      <c r="N21" s="222"/>
      <c r="O21" s="222"/>
      <c r="P21" s="222"/>
      <c r="Q21" s="222"/>
    </row>
    <row r="22" spans="1:17" ht="15.5" hidden="1"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</row>
    <row r="23" spans="1:17" ht="15.5" hidden="1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</row>
    <row r="24" spans="1:17" ht="15.5" hidden="1"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</row>
    <row r="25" spans="1:17" ht="15.5" hidden="1"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</row>
    <row r="26" spans="1:17" ht="15.5" hidden="1"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</row>
    <row r="27" spans="1:17" ht="15.5" hidden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</row>
    <row r="28" spans="1:17" ht="15.5" hidden="1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</row>
    <row r="29" spans="1:17" ht="15.5" hidden="1">
      <c r="A29" s="222"/>
      <c r="B29" s="222"/>
      <c r="C29" s="222"/>
      <c r="D29" s="222"/>
      <c r="E29" s="222"/>
      <c r="F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</row>
    <row r="30" spans="1:17" ht="15.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</row>
    <row r="31" spans="1:17" ht="20.149999999999999" customHeight="1"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</row>
    <row r="32" spans="1:17" ht="15.5">
      <c r="A32" s="229"/>
      <c r="B32" s="230"/>
    </row>
    <row r="33" spans="1:17" ht="20.149999999999999" customHeight="1"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</row>
    <row r="34" spans="1:17" ht="20.149999999999999" customHeight="1"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</row>
    <row r="35" spans="1:17" ht="20.149999999999999" customHeight="1"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</row>
    <row r="36" spans="1:17" ht="20.149999999999999" customHeight="1"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</row>
    <row r="37" spans="1:17" ht="20.149999999999999" customHeight="1"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</row>
    <row r="38" spans="1:17" ht="20.149999999999999" customHeight="1"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</row>
    <row r="39" spans="1:17" ht="15.5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</row>
    <row r="40" spans="1:17" ht="15.5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</row>
    <row r="41" spans="1:17" ht="15.5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</row>
    <row r="42" spans="1:17" ht="15.5">
      <c r="A42" s="229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</row>
    <row r="43" spans="1:17" ht="15.5"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</row>
    <row r="44" spans="1:17" ht="15.5"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4"/>
  <sheetViews>
    <sheetView showZeros="0" rightToLeft="1" zoomScaleNormal="100" workbookViewId="0">
      <pane xSplit="1" ySplit="5" topLeftCell="B1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5.5"/>
  <cols>
    <col min="1" max="1" width="15.453125" style="57" customWidth="1"/>
    <col min="2" max="3" width="12.81640625" style="58" customWidth="1"/>
    <col min="4" max="4" width="11.08984375" style="58" customWidth="1"/>
    <col min="5" max="5" width="12.81640625" style="58" hidden="1" customWidth="1"/>
    <col min="6" max="9" width="11.08984375" style="58" hidden="1" customWidth="1"/>
    <col min="10" max="10" width="12.81640625" style="53" customWidth="1"/>
    <col min="11" max="12" width="11.08984375" style="58" customWidth="1"/>
    <col min="13" max="13" width="12.81640625" style="58" customWidth="1"/>
    <col min="14" max="14" width="11.08984375" style="53" hidden="1" customWidth="1"/>
    <col min="15" max="17" width="11.08984375" style="58" hidden="1" customWidth="1"/>
    <col min="18" max="18" width="9.90625" style="58" customWidth="1"/>
    <col min="19" max="20" width="11.08984375" style="58" customWidth="1"/>
    <col min="21" max="21" width="10.453125" style="58" customWidth="1"/>
    <col min="22" max="22" width="11.36328125" style="58" hidden="1" customWidth="1"/>
    <col min="23" max="23" width="10.453125" style="58" customWidth="1"/>
    <col min="24" max="24" width="9.81640625" style="58" customWidth="1"/>
    <col min="25" max="25" width="11.08984375" style="58" customWidth="1"/>
    <col min="26" max="26" width="14.08984375" style="55" hidden="1" customWidth="1"/>
    <col min="27" max="27" width="11.90625" style="53" customWidth="1"/>
    <col min="28" max="28" width="10" style="53" customWidth="1"/>
    <col min="29" max="29" width="9.08984375" style="55"/>
    <col min="30" max="30" width="10.08984375" style="55" customWidth="1"/>
    <col min="31" max="16384" width="9.08984375" style="55"/>
  </cols>
  <sheetData>
    <row r="2" spans="1:28" s="44" customFormat="1" ht="23">
      <c r="A2" s="272" t="s">
        <v>1688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AA2" s="53"/>
      <c r="AB2" s="53"/>
    </row>
    <row r="3" spans="1:28" s="324" customFormat="1" ht="20.149999999999999" customHeight="1" thickBot="1">
      <c r="A3" s="322"/>
      <c r="B3" s="263"/>
      <c r="C3" s="323"/>
      <c r="D3" s="323"/>
      <c r="E3" s="323"/>
      <c r="F3" s="323"/>
      <c r="G3" s="323"/>
      <c r="H3" s="323"/>
      <c r="I3" s="32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AA3" s="53"/>
      <c r="AB3" s="53"/>
    </row>
    <row r="4" spans="1:28" s="49" customFormat="1">
      <c r="A4" s="662"/>
      <c r="B4" s="750" t="s">
        <v>95</v>
      </c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663"/>
      <c r="Q4" s="663"/>
      <c r="R4" s="750" t="s">
        <v>96</v>
      </c>
      <c r="S4" s="750"/>
      <c r="T4" s="750"/>
      <c r="U4" s="751"/>
      <c r="V4" s="751"/>
      <c r="W4" s="751"/>
      <c r="X4" s="750"/>
      <c r="Y4" s="752"/>
      <c r="Z4" s="674" t="s">
        <v>468</v>
      </c>
      <c r="AA4" s="53"/>
      <c r="AB4" s="53"/>
    </row>
    <row r="5" spans="1:28" s="42" customFormat="1" ht="70">
      <c r="A5" s="664" t="s">
        <v>1687</v>
      </c>
      <c r="B5" s="48" t="s">
        <v>98</v>
      </c>
      <c r="C5" s="48" t="s">
        <v>4</v>
      </c>
      <c r="D5" s="48" t="s">
        <v>99</v>
      </c>
      <c r="E5" s="48" t="s">
        <v>109</v>
      </c>
      <c r="F5" s="20" t="s">
        <v>7</v>
      </c>
      <c r="G5" s="20" t="s">
        <v>8</v>
      </c>
      <c r="H5" s="20" t="s">
        <v>9</v>
      </c>
      <c r="I5" s="20" t="s">
        <v>10</v>
      </c>
      <c r="J5" s="35" t="s">
        <v>11</v>
      </c>
      <c r="K5" s="9" t="s">
        <v>936</v>
      </c>
      <c r="L5" s="48" t="s">
        <v>937</v>
      </c>
      <c r="M5" s="48" t="s">
        <v>938</v>
      </c>
      <c r="N5" s="35" t="s">
        <v>100</v>
      </c>
      <c r="O5" s="20" t="s">
        <v>939</v>
      </c>
      <c r="P5" s="20" t="s">
        <v>940</v>
      </c>
      <c r="Q5" s="20" t="s">
        <v>941</v>
      </c>
      <c r="R5" s="20" t="s">
        <v>942</v>
      </c>
      <c r="S5" s="20" t="s">
        <v>943</v>
      </c>
      <c r="T5" s="50" t="s">
        <v>13</v>
      </c>
      <c r="U5" s="48" t="s">
        <v>14</v>
      </c>
      <c r="V5" s="38" t="s">
        <v>15</v>
      </c>
      <c r="W5" s="38" t="s">
        <v>301</v>
      </c>
      <c r="X5" s="38" t="s">
        <v>1391</v>
      </c>
      <c r="Y5" s="665" t="s">
        <v>91</v>
      </c>
      <c r="Z5" s="675"/>
      <c r="AA5" s="53"/>
      <c r="AB5" s="53"/>
    </row>
    <row r="6" spans="1:28" s="42" customFormat="1">
      <c r="A6" s="664"/>
      <c r="B6" s="48"/>
      <c r="C6" s="48"/>
      <c r="D6" s="48"/>
      <c r="E6" s="48"/>
      <c r="F6" s="20"/>
      <c r="G6" s="20"/>
      <c r="H6" s="20"/>
      <c r="I6" s="20"/>
      <c r="J6" s="35"/>
      <c r="K6" s="9"/>
      <c r="L6" s="48"/>
      <c r="M6" s="48"/>
      <c r="N6" s="35"/>
      <c r="O6" s="20"/>
      <c r="P6" s="20"/>
      <c r="Q6" s="20"/>
      <c r="R6" s="20"/>
      <c r="S6" s="48"/>
      <c r="T6" s="50"/>
      <c r="U6" s="48"/>
      <c r="V6" s="38"/>
      <c r="W6" s="38"/>
      <c r="X6" s="38"/>
      <c r="Y6" s="665"/>
      <c r="Z6" s="675"/>
      <c r="AA6" s="53"/>
      <c r="AB6" s="53"/>
    </row>
    <row r="7" spans="1:28" s="42" customFormat="1" ht="27" customHeight="1">
      <c r="A7" s="668" t="s">
        <v>500</v>
      </c>
      <c r="B7" s="11">
        <f>'תקציב הנדסה 2021'!D83</f>
        <v>600898791</v>
      </c>
      <c r="C7" s="11">
        <f>'תקציב הנדסה 2021'!E83</f>
        <v>548923791</v>
      </c>
      <c r="D7" s="11">
        <f>'תקציב הנדסה 2021'!F83</f>
        <v>51975000</v>
      </c>
      <c r="E7" s="11">
        <f>'תקציב הנדסה 2021'!G83</f>
        <v>299011552</v>
      </c>
      <c r="F7" s="11">
        <f>'תקציב הנדסה 2021'!H83</f>
        <v>243957723</v>
      </c>
      <c r="G7" s="11">
        <f>'תקציב הנדסה 2021'!I83</f>
        <v>10062920</v>
      </c>
      <c r="H7" s="11">
        <f>'תקציב הנדסה 2021'!J83</f>
        <v>8699859</v>
      </c>
      <c r="I7" s="11">
        <f>'תקציב הנדסה 2021'!K83</f>
        <v>18762779</v>
      </c>
      <c r="J7" s="11">
        <f>'תקציב הנדסה 2021'!L83</f>
        <v>262720502</v>
      </c>
      <c r="K7" s="11">
        <f>'תקציב הנדסה 2021'!M83</f>
        <v>6991050</v>
      </c>
      <c r="L7" s="11">
        <f>'תקציב הנדסה 2021'!N83</f>
        <v>48230000</v>
      </c>
      <c r="M7" s="11">
        <f>'תקציב הנדסה 2021'!O83</f>
        <v>282957239</v>
      </c>
      <c r="N7" s="11">
        <f>'תקציב הנדסה 2021'!P83</f>
        <v>36291050</v>
      </c>
      <c r="O7" s="11">
        <f>'תקציב הנדסה 2021'!Q83</f>
        <v>0</v>
      </c>
      <c r="P7" s="11">
        <f>'תקציב הנדסה 2021'!R83</f>
        <v>0</v>
      </c>
      <c r="Q7" s="11">
        <f>'תקציב הנדסה 2021'!S83</f>
        <v>0</v>
      </c>
      <c r="R7" s="11">
        <f>'תקציב הנדסה 2021'!T83</f>
        <v>29300000</v>
      </c>
      <c r="S7" s="11">
        <f>'תקציב הנדסה 2021'!U83</f>
        <v>18930000</v>
      </c>
      <c r="T7" s="11">
        <f>'תקציב הנדסה 2021'!V83</f>
        <v>14768750</v>
      </c>
      <c r="U7" s="11">
        <f>'תקציב הנדסה 2021'!W83</f>
        <v>0</v>
      </c>
      <c r="V7" s="11">
        <f>'תקציב הנדסה 2021'!X83</f>
        <v>0</v>
      </c>
      <c r="W7" s="11">
        <f>'תקציב הנדסה 2021'!Y83</f>
        <v>0</v>
      </c>
      <c r="X7" s="11">
        <f>'תקציב הנדסה 2021'!Z83</f>
        <v>0</v>
      </c>
      <c r="Y7" s="667">
        <f>'תקציב הנדסה 2021'!AA83</f>
        <v>4161250</v>
      </c>
      <c r="Z7" s="676">
        <f>'תקציב הנדסה 2021'!A83</f>
        <v>78</v>
      </c>
      <c r="AA7" s="52"/>
      <c r="AB7" s="53"/>
    </row>
    <row r="8" spans="1:28" s="53" customFormat="1" ht="27" customHeight="1">
      <c r="A8" s="668" t="s">
        <v>242</v>
      </c>
      <c r="B8" s="51">
        <f>'תקציב החברה לפיתוח 2021 '!D122</f>
        <v>3016552982</v>
      </c>
      <c r="C8" s="51">
        <f>'תקציב החברה לפיתוח 2021 '!E122</f>
        <v>2814020125</v>
      </c>
      <c r="D8" s="51">
        <f>'תקציב החברה לפיתוח 2021 '!F122</f>
        <v>202532857</v>
      </c>
      <c r="E8" s="51">
        <f>'תקציב החברה לפיתוח 2021 '!G122</f>
        <v>1302929053</v>
      </c>
      <c r="F8" s="51">
        <f>'תקציב החברה לפיתוח 2021 '!H122</f>
        <v>954337610</v>
      </c>
      <c r="G8" s="51">
        <f>'תקציב החברה לפיתוח 2021 '!I122</f>
        <v>3498227</v>
      </c>
      <c r="H8" s="51">
        <f>'תקציב החברה לפיתוח 2021 '!J122</f>
        <v>46047637</v>
      </c>
      <c r="I8" s="51">
        <f>'תקציב החברה לפיתוח 2021 '!K122</f>
        <v>49545864</v>
      </c>
      <c r="J8" s="51">
        <f>'תקציב החברה לפיתוח 2021 '!L122</f>
        <v>1003883474</v>
      </c>
      <c r="K8" s="51">
        <f>'תקציב החברה לפיתוח 2021 '!M122</f>
        <v>334368675</v>
      </c>
      <c r="L8" s="51">
        <f>'תקציב החברה לפיתוח 2021 '!N122</f>
        <v>355041039</v>
      </c>
      <c r="M8" s="51">
        <f>'תקציב החברה לפיתוח 2021 '!O122</f>
        <v>1323259794</v>
      </c>
      <c r="N8" s="51">
        <f>'תקציב החברה לפיתוח 2021 '!P122</f>
        <v>299045579</v>
      </c>
      <c r="O8" s="51">
        <f>'תקציב החברה לפיתוח 2021 '!Q122</f>
        <v>74272096</v>
      </c>
      <c r="P8" s="51">
        <f>'תקציב החברה לפיתוח 2021 '!R122</f>
        <v>0</v>
      </c>
      <c r="Q8" s="51">
        <f>'תקציב החברה לפיתוח 2021 '!S122</f>
        <v>74272096</v>
      </c>
      <c r="R8" s="51">
        <f>'תקציב החברה לפיתוח 2021 '!T122</f>
        <v>38949000</v>
      </c>
      <c r="S8" s="51">
        <f>'תקציב החברה לפיתוח 2021 '!U122</f>
        <v>316092039</v>
      </c>
      <c r="T8" s="51">
        <f>'תקציב החברה לפיתוח 2021 '!V122</f>
        <v>205348607</v>
      </c>
      <c r="U8" s="51">
        <f>'תקציב החברה לפיתוח 2021 '!W122</f>
        <v>0</v>
      </c>
      <c r="V8" s="51">
        <f>'תקציב החברה לפיתוח 2021 '!X122</f>
        <v>0</v>
      </c>
      <c r="W8" s="51">
        <f>'תקציב החברה לפיתוח 2021 '!Y122</f>
        <v>18000000</v>
      </c>
      <c r="X8" s="51">
        <f>'תקציב החברה לפיתוח 2021 '!Z122</f>
        <v>0</v>
      </c>
      <c r="Y8" s="669">
        <f>'תקציב החברה לפיתוח 2021 '!AA122</f>
        <v>92743432</v>
      </c>
      <c r="Z8" s="677">
        <f>'תקציב החברה לפיתוח 2021 '!A122</f>
        <v>112</v>
      </c>
      <c r="AA8" s="52"/>
    </row>
    <row r="9" spans="1:28" s="53" customFormat="1" ht="27" customHeight="1">
      <c r="A9" s="668" t="s">
        <v>498</v>
      </c>
      <c r="B9" s="51">
        <f>'תקציב אגף ת.ב.ל 2021  '!D65</f>
        <v>449596201</v>
      </c>
      <c r="C9" s="51">
        <f>'תקציב אגף ת.ב.ל 2021  '!E65</f>
        <v>410399105</v>
      </c>
      <c r="D9" s="51">
        <f>'תקציב אגף ת.ב.ל 2021  '!F65</f>
        <v>39197096</v>
      </c>
      <c r="E9" s="51">
        <f>'תקציב אגף ת.ב.ל 2021  '!G65</f>
        <v>271815901</v>
      </c>
      <c r="F9" s="51">
        <f>'תקציב אגף ת.ב.ל 2021  '!H65</f>
        <v>208629485</v>
      </c>
      <c r="G9" s="51">
        <f>'תקציב אגף ת.ב.ל 2021  '!I65</f>
        <v>12784862</v>
      </c>
      <c r="H9" s="51">
        <f>'תקציב אגף ת.ב.ל 2021  '!J65</f>
        <v>33564893</v>
      </c>
      <c r="I9" s="51">
        <f>'תקציב אגף ת.ב.ל 2021  '!K65</f>
        <v>46349755</v>
      </c>
      <c r="J9" s="51">
        <f>'תקציב אגף ת.ב.ל 2021  '!L65</f>
        <v>254979240</v>
      </c>
      <c r="K9" s="51">
        <f>'תקציב אגף ת.ב.ל 2021  '!M65</f>
        <v>15956661</v>
      </c>
      <c r="L9" s="51">
        <f>'תקציב אגף ת.ב.ל 2021  '!N65</f>
        <v>68461300</v>
      </c>
      <c r="M9" s="51">
        <f>'תקציב אגף ת.ב.ל 2021  '!O65</f>
        <v>110199000</v>
      </c>
      <c r="N9" s="51">
        <f>'תקציב אגף ת.ב.ל 2021  '!P65</f>
        <v>16836661</v>
      </c>
      <c r="O9" s="51">
        <f>'תקציב אגף ת.ב.ל 2021  '!Q65</f>
        <v>0</v>
      </c>
      <c r="P9" s="51">
        <f>'תקציב אגף ת.ב.ל 2021  '!R65</f>
        <v>0</v>
      </c>
      <c r="Q9" s="51">
        <f>'תקציב אגף ת.ב.ל 2021  '!S65</f>
        <v>0</v>
      </c>
      <c r="R9" s="51">
        <f>'תקציב אגף ת.ב.ל 2021  '!T65</f>
        <v>880000</v>
      </c>
      <c r="S9" s="51">
        <f>'תקציב אגף ת.ב.ל 2021  '!U65</f>
        <v>67581300</v>
      </c>
      <c r="T9" s="51">
        <f>'תקציב אגף ת.ב.ל 2021  '!V65</f>
        <v>22191300</v>
      </c>
      <c r="U9" s="51">
        <f>'תקציב אגף ת.ב.ל 2021  '!W65</f>
        <v>24724113</v>
      </c>
      <c r="V9" s="51">
        <f>'תקציב אגף ת.ב.ל 2021  '!X65</f>
        <v>0</v>
      </c>
      <c r="W9" s="51">
        <f>'תקציב אגף ת.ב.ל 2021  '!Y65</f>
        <v>0</v>
      </c>
      <c r="X9" s="51">
        <f>'תקציב אגף ת.ב.ל 2021  '!Z65</f>
        <v>7100000</v>
      </c>
      <c r="Y9" s="669">
        <f>'תקציב אגף ת.ב.ל 2021  '!AA65</f>
        <v>13565887</v>
      </c>
      <c r="Z9" s="54">
        <f>'תקציב אגף ת.ב.ל 2021  '!A65</f>
        <v>60</v>
      </c>
      <c r="AA9" s="52"/>
    </row>
    <row r="10" spans="1:28" s="53" customFormat="1" ht="27" customHeight="1">
      <c r="A10" s="668" t="s">
        <v>152</v>
      </c>
      <c r="B10" s="51">
        <f>'תקציב אגף בטחון פיקוח סד"צ 2021'!D7</f>
        <v>4300000</v>
      </c>
      <c r="C10" s="51">
        <f>'תקציב אגף בטחון פיקוח סד"צ 2021'!E7</f>
        <v>4300000</v>
      </c>
      <c r="D10" s="51">
        <f>'תקציב אגף בטחון פיקוח סד"צ 2021'!F7</f>
        <v>0</v>
      </c>
      <c r="E10" s="51">
        <f>'תקציב אגף בטחון פיקוח סד"צ 2021'!G7</f>
        <v>3100000</v>
      </c>
      <c r="F10" s="51">
        <f>'תקציב אגף בטחון פיקוח סד"צ 2021'!H7</f>
        <v>1908729</v>
      </c>
      <c r="G10" s="51">
        <f>'תקציב אגף בטחון פיקוח סד"צ 2021'!I7</f>
        <v>0</v>
      </c>
      <c r="H10" s="51">
        <f>'תקציב אגף בטחון פיקוח סד"צ 2021'!J7</f>
        <v>144168</v>
      </c>
      <c r="I10" s="51">
        <f>'תקציב אגף בטחון פיקוח סד"צ 2021'!K7</f>
        <v>144168</v>
      </c>
      <c r="J10" s="51">
        <f>'תקציב אגף בטחון פיקוח סד"צ 2021'!L7</f>
        <v>2052897</v>
      </c>
      <c r="K10" s="51">
        <f>'תקציב אגף בטחון פיקוח סד"צ 2021'!M7</f>
        <v>347103</v>
      </c>
      <c r="L10" s="51">
        <f>'תקציב אגף בטחון פיקוח סד"צ 2021'!N7</f>
        <v>700000</v>
      </c>
      <c r="M10" s="51">
        <f>'תקציב אגף בטחון פיקוח סד"צ 2021'!O7</f>
        <v>1200000</v>
      </c>
      <c r="N10" s="51">
        <f>'תקציב אגף בטחון פיקוח סד"צ 2021'!P7</f>
        <v>1047103</v>
      </c>
      <c r="O10" s="51">
        <f>'תקציב אגף בטחון פיקוח סד"צ 2021'!Q7</f>
        <v>0</v>
      </c>
      <c r="P10" s="51">
        <f>'תקציב אגף בטחון פיקוח סד"צ 2021'!R7</f>
        <v>0</v>
      </c>
      <c r="Q10" s="51">
        <f>'תקציב אגף בטחון פיקוח סד"צ 2021'!S7</f>
        <v>0</v>
      </c>
      <c r="R10" s="51">
        <f>'תקציב אגף בטחון פיקוח סד"צ 2021'!T7</f>
        <v>700000</v>
      </c>
      <c r="S10" s="51">
        <f>'תקציב אגף בטחון פיקוח סד"צ 2021'!U7</f>
        <v>0</v>
      </c>
      <c r="T10" s="51">
        <f>'תקציב אגף בטחון פיקוח סד"צ 2021'!V7</f>
        <v>0</v>
      </c>
      <c r="U10" s="51">
        <f>'תקציב אגף בטחון פיקוח סד"צ 2021'!W7</f>
        <v>0</v>
      </c>
      <c r="V10" s="51">
        <f>'תקציב אגף בטחון פיקוח סד"צ 2021'!X7</f>
        <v>0</v>
      </c>
      <c r="W10" s="51">
        <f>'תקציב אגף בטחון פיקוח סד"צ 2021'!Y7</f>
        <v>0</v>
      </c>
      <c r="X10" s="51">
        <f>'תקציב אגף בטחון פיקוח סד"צ 2021'!Z7</f>
        <v>0</v>
      </c>
      <c r="Y10" s="669">
        <f>'תקציב אגף בטחון פיקוח סד"צ 2021'!AA7</f>
        <v>0</v>
      </c>
      <c r="Z10" s="677">
        <f>'תקציב אגף בטחון פיקוח סד"צ 2021'!A7</f>
        <v>2</v>
      </c>
    </row>
    <row r="11" spans="1:28" s="53" customFormat="1" ht="27" customHeight="1">
      <c r="A11" s="666" t="s">
        <v>197</v>
      </c>
      <c r="B11" s="51">
        <f>'תקציב אגף חינוך 2021 '!D26</f>
        <v>44987720</v>
      </c>
      <c r="C11" s="51">
        <f>'תקציב אגף חינוך 2021 '!E26</f>
        <v>38052720</v>
      </c>
      <c r="D11" s="51">
        <f>'תקציב אגף חינוך 2021 '!F26</f>
        <v>6935000</v>
      </c>
      <c r="E11" s="51">
        <f>'תקציב אגף חינוך 2021 '!G26</f>
        <v>12832720</v>
      </c>
      <c r="F11" s="51">
        <f>'תקציב אגף חינוך 2021 '!H26</f>
        <v>7611002</v>
      </c>
      <c r="G11" s="51">
        <f>'תקציב אגף חינוך 2021 '!I26</f>
        <v>1483152</v>
      </c>
      <c r="H11" s="51">
        <f>'תקציב אגף חינוך 2021 '!J26</f>
        <v>1293005</v>
      </c>
      <c r="I11" s="51">
        <f>'תקציב אגף חינוך 2021 '!K26</f>
        <v>2776157</v>
      </c>
      <c r="J11" s="51">
        <f>'תקציב אגף חינוך 2021 '!L26</f>
        <v>10387159</v>
      </c>
      <c r="K11" s="51">
        <f>'תקציב אגף חינוך 2021 '!M26</f>
        <v>2445561</v>
      </c>
      <c r="L11" s="51">
        <f>'תקציב אגף חינוך 2021 '!N26</f>
        <v>6320000</v>
      </c>
      <c r="M11" s="51">
        <f>'תקציב אגף חינוך 2021 '!O26</f>
        <v>25835000</v>
      </c>
      <c r="N11" s="51">
        <f>'תקציב אגף חינוך 2021 '!P26</f>
        <v>2445561</v>
      </c>
      <c r="O11" s="51">
        <f>'תקציב אגף חינוך 2021 '!Q26</f>
        <v>0</v>
      </c>
      <c r="P11" s="51">
        <f>'תקציב אגף חינוך 2021 '!R26</f>
        <v>0</v>
      </c>
      <c r="Q11" s="51">
        <f>'תקציב אגף חינוך 2021 '!S26</f>
        <v>0</v>
      </c>
      <c r="R11" s="51">
        <f>'תקציב אגף חינוך 2021 '!T26</f>
        <v>0</v>
      </c>
      <c r="S11" s="51">
        <f>'תקציב אגף חינוך 2021 '!U26</f>
        <v>6320000</v>
      </c>
      <c r="T11" s="51">
        <f>'תקציב אגף חינוך 2021 '!V26</f>
        <v>0</v>
      </c>
      <c r="U11" s="51">
        <f>'תקציב אגף חינוך 2021 '!W26</f>
        <v>3496000</v>
      </c>
      <c r="V11" s="51">
        <f>'תקציב אגף חינוך 2021 '!X26</f>
        <v>0</v>
      </c>
      <c r="W11" s="51">
        <f>'תקציב אגף חינוך 2021 '!Y26</f>
        <v>0</v>
      </c>
      <c r="X11" s="51">
        <f>'תקציב אגף חינוך 2021 '!Z26</f>
        <v>0</v>
      </c>
      <c r="Y11" s="669">
        <f>'תקציב אגף חינוך 2021 '!AA26</f>
        <v>2824000</v>
      </c>
      <c r="Z11" s="54">
        <f>'תקציב אגף חינוך 2021 '!A26</f>
        <v>21</v>
      </c>
    </row>
    <row r="12" spans="1:28" s="53" customFormat="1" ht="27" customHeight="1">
      <c r="A12" s="666" t="s">
        <v>457</v>
      </c>
      <c r="B12" s="51">
        <f>'תקציב אגף תנוס 2021 '!D14</f>
        <v>20830594</v>
      </c>
      <c r="C12" s="51">
        <f>'תקציב אגף תנוס 2021 '!E14</f>
        <v>20139594</v>
      </c>
      <c r="D12" s="51">
        <f>'תקציב אגף תנוס 2021 '!F14</f>
        <v>691000</v>
      </c>
      <c r="E12" s="51">
        <f>'תקציב אגף תנוס 2021 '!G14</f>
        <v>14395365</v>
      </c>
      <c r="F12" s="51">
        <f>'תקציב אגף תנוס 2021 '!H14</f>
        <v>12328666</v>
      </c>
      <c r="G12" s="51">
        <f>'תקציב אגף תנוס 2021 '!I14</f>
        <v>0</v>
      </c>
      <c r="H12" s="51">
        <f>'תקציב אגף תנוס 2021 '!J14</f>
        <v>917574</v>
      </c>
      <c r="I12" s="51">
        <f>'תקציב אגף תנוס 2021 '!K14</f>
        <v>917574</v>
      </c>
      <c r="J12" s="51">
        <f>'תקציב אגף תנוס 2021 '!L14</f>
        <v>13246240</v>
      </c>
      <c r="K12" s="51">
        <f>'תקציב אגף תנוס 2021 '!M14</f>
        <v>1149125</v>
      </c>
      <c r="L12" s="51">
        <f>'תקציב אגף תנוס 2021 '!N14</f>
        <v>2570000</v>
      </c>
      <c r="M12" s="51">
        <f>'תקציב אגף תנוס 2021 '!O14</f>
        <v>3865229</v>
      </c>
      <c r="N12" s="51">
        <f>'תקציב אגף תנוס 2021 '!P14</f>
        <v>1149125</v>
      </c>
      <c r="O12" s="51">
        <f>'תקציב אגף תנוס 2021 '!Q14</f>
        <v>0</v>
      </c>
      <c r="P12" s="51">
        <f>'תקציב אגף תנוס 2021 '!R14</f>
        <v>0</v>
      </c>
      <c r="Q12" s="51">
        <f>'תקציב אגף תנוס 2021 '!S14</f>
        <v>0</v>
      </c>
      <c r="R12" s="51">
        <f>'תקציב אגף תנוס 2021 '!T14</f>
        <v>0</v>
      </c>
      <c r="S12" s="51">
        <f>'תקציב אגף תנוס 2021 '!U14</f>
        <v>2570000</v>
      </c>
      <c r="T12" s="51">
        <f>'תקציב אגף תנוס 2021 '!V14</f>
        <v>0</v>
      </c>
      <c r="U12" s="51">
        <f>'תקציב אגף תנוס 2021 '!W14</f>
        <v>2570000</v>
      </c>
      <c r="V12" s="51">
        <f>'תקציב אגף תנוס 2021 '!X14</f>
        <v>0</v>
      </c>
      <c r="W12" s="51">
        <f>'תקציב אגף תנוס 2021 '!Y14</f>
        <v>0</v>
      </c>
      <c r="X12" s="51">
        <f>'תקציב אגף תנוס 2021 '!Z14</f>
        <v>0</v>
      </c>
      <c r="Y12" s="669">
        <f>'תקציב אגף תנוס 2021 '!AA14</f>
        <v>0</v>
      </c>
      <c r="Z12" s="54">
        <f>'תקציב אגף תנוס 2021 '!A14</f>
        <v>9</v>
      </c>
    </row>
    <row r="13" spans="1:28" s="53" customFormat="1" ht="27" customHeight="1">
      <c r="A13" s="666" t="s">
        <v>102</v>
      </c>
      <c r="B13" s="51">
        <f>'תקציב אגף שאיפה  2021 '!D42</f>
        <v>263941379</v>
      </c>
      <c r="C13" s="51">
        <f>'תקציב אגף שאיפה  2021 '!E42</f>
        <v>232020379</v>
      </c>
      <c r="D13" s="51">
        <f>'תקציב אגף שאיפה  2021 '!F42</f>
        <v>31921000</v>
      </c>
      <c r="E13" s="51">
        <f>'תקציב אגף שאיפה  2021 '!G42</f>
        <v>203662245</v>
      </c>
      <c r="F13" s="51">
        <f>'תקציב אגף שאיפה  2021 '!H42</f>
        <v>185965379</v>
      </c>
      <c r="G13" s="51">
        <f>'תקציב אגף שאיפה  2021 '!I42</f>
        <v>0</v>
      </c>
      <c r="H13" s="51">
        <f>'תקציב אגף שאיפה  2021 '!J42</f>
        <v>9211704</v>
      </c>
      <c r="I13" s="51">
        <f>'תקציב אגף שאיפה  2021 '!K42</f>
        <v>9211704</v>
      </c>
      <c r="J13" s="51">
        <f>'תקציב אגף שאיפה  2021 '!L42</f>
        <v>195177083</v>
      </c>
      <c r="K13" s="51">
        <f>'תקציב אגף שאיפה  2021 '!M42</f>
        <v>6558162</v>
      </c>
      <c r="L13" s="51">
        <f>'תקציב אגף שאיפה  2021 '!N42</f>
        <v>29162000</v>
      </c>
      <c r="M13" s="51">
        <f>'תקציב אגף שאיפה  2021 '!O42</f>
        <v>33044134</v>
      </c>
      <c r="N13" s="51">
        <f>'תקציב אגף שאיפה  2021 '!P42</f>
        <v>8485162</v>
      </c>
      <c r="O13" s="51">
        <f>'תקציב אגף שאיפה  2021 '!Q42</f>
        <v>0</v>
      </c>
      <c r="P13" s="51">
        <f>'תקציב אגף שאיפה  2021 '!R42</f>
        <v>0</v>
      </c>
      <c r="Q13" s="51">
        <f>'תקציב אגף שאיפה  2021 '!S42</f>
        <v>0</v>
      </c>
      <c r="R13" s="51">
        <f>'תקציב אגף שאיפה  2021 '!T42</f>
        <v>1927000</v>
      </c>
      <c r="S13" s="51">
        <f>'תקציב אגף שאיפה  2021 '!U42</f>
        <v>27235000</v>
      </c>
      <c r="T13" s="51">
        <f>'תקציב אגף שאיפה  2021 '!V42</f>
        <v>533000</v>
      </c>
      <c r="U13" s="51">
        <f>'תקציב אגף שאיפה  2021 '!W42</f>
        <v>7320000</v>
      </c>
      <c r="V13" s="51">
        <f>'תקציב אגף שאיפה  2021 '!X42</f>
        <v>0</v>
      </c>
      <c r="W13" s="51">
        <f>'תקציב אגף שאיפה  2021 '!Y42</f>
        <v>0</v>
      </c>
      <c r="X13" s="51">
        <f>'תקציב אגף שאיפה  2021 '!Z42</f>
        <v>0</v>
      </c>
      <c r="Y13" s="669">
        <f>'תקציב אגף שאיפה  2021 '!AA42</f>
        <v>19382000</v>
      </c>
      <c r="Z13" s="54">
        <f>'תקציב אגף שאיפה  2021 '!A42</f>
        <v>37</v>
      </c>
    </row>
    <row r="14" spans="1:28" s="53" customFormat="1" ht="27" customHeight="1">
      <c r="A14" s="668" t="s">
        <v>193</v>
      </c>
      <c r="B14" s="51">
        <f>'תקציב רשות החופים 2021 '!D19</f>
        <v>8677424</v>
      </c>
      <c r="C14" s="51">
        <f>'תקציב רשות החופים 2021 '!E19</f>
        <v>6436120</v>
      </c>
      <c r="D14" s="51">
        <f>'תקציב רשות החופים 2021 '!F19</f>
        <v>2241304</v>
      </c>
      <c r="E14" s="51">
        <f>'תקציב רשות החופים 2021 '!G19</f>
        <v>6301149</v>
      </c>
      <c r="F14" s="51">
        <f>'תקציב רשות החופים 2021 '!H19</f>
        <v>5236930</v>
      </c>
      <c r="G14" s="51">
        <f>'תקציב רשות החופים 2021 '!I19</f>
        <v>484961</v>
      </c>
      <c r="H14" s="51">
        <f>'תקציב רשות החופים 2021 '!J19</f>
        <v>194526</v>
      </c>
      <c r="I14" s="51">
        <f>'תקציב רשות החופים 2021 '!K19</f>
        <v>679487</v>
      </c>
      <c r="J14" s="51">
        <f>'תקציב רשות החופים 2021 '!L19</f>
        <v>5916417</v>
      </c>
      <c r="K14" s="51">
        <f>'תקציב רשות החופים 2021 '!M19</f>
        <v>369703</v>
      </c>
      <c r="L14" s="51">
        <f>'תקציב רשות החופים 2021 '!N19</f>
        <v>1791304</v>
      </c>
      <c r="M14" s="51">
        <f>'תקציב רשות החופים 2021 '!O19</f>
        <v>600000</v>
      </c>
      <c r="N14" s="51">
        <f>'תקציב רשות החופים 2021 '!P19</f>
        <v>384732</v>
      </c>
      <c r="O14" s="51">
        <f>'תקציב רשות החופים 2021 '!Q19</f>
        <v>0</v>
      </c>
      <c r="P14" s="51">
        <f>'תקציב רשות החופים 2021 '!R19</f>
        <v>0</v>
      </c>
      <c r="Q14" s="51">
        <f>'תקציב רשות החופים 2021 '!S19</f>
        <v>0</v>
      </c>
      <c r="R14" s="51">
        <f>'תקציב רשות החופים 2021 '!T19</f>
        <v>15029</v>
      </c>
      <c r="S14" s="51">
        <f>'תקציב רשות החופים 2021 '!U19</f>
        <v>1776275</v>
      </c>
      <c r="T14" s="51">
        <f>'תקציב רשות החופים 2021 '!V19</f>
        <v>0</v>
      </c>
      <c r="U14" s="51">
        <f>'תקציב רשות החופים 2021 '!W19</f>
        <v>1700000</v>
      </c>
      <c r="V14" s="51">
        <f>'תקציב רשות החופים 2021 '!X19</f>
        <v>0</v>
      </c>
      <c r="W14" s="51">
        <f>'תקציב רשות החופים 2021 '!Y19</f>
        <v>0</v>
      </c>
      <c r="X14" s="51">
        <f>'תקציב רשות החופים 2021 '!Z19</f>
        <v>0</v>
      </c>
      <c r="Y14" s="669">
        <f>'תקציב רשות החופים 2021 '!AA19</f>
        <v>76275</v>
      </c>
      <c r="Z14" s="54">
        <f>'תקציב רשות החופים 2021 '!A19</f>
        <v>14</v>
      </c>
    </row>
    <row r="15" spans="1:28" s="53" customFormat="1" ht="27" customHeight="1">
      <c r="A15" s="668" t="s">
        <v>104</v>
      </c>
      <c r="B15" s="51">
        <f>'תקציב החברה לתירות 2021 '!D11</f>
        <v>20658000</v>
      </c>
      <c r="C15" s="51">
        <f>'תקציב החברה לתירות 2021 '!E11</f>
        <v>20658000</v>
      </c>
      <c r="D15" s="51">
        <f>'תקציב החברה לתירות 2021 '!F11</f>
        <v>0</v>
      </c>
      <c r="E15" s="51">
        <f>'תקציב החברה לתירות 2021 '!G11</f>
        <v>5895000</v>
      </c>
      <c r="F15" s="51">
        <f>'תקציב החברה לתירות 2021 '!H11</f>
        <v>4080804</v>
      </c>
      <c r="G15" s="51">
        <f>'תקציב החברה לתירות 2021 '!I11</f>
        <v>0</v>
      </c>
      <c r="H15" s="51">
        <f>'תקציב החברה לתירות 2021 '!J11</f>
        <v>0</v>
      </c>
      <c r="I15" s="51">
        <f>'תקציב החברה לתירות 2021 '!K11</f>
        <v>0</v>
      </c>
      <c r="J15" s="51">
        <f>'תקציב החברה לתירות 2021 '!L11</f>
        <v>4080804</v>
      </c>
      <c r="K15" s="51">
        <f>'תקציב החברה לתירות 2021 '!M11</f>
        <v>114196</v>
      </c>
      <c r="L15" s="51">
        <f>'תקציב החברה לתירות 2021 '!N11</f>
        <v>2700000</v>
      </c>
      <c r="M15" s="51">
        <f>'תקציב החברה לתירות 2021 '!O11</f>
        <v>13763000</v>
      </c>
      <c r="N15" s="51">
        <f>'תקציב החברה לתירות 2021 '!P11</f>
        <v>1814196</v>
      </c>
      <c r="O15" s="51">
        <f>'תקציב החברה לתירות 2021 '!Q11</f>
        <v>0</v>
      </c>
      <c r="P15" s="51">
        <f>'תקציב החברה לתירות 2021 '!R11</f>
        <v>0</v>
      </c>
      <c r="Q15" s="51">
        <f>'תקציב החברה לתירות 2021 '!S11</f>
        <v>0</v>
      </c>
      <c r="R15" s="51">
        <f>'תקציב החברה לתירות 2021 '!T11</f>
        <v>1700000</v>
      </c>
      <c r="S15" s="51">
        <f>'תקציב החברה לתירות 2021 '!U11</f>
        <v>1000000</v>
      </c>
      <c r="T15" s="51">
        <f>'תקציב החברה לתירות 2021 '!V11</f>
        <v>771068</v>
      </c>
      <c r="U15" s="51">
        <f>'תקציב החברה לתירות 2021 '!W11</f>
        <v>0</v>
      </c>
      <c r="V15" s="51">
        <f>'תקציב החברה לתירות 2021 '!X11</f>
        <v>0</v>
      </c>
      <c r="W15" s="51">
        <f>'תקציב החברה לתירות 2021 '!Y11</f>
        <v>0</v>
      </c>
      <c r="X15" s="51">
        <f>'תקציב החברה לתירות 2021 '!Z11</f>
        <v>0</v>
      </c>
      <c r="Y15" s="669">
        <f>'תקציב החברה לתירות 2021 '!AA11</f>
        <v>228932</v>
      </c>
      <c r="Z15" s="54">
        <f>'תקציב החברה לתירות 2021 '!A11</f>
        <v>6</v>
      </c>
    </row>
    <row r="16" spans="1:28" s="53" customFormat="1" ht="27" customHeight="1">
      <c r="A16" s="668" t="s">
        <v>593</v>
      </c>
      <c r="B16" s="51">
        <f>'תקציב אגף תקשוב 2021 '!D15</f>
        <v>66970000</v>
      </c>
      <c r="C16" s="51">
        <f>'תקציב אגף תקשוב 2021 '!E15</f>
        <v>51790000</v>
      </c>
      <c r="D16" s="51">
        <f>'תקציב אגף תקשוב 2021 '!F15</f>
        <v>15180000</v>
      </c>
      <c r="E16" s="51">
        <f>'תקציב אגף תקשוב 2021 '!G15</f>
        <v>31233000</v>
      </c>
      <c r="F16" s="51">
        <f>'תקציב אגף תקשוב 2021 '!H15</f>
        <v>20522166</v>
      </c>
      <c r="G16" s="51">
        <f>'תקציב אגף תקשוב 2021 '!I15</f>
        <v>136200</v>
      </c>
      <c r="H16" s="51">
        <f>'תקציב אגף תקשוב 2021 '!J15</f>
        <v>5920976</v>
      </c>
      <c r="I16" s="51">
        <f>'תקציב אגף תקשוב 2021 '!K15</f>
        <v>6057176</v>
      </c>
      <c r="J16" s="51">
        <f>'תקציב אגף תקשוב 2021 '!L15</f>
        <v>26579342</v>
      </c>
      <c r="K16" s="51">
        <f>'תקציב אגף תקשוב 2021 '!M15</f>
        <v>5653658</v>
      </c>
      <c r="L16" s="51">
        <f>'תקציב אגף תקשוב 2021 '!N15</f>
        <v>8450000</v>
      </c>
      <c r="M16" s="51">
        <f>'תקציב אגף תקשוב 2021 '!O15</f>
        <v>26287000</v>
      </c>
      <c r="N16" s="51">
        <f>'תקציב אגף תקשוב 2021 '!P15</f>
        <v>4653658</v>
      </c>
      <c r="O16" s="51">
        <f>'תקציב אגף תקשוב 2021 '!Q15</f>
        <v>0</v>
      </c>
      <c r="P16" s="51">
        <f>'תקציב אגף תקשוב 2021 '!R15</f>
        <v>1000000</v>
      </c>
      <c r="Q16" s="51">
        <f>'תקציב אגף תקשוב 2021 '!S15</f>
        <v>1000000</v>
      </c>
      <c r="R16" s="51">
        <f>'תקציב אגף תקשוב 2021 '!T15</f>
        <v>0</v>
      </c>
      <c r="S16" s="51">
        <f>'תקציב אגף תקשוב 2021 '!U15</f>
        <v>8450000</v>
      </c>
      <c r="T16" s="51">
        <f>'תקציב אגף תקשוב 2021 '!V15</f>
        <v>5450000</v>
      </c>
      <c r="U16" s="51">
        <f>'תקציב אגף תקשוב 2021 '!W15</f>
        <v>2500000</v>
      </c>
      <c r="V16" s="51">
        <f>'תקציב אגף תקשוב 2021 '!X15</f>
        <v>0</v>
      </c>
      <c r="W16" s="51">
        <f>'תקציב אגף תקשוב 2021 '!Y15</f>
        <v>0</v>
      </c>
      <c r="X16" s="51">
        <f>'תקציב אגף תקשוב 2021 '!Z15</f>
        <v>0</v>
      </c>
      <c r="Y16" s="669">
        <f>'תקציב אגף תקשוב 2021 '!AA15</f>
        <v>500000</v>
      </c>
      <c r="Z16" s="54">
        <f>'תקציב אגף תקשוב 2021 '!A15</f>
        <v>10</v>
      </c>
    </row>
    <row r="17" spans="1:30" s="53" customFormat="1" ht="27" customHeight="1">
      <c r="A17" s="668" t="s">
        <v>592</v>
      </c>
      <c r="B17" s="51">
        <f>'תקציב אגף נכסים וביטוח 2021'!D20</f>
        <v>126129000</v>
      </c>
      <c r="C17" s="51">
        <f>'תקציב אגף נכסים וביטוח 2021'!E20</f>
        <v>125629000</v>
      </c>
      <c r="D17" s="51">
        <f>'תקציב אגף נכסים וביטוח 2021'!F20</f>
        <v>500000</v>
      </c>
      <c r="E17" s="51">
        <f>'תקציב אגף נכסים וביטוח 2021'!G20</f>
        <v>58352525</v>
      </c>
      <c r="F17" s="51">
        <f>'תקציב אגף נכסים וביטוח 2021'!H20</f>
        <v>40157025</v>
      </c>
      <c r="G17" s="51">
        <f>'תקציב אגף נכסים וביטוח 2021'!I20</f>
        <v>3336952</v>
      </c>
      <c r="H17" s="51">
        <f>'תקציב אגף נכסים וביטוח 2021'!J20</f>
        <v>3597</v>
      </c>
      <c r="I17" s="51">
        <f>'תקציב אגף נכסים וביטוח 2021'!K20</f>
        <v>3340549</v>
      </c>
      <c r="J17" s="51">
        <f>'תקציב אגף נכסים וביטוח 2021'!L20</f>
        <v>43497574</v>
      </c>
      <c r="K17" s="51">
        <f>'תקציב אגף נכסים וביטוח 2021'!M20</f>
        <v>14854951</v>
      </c>
      <c r="L17" s="51">
        <f>'תקציב אגף נכסים וביטוח 2021'!N20</f>
        <v>2040000</v>
      </c>
      <c r="M17" s="51">
        <f>'תקציב אגף נכסים וביטוח 2021'!O20</f>
        <v>65736475</v>
      </c>
      <c r="N17" s="51">
        <f>'תקציב אגף נכסים וביטוח 2021'!P20</f>
        <v>14854951</v>
      </c>
      <c r="O17" s="51">
        <f>'תקציב אגף נכסים וביטוח 2021'!Q20</f>
        <v>0</v>
      </c>
      <c r="P17" s="51">
        <f>'תקציב אגף נכסים וביטוח 2021'!R20</f>
        <v>0</v>
      </c>
      <c r="Q17" s="51">
        <f>'תקציב אגף נכסים וביטוח 2021'!S20</f>
        <v>0</v>
      </c>
      <c r="R17" s="51">
        <f>'תקציב אגף נכסים וביטוח 2021'!T20</f>
        <v>0</v>
      </c>
      <c r="S17" s="51">
        <f>'תקציב אגף נכסים וביטוח 2021'!U20</f>
        <v>2040000</v>
      </c>
      <c r="T17" s="51">
        <f>'תקציב אגף נכסים וביטוח 2021'!V20</f>
        <v>2040000</v>
      </c>
      <c r="U17" s="51">
        <f>'תקציב אגף נכסים וביטוח 2021'!W20</f>
        <v>0</v>
      </c>
      <c r="V17" s="51">
        <f>'תקציב אגף נכסים וביטוח 2021'!X20</f>
        <v>0</v>
      </c>
      <c r="W17" s="51">
        <f>'תקציב אגף נכסים וביטוח 2021'!Y20</f>
        <v>0</v>
      </c>
      <c r="X17" s="51">
        <f>'תקציב אגף נכסים וביטוח 2021'!Z20</f>
        <v>0</v>
      </c>
      <c r="Y17" s="669">
        <f>'תקציב אגף נכסים וביטוח 2021'!AA20</f>
        <v>0</v>
      </c>
      <c r="Z17" s="677">
        <f>'תקציב אגף נכסים וביטוח 2021'!A20</f>
        <v>15</v>
      </c>
    </row>
    <row r="18" spans="1:30" s="53" customFormat="1" ht="27" customHeight="1">
      <c r="A18" s="666" t="s">
        <v>288</v>
      </c>
      <c r="B18" s="51">
        <f>'תקציב מינהל כללי 2021  '!D14</f>
        <v>135032955</v>
      </c>
      <c r="C18" s="51">
        <f>'תקציב מינהל כללי 2021  '!E14</f>
        <v>125532955</v>
      </c>
      <c r="D18" s="51">
        <f>'תקציב מינהל כללי 2021  '!F14</f>
        <v>9500000</v>
      </c>
      <c r="E18" s="51">
        <f>'תקציב מינהל כללי 2021  '!G14</f>
        <v>96529849</v>
      </c>
      <c r="F18" s="51">
        <f>'תקציב מינהל כללי 2021  '!H14</f>
        <v>77482409</v>
      </c>
      <c r="G18" s="51">
        <f>'תקציב מינהל כללי 2021  '!I14</f>
        <v>9100</v>
      </c>
      <c r="H18" s="51">
        <f>'תקציב מינהל כללי 2021  '!J14</f>
        <v>3371919</v>
      </c>
      <c r="I18" s="51">
        <f>'תקציב מינהל כללי 2021  '!K14</f>
        <v>3381019</v>
      </c>
      <c r="J18" s="51">
        <f>'תקציב מינהל כללי 2021  '!L14</f>
        <v>80863428</v>
      </c>
      <c r="K18" s="51">
        <f>'תקציב מינהל כללי 2021  '!M14</f>
        <v>11257878</v>
      </c>
      <c r="L18" s="51">
        <f>'תקציב מינהל כללי 2021  '!N14</f>
        <v>8300000</v>
      </c>
      <c r="M18" s="51">
        <f>'תקציב מינהל כללי 2021  '!O14</f>
        <v>34611649</v>
      </c>
      <c r="N18" s="51">
        <f>'תקציב מינהל כללי 2021  '!P14</f>
        <v>15666421</v>
      </c>
      <c r="O18" s="51">
        <f>'תקציב מינהל כללי 2021  '!Q14</f>
        <v>0</v>
      </c>
      <c r="P18" s="51">
        <f>'תקציב מינהל כללי 2021  '!R14</f>
        <v>0</v>
      </c>
      <c r="Q18" s="51">
        <f>'תקציב מינהל כללי 2021  '!S14</f>
        <v>0</v>
      </c>
      <c r="R18" s="51">
        <f>'תקציב מינהל כללי 2021  '!T14</f>
        <v>4408543</v>
      </c>
      <c r="S18" s="51">
        <f>'תקציב מינהל כללי 2021  '!U14</f>
        <v>3891457</v>
      </c>
      <c r="T18" s="51">
        <f>'תקציב מינהל כללי 2021  '!V14</f>
        <v>-508725</v>
      </c>
      <c r="U18" s="51">
        <f>'תקציב מינהל כללי 2021  '!W14</f>
        <v>3689887</v>
      </c>
      <c r="V18" s="51">
        <f>'תקציב מינהל כללי 2021  '!X14</f>
        <v>0</v>
      </c>
      <c r="W18" s="51">
        <f>'תקציב מינהל כללי 2021  '!Y14</f>
        <v>0</v>
      </c>
      <c r="X18" s="51">
        <f>'תקציב מינהל כללי 2021  '!Z14</f>
        <v>0</v>
      </c>
      <c r="Y18" s="669">
        <f>'תקציב מינהל כללי 2021  '!AA14</f>
        <v>710295</v>
      </c>
      <c r="Z18" s="677">
        <f>'תקציב מינהל כללי 2021  '!A14</f>
        <v>9</v>
      </c>
    </row>
    <row r="19" spans="1:30" s="53" customFormat="1" ht="27" customHeight="1" thickBot="1">
      <c r="A19" s="679" t="s">
        <v>236</v>
      </c>
      <c r="B19" s="672">
        <f t="shared" ref="B19:Z19" si="0">SUM(B7:B18)</f>
        <v>4758575046</v>
      </c>
      <c r="C19" s="672">
        <f t="shared" si="0"/>
        <v>4397901789</v>
      </c>
      <c r="D19" s="672">
        <f t="shared" si="0"/>
        <v>360673257</v>
      </c>
      <c r="E19" s="672">
        <f t="shared" si="0"/>
        <v>2306058359</v>
      </c>
      <c r="F19" s="672">
        <f t="shared" si="0"/>
        <v>1762217928</v>
      </c>
      <c r="G19" s="672">
        <f t="shared" si="0"/>
        <v>31796374</v>
      </c>
      <c r="H19" s="672">
        <f t="shared" si="0"/>
        <v>109369858</v>
      </c>
      <c r="I19" s="672">
        <f t="shared" si="0"/>
        <v>141166232</v>
      </c>
      <c r="J19" s="672">
        <f t="shared" si="0"/>
        <v>1903384160</v>
      </c>
      <c r="K19" s="672">
        <f t="shared" si="0"/>
        <v>400066723</v>
      </c>
      <c r="L19" s="672">
        <f t="shared" si="0"/>
        <v>533765643</v>
      </c>
      <c r="M19" s="672">
        <f t="shared" si="0"/>
        <v>1921358520</v>
      </c>
      <c r="N19" s="672">
        <f t="shared" si="0"/>
        <v>402674199</v>
      </c>
      <c r="O19" s="672">
        <f t="shared" si="0"/>
        <v>74272096</v>
      </c>
      <c r="P19" s="672">
        <f t="shared" si="0"/>
        <v>1000000</v>
      </c>
      <c r="Q19" s="672">
        <f t="shared" si="0"/>
        <v>75272096</v>
      </c>
      <c r="R19" s="672">
        <f t="shared" si="0"/>
        <v>77879572</v>
      </c>
      <c r="S19" s="672">
        <f t="shared" si="0"/>
        <v>455886071</v>
      </c>
      <c r="T19" s="672">
        <f t="shared" si="0"/>
        <v>250594000</v>
      </c>
      <c r="U19" s="672">
        <f t="shared" si="0"/>
        <v>46000000</v>
      </c>
      <c r="V19" s="672">
        <f t="shared" si="0"/>
        <v>0</v>
      </c>
      <c r="W19" s="672">
        <f t="shared" si="0"/>
        <v>18000000</v>
      </c>
      <c r="X19" s="672">
        <f t="shared" si="0"/>
        <v>7100000</v>
      </c>
      <c r="Y19" s="673">
        <f t="shared" si="0"/>
        <v>134192071</v>
      </c>
      <c r="Z19" s="677">
        <f t="shared" si="0"/>
        <v>373</v>
      </c>
    </row>
    <row r="20" spans="1:30" s="53" customFormat="1" hidden="1">
      <c r="A20" s="320"/>
      <c r="B20" s="678">
        <f>SUM(C19:D19)</f>
        <v>4758575046</v>
      </c>
      <c r="C20" s="52"/>
      <c r="D20" s="52"/>
      <c r="E20" s="52"/>
      <c r="F20" s="52"/>
      <c r="G20" s="52"/>
      <c r="H20" s="52"/>
      <c r="I20" s="678">
        <f>SUM(G19:H19)</f>
        <v>141166232</v>
      </c>
      <c r="J20" s="678">
        <f>I19+F19</f>
        <v>1903384160</v>
      </c>
      <c r="K20" s="678">
        <f>N19+Q19-R19</f>
        <v>400066723</v>
      </c>
      <c r="L20" s="52"/>
      <c r="M20" s="52"/>
      <c r="N20" s="678">
        <f>E19-J19</f>
        <v>402674199</v>
      </c>
      <c r="O20" s="52"/>
      <c r="P20" s="52"/>
      <c r="Q20" s="678">
        <f>SUM(O19:P19)</f>
        <v>75272096</v>
      </c>
      <c r="R20" s="678">
        <f>N19+Q19-K19</f>
        <v>77879572</v>
      </c>
      <c r="S20" s="678">
        <f>L19-R19</f>
        <v>455886071</v>
      </c>
      <c r="T20" s="52">
        <f>SUM(T19:Y19)</f>
        <v>455886071</v>
      </c>
      <c r="U20" s="52"/>
      <c r="V20" s="52"/>
      <c r="W20" s="52"/>
      <c r="X20" s="52"/>
      <c r="Y20" s="52"/>
    </row>
    <row r="21" spans="1:30" s="53" customFormat="1" hidden="1">
      <c r="A21" s="320"/>
      <c r="B21" s="51">
        <f>B19-B20</f>
        <v>0</v>
      </c>
      <c r="C21" s="52"/>
      <c r="D21" s="52"/>
      <c r="E21" s="52"/>
      <c r="F21" s="52"/>
      <c r="G21" s="52"/>
      <c r="H21" s="52"/>
      <c r="I21" s="51">
        <f>I19-I20</f>
        <v>0</v>
      </c>
      <c r="J21" s="51">
        <f>J19-J20</f>
        <v>0</v>
      </c>
      <c r="K21" s="52"/>
      <c r="L21" s="52"/>
      <c r="M21" s="52"/>
      <c r="N21" s="51">
        <f>N19-N20</f>
        <v>0</v>
      </c>
      <c r="O21" s="52"/>
      <c r="P21" s="52"/>
      <c r="Q21" s="51">
        <f>Q19-Q20</f>
        <v>0</v>
      </c>
      <c r="R21" s="51">
        <f>R19-R20</f>
        <v>0</v>
      </c>
      <c r="S21" s="51">
        <f>S19-S20</f>
        <v>0</v>
      </c>
      <c r="T21" s="51">
        <f>S20-T20</f>
        <v>0</v>
      </c>
      <c r="U21" s="52"/>
      <c r="V21" s="52"/>
      <c r="W21" s="52"/>
      <c r="X21" s="52"/>
      <c r="Y21" s="52"/>
    </row>
    <row r="22" spans="1:30" s="53" customFormat="1" hidden="1">
      <c r="A22" s="320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30" hidden="1">
      <c r="J23" s="52"/>
      <c r="K23" s="52"/>
      <c r="M23" s="59"/>
      <c r="N23" s="60"/>
      <c r="O23" s="59"/>
      <c r="P23" s="61"/>
      <c r="Q23" s="61"/>
      <c r="R23" s="60"/>
      <c r="S23" s="62" t="s">
        <v>105</v>
      </c>
      <c r="T23" s="62" t="s">
        <v>90</v>
      </c>
      <c r="U23" s="62" t="s">
        <v>106</v>
      </c>
      <c r="V23" s="62" t="s">
        <v>15</v>
      </c>
      <c r="W23" s="62" t="s">
        <v>301</v>
      </c>
      <c r="X23" s="62" t="s">
        <v>1391</v>
      </c>
      <c r="Y23" s="62" t="s">
        <v>91</v>
      </c>
    </row>
    <row r="24" spans="1:30" s="628" customFormat="1" hidden="1">
      <c r="A24" s="623"/>
      <c r="B24" s="406"/>
      <c r="C24" s="406"/>
      <c r="D24" s="406"/>
      <c r="E24" s="406"/>
      <c r="F24" s="406"/>
      <c r="G24" s="406"/>
      <c r="H24" s="406"/>
      <c r="I24" s="406"/>
      <c r="J24" s="619"/>
      <c r="K24" s="406"/>
      <c r="L24" s="406"/>
      <c r="M24" s="624" t="s">
        <v>107</v>
      </c>
      <c r="N24" s="625"/>
      <c r="O24" s="624" t="s">
        <v>107</v>
      </c>
      <c r="P24" s="626"/>
      <c r="Q24" s="626"/>
      <c r="R24" s="627"/>
      <c r="S24" s="620">
        <f>SUM(T24:Y24)</f>
        <v>455886071</v>
      </c>
      <c r="T24" s="620">
        <f>'תקציב 2021 קרנות הרשות'!C21*1000</f>
        <v>250594000</v>
      </c>
      <c r="U24" s="620">
        <f>'תקציב 2021 קרנות הרשות'!D21*1000</f>
        <v>46000000</v>
      </c>
      <c r="V24" s="620">
        <f>'תקציב 2021  מקורות '!F10*1000</f>
        <v>0</v>
      </c>
      <c r="W24" s="620">
        <f>'תקציב 2021  מקורות '!F11*1000</f>
        <v>18000000</v>
      </c>
      <c r="X24" s="620">
        <f>'תקציב 2021  מקורות '!F12*1000</f>
        <v>7100000</v>
      </c>
      <c r="Y24" s="620">
        <f>'פרוט מקורות אחרים'!O16</f>
        <v>134192071</v>
      </c>
      <c r="AA24" s="619"/>
      <c r="AB24" s="619"/>
    </row>
    <row r="25" spans="1:30" hidden="1">
      <c r="M25" s="62" t="s">
        <v>108</v>
      </c>
      <c r="N25" s="63"/>
      <c r="O25" s="62" t="s">
        <v>108</v>
      </c>
      <c r="P25" s="64"/>
      <c r="Q25" s="64"/>
      <c r="R25" s="54"/>
      <c r="S25" s="65">
        <f t="shared" ref="S25:Y25" si="1">S24-S19</f>
        <v>0</v>
      </c>
      <c r="T25" s="65">
        <f t="shared" si="1"/>
        <v>0</v>
      </c>
      <c r="U25" s="65">
        <f t="shared" si="1"/>
        <v>0</v>
      </c>
      <c r="V25" s="65">
        <f t="shared" si="1"/>
        <v>0</v>
      </c>
      <c r="W25" s="65">
        <f>W24-W19</f>
        <v>0</v>
      </c>
      <c r="X25" s="65">
        <f t="shared" si="1"/>
        <v>0</v>
      </c>
      <c r="Y25" s="65">
        <f t="shared" si="1"/>
        <v>0</v>
      </c>
    </row>
    <row r="26" spans="1:30">
      <c r="M26" s="68"/>
      <c r="O26" s="68"/>
      <c r="P26" s="68"/>
      <c r="Q26" s="68"/>
      <c r="R26" s="53"/>
      <c r="S26" s="66"/>
      <c r="T26" s="66"/>
      <c r="U26" s="66"/>
      <c r="V26" s="66"/>
      <c r="W26" s="66"/>
      <c r="X26" s="66"/>
      <c r="Y26" s="66"/>
    </row>
    <row r="27" spans="1:30">
      <c r="S27" s="69"/>
      <c r="AD27" s="629"/>
    </row>
    <row r="28" spans="1:30">
      <c r="S28" s="69"/>
      <c r="AD28" s="629"/>
    </row>
    <row r="29" spans="1:30">
      <c r="S29" s="69"/>
    </row>
    <row r="30" spans="1:30">
      <c r="K30" s="69"/>
      <c r="S30" s="69"/>
    </row>
    <row r="31" spans="1:30">
      <c r="J31" s="69"/>
      <c r="S31" s="69"/>
    </row>
    <row r="32" spans="1:30">
      <c r="J32" s="69"/>
      <c r="S32" s="69"/>
    </row>
    <row r="33" spans="10:30">
      <c r="J33" s="69"/>
      <c r="S33" s="69"/>
    </row>
    <row r="34" spans="10:30">
      <c r="J34" s="69"/>
      <c r="S34" s="69"/>
    </row>
    <row r="35" spans="10:30">
      <c r="J35" s="69"/>
      <c r="S35" s="69"/>
    </row>
    <row r="36" spans="10:30">
      <c r="J36" s="69"/>
      <c r="S36" s="69"/>
    </row>
    <row r="37" spans="10:30">
      <c r="J37" s="69"/>
      <c r="S37" s="69"/>
    </row>
    <row r="38" spans="10:30">
      <c r="J38" s="69"/>
      <c r="S38" s="69"/>
      <c r="AD38" s="629"/>
    </row>
    <row r="39" spans="10:30">
      <c r="K39" s="69"/>
      <c r="S39" s="69"/>
      <c r="AD39" s="629"/>
    </row>
    <row r="40" spans="10:30">
      <c r="K40" s="69"/>
      <c r="S40" s="69"/>
      <c r="AD40" s="629"/>
    </row>
    <row r="41" spans="10:30">
      <c r="K41" s="69"/>
      <c r="S41" s="69"/>
      <c r="AD41" s="629"/>
    </row>
    <row r="42" spans="10:30">
      <c r="K42" s="55"/>
      <c r="S42" s="69"/>
      <c r="T42" s="55"/>
    </row>
    <row r="43" spans="10:30">
      <c r="K43" s="69"/>
      <c r="S43" s="69"/>
    </row>
    <row r="44" spans="10:30">
      <c r="K44" s="69"/>
      <c r="S44" s="69"/>
    </row>
    <row r="45" spans="10:30">
      <c r="K45" s="69"/>
      <c r="S45" s="69"/>
    </row>
    <row r="46" spans="10:30">
      <c r="K46" s="69"/>
      <c r="S46" s="69"/>
    </row>
    <row r="47" spans="10:30">
      <c r="K47" s="69"/>
      <c r="S47" s="69"/>
    </row>
    <row r="48" spans="10:30">
      <c r="K48" s="69"/>
      <c r="S48" s="69"/>
    </row>
    <row r="49" spans="11:19">
      <c r="K49" s="69"/>
      <c r="S49" s="69"/>
    </row>
    <row r="50" spans="11:19">
      <c r="K50" s="69"/>
      <c r="S50" s="69"/>
    </row>
    <row r="51" spans="11:19">
      <c r="K51" s="69"/>
      <c r="S51" s="69"/>
    </row>
    <row r="52" spans="11:19">
      <c r="K52" s="69"/>
      <c r="S52" s="69"/>
    </row>
    <row r="53" spans="11:19">
      <c r="S53" s="69"/>
    </row>
    <row r="54" spans="11:19">
      <c r="S54" s="69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4"/>
  <sheetViews>
    <sheetView rightToLeft="1" workbookViewId="0">
      <selection activeCell="U40" sqref="U40"/>
    </sheetView>
  </sheetViews>
  <sheetFormatPr defaultRowHeight="12.5"/>
  <sheetData>
    <row r="4" spans="21:21">
      <c r="U4" s="681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1"/>
  <sheetViews>
    <sheetView showZeros="0" rightToLeft="1" zoomScaleNormal="100" workbookViewId="0">
      <pane xSplit="1" ySplit="5" topLeftCell="B18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5.5"/>
  <cols>
    <col min="1" max="1" width="13.1796875" style="57" customWidth="1"/>
    <col min="2" max="3" width="12.6328125" style="58" customWidth="1"/>
    <col min="4" max="4" width="11.36328125" style="58" customWidth="1"/>
    <col min="5" max="8" width="12.6328125" style="58" hidden="1" customWidth="1"/>
    <col min="9" max="9" width="11.08984375" style="58" hidden="1" customWidth="1"/>
    <col min="10" max="10" width="12.6328125" style="53" customWidth="1"/>
    <col min="11" max="11" width="11" style="58" customWidth="1"/>
    <col min="12" max="12" width="11.08984375" style="58" customWidth="1"/>
    <col min="13" max="13" width="12.54296875" style="58" customWidth="1"/>
    <col min="14" max="14" width="12.6328125" style="53" hidden="1" customWidth="1"/>
    <col min="15" max="17" width="12.08984375" style="58" hidden="1" customWidth="1"/>
    <col min="18" max="18" width="9.90625" style="58" customWidth="1"/>
    <col min="19" max="20" width="11.08984375" style="58" customWidth="1"/>
    <col min="21" max="21" width="10.36328125" style="58" customWidth="1"/>
    <col min="22" max="22" width="9.08984375" style="58" hidden="1" customWidth="1"/>
    <col min="23" max="23" width="10.90625" style="58" customWidth="1"/>
    <col min="24" max="24" width="9.36328125" style="58" customWidth="1"/>
    <col min="25" max="25" width="11.08984375" style="58" customWidth="1"/>
    <col min="26" max="26" width="13.453125" style="55" customWidth="1"/>
    <col min="27" max="27" width="11.90625" style="55" customWidth="1"/>
    <col min="28" max="28" width="10" style="55" customWidth="1"/>
    <col min="29" max="29" width="9.08984375" style="55"/>
    <col min="30" max="30" width="10.08984375" style="55" customWidth="1"/>
    <col min="31" max="16384" width="9.08984375" style="55"/>
  </cols>
  <sheetData>
    <row r="2" spans="1:26" s="44" customFormat="1" ht="23">
      <c r="A2" s="272" t="s">
        <v>330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6" s="44" customFormat="1" ht="23.5" thickBot="1">
      <c r="A3" s="45"/>
      <c r="B3" s="46"/>
      <c r="C3" s="46"/>
      <c r="D3" s="46"/>
      <c r="E3" s="46"/>
      <c r="F3" s="46"/>
      <c r="G3" s="46"/>
      <c r="H3" s="46"/>
      <c r="I3" s="46"/>
      <c r="J3" s="47"/>
      <c r="K3" s="46"/>
      <c r="L3" s="46"/>
      <c r="M3" s="46"/>
      <c r="N3" s="47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6" s="49" customFormat="1">
      <c r="A4" s="662"/>
      <c r="B4" s="750" t="s">
        <v>95</v>
      </c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663"/>
      <c r="Q4" s="663"/>
      <c r="R4" s="750" t="s">
        <v>96</v>
      </c>
      <c r="S4" s="750"/>
      <c r="T4" s="750"/>
      <c r="U4" s="751"/>
      <c r="V4" s="751"/>
      <c r="W4" s="751"/>
      <c r="X4" s="750"/>
      <c r="Y4" s="752"/>
    </row>
    <row r="5" spans="1:26" s="42" customFormat="1" ht="62">
      <c r="A5" s="664" t="s">
        <v>334</v>
      </c>
      <c r="B5" s="48" t="s">
        <v>98</v>
      </c>
      <c r="C5" s="48" t="s">
        <v>4</v>
      </c>
      <c r="D5" s="48" t="s">
        <v>99</v>
      </c>
      <c r="E5" s="48" t="s">
        <v>109</v>
      </c>
      <c r="F5" s="20" t="s">
        <v>7</v>
      </c>
      <c r="G5" s="20" t="s">
        <v>8</v>
      </c>
      <c r="H5" s="20" t="s">
        <v>9</v>
      </c>
      <c r="I5" s="20" t="s">
        <v>10</v>
      </c>
      <c r="J5" s="35" t="s">
        <v>11</v>
      </c>
      <c r="K5" s="9" t="s">
        <v>936</v>
      </c>
      <c r="L5" s="48" t="s">
        <v>937</v>
      </c>
      <c r="M5" s="48" t="s">
        <v>938</v>
      </c>
      <c r="N5" s="35" t="s">
        <v>100</v>
      </c>
      <c r="O5" s="20" t="s">
        <v>1505</v>
      </c>
      <c r="P5" s="20" t="s">
        <v>1506</v>
      </c>
      <c r="Q5" s="20" t="s">
        <v>941</v>
      </c>
      <c r="R5" s="20" t="s">
        <v>942</v>
      </c>
      <c r="S5" s="48" t="s">
        <v>943</v>
      </c>
      <c r="T5" s="50" t="s">
        <v>13</v>
      </c>
      <c r="U5" s="48" t="s">
        <v>14</v>
      </c>
      <c r="V5" s="38" t="s">
        <v>15</v>
      </c>
      <c r="W5" s="38" t="s">
        <v>301</v>
      </c>
      <c r="X5" s="38" t="s">
        <v>1391</v>
      </c>
      <c r="Y5" s="665" t="s">
        <v>91</v>
      </c>
      <c r="Z5" s="24"/>
    </row>
    <row r="6" spans="1:26" s="42" customFormat="1" ht="27" customHeight="1">
      <c r="A6" s="666" t="s">
        <v>575</v>
      </c>
      <c r="B6" s="11">
        <f>'תקציב אגף ת.ב.ל 2021 פרקים'!D6+'תקציב אגף תקשוב 2021 פרקים'!D6</f>
        <v>8980000</v>
      </c>
      <c r="C6" s="11">
        <f>'תקציב אגף ת.ב.ל 2021 פרקים'!E6+'תקציב אגף תקשוב 2021 פרקים'!E6</f>
        <v>8980000</v>
      </c>
      <c r="D6" s="11">
        <f>'תקציב אגף ת.ב.ל 2021 פרקים'!F6+'תקציב אגף תקשוב 2021 פרקים'!F6</f>
        <v>0</v>
      </c>
      <c r="E6" s="11">
        <f>'תקציב אגף ת.ב.ל 2021 פרקים'!G6+'תקציב אגף תקשוב 2021 פרקים'!G6</f>
        <v>3133000</v>
      </c>
      <c r="F6" s="11">
        <f>'תקציב אגף ת.ב.ל 2021 פרקים'!H6+'תקציב אגף תקשוב 2021 פרקים'!H6</f>
        <v>2790726</v>
      </c>
      <c r="G6" s="11">
        <f>'תקציב אגף ת.ב.ל 2021 פרקים'!I6+'תקציב אגף תקשוב 2021 פרקים'!I6</f>
        <v>136200</v>
      </c>
      <c r="H6" s="11">
        <f>'תקציב אגף ת.ב.ל 2021 פרקים'!J6+'תקציב אגף תקשוב 2021 פרקים'!J6</f>
        <v>58046</v>
      </c>
      <c r="I6" s="11">
        <f>'תקציב אגף ת.ב.ל 2021 פרקים'!K6+'תקציב אגף תקשוב 2021 פרקים'!K6</f>
        <v>194246</v>
      </c>
      <c r="J6" s="11">
        <f>'תקציב אגף ת.ב.ל 2021 פרקים'!L6+'תקציב אגף תקשוב 2021 פרקים'!L6</f>
        <v>2984972</v>
      </c>
      <c r="K6" s="11">
        <f>'תקציב אגף ת.ב.ל 2021 פרקים'!M6+'תקציב אגף תקשוב 2021 פרקים'!M6</f>
        <v>148028</v>
      </c>
      <c r="L6" s="11">
        <f>'תקציב אגף ת.ב.ל 2021 פרקים'!N6+'תקציב אגף תקשוב 2021 פרקים'!N6</f>
        <v>50000</v>
      </c>
      <c r="M6" s="11">
        <f>'תקציב אגף ת.ב.ל 2021 פרקים'!O6+'תקציב אגף תקשוב 2021 פרקים'!O6</f>
        <v>5797000</v>
      </c>
      <c r="N6" s="11">
        <f>'תקציב אגף ת.ב.ל 2021 פרקים'!P6+'תקציב אגף תקשוב 2021 פרקים'!P6</f>
        <v>148028</v>
      </c>
      <c r="O6" s="11">
        <f>'תקציב אגף ת.ב.ל 2021 פרקים'!Q6+'תקציב אגף תקשוב 2021 פרקים'!Q6</f>
        <v>0</v>
      </c>
      <c r="P6" s="11">
        <f>'תקציב אגף ת.ב.ל 2021 פרקים'!R6+'תקציב אגף תקשוב 2021 פרקים'!R6</f>
        <v>0</v>
      </c>
      <c r="Q6" s="11">
        <f>'תקציב אגף ת.ב.ל 2021 פרקים'!S6+'תקציב אגף תקשוב 2021 פרקים'!S6</f>
        <v>0</v>
      </c>
      <c r="R6" s="11">
        <f>'תקציב אגף ת.ב.ל 2021 פרקים'!T6+'תקציב אגף תקשוב 2021 פרקים'!T6</f>
        <v>0</v>
      </c>
      <c r="S6" s="11">
        <f>'תקציב אגף ת.ב.ל 2021 פרקים'!U6+'תקציב אגף תקשוב 2021 פרקים'!U6</f>
        <v>50000</v>
      </c>
      <c r="T6" s="11">
        <f>'תקציב אגף ת.ב.ל 2021 פרקים'!V6+'תקציב אגף תקשוב 2021 פרקים'!V6</f>
        <v>0</v>
      </c>
      <c r="U6" s="11">
        <f>'תקציב אגף ת.ב.ל 2021 פרקים'!W6+'תקציב אגף תקשוב 2021 פרקים'!W6</f>
        <v>50000</v>
      </c>
      <c r="V6" s="11">
        <f>'תקציב אגף ת.ב.ל 2021 פרקים'!X6+'תקציב אגף תקשוב 2021 פרקים'!X6</f>
        <v>0</v>
      </c>
      <c r="W6" s="11">
        <f>'תקציב אגף ת.ב.ל 2021 פרקים'!Y6+'תקציב אגף תקשוב 2021 פרקים'!Y6</f>
        <v>0</v>
      </c>
      <c r="X6" s="11">
        <f>'תקציב אגף ת.ב.ל 2021 פרקים'!Z6+'תקציב אגף תקשוב 2021 פרקים'!Z6</f>
        <v>0</v>
      </c>
      <c r="Y6" s="667">
        <f>'תקציב אגף ת.ב.ל 2021 פרקים'!AA6+'תקציב אגף תקשוב 2021 פרקים'!AA6</f>
        <v>0</v>
      </c>
      <c r="Z6" s="26"/>
    </row>
    <row r="7" spans="1:26" s="53" customFormat="1" ht="27" customHeight="1">
      <c r="A7" s="668" t="s">
        <v>576</v>
      </c>
      <c r="B7" s="51">
        <f>'תקציב הנדסה 2021 פרקים'!D42+'תקציב החברה לפיתוח 2021 פרקים'!D11+'תקציב אגף ת.ב.ל 2021 פרקים'!D11+'תקציב אגף שאיפה  2021  פרקים'!D6+'תקציב החברה לתירות 2021 פרקים'!D10+'תקציב מינהל כללי 2021 פרקים'!D6</f>
        <v>233588642</v>
      </c>
      <c r="C7" s="51">
        <f>'תקציב הנדסה 2021 פרקים'!E42+'תקציב החברה לפיתוח 2021 פרקים'!E11+'תקציב אגף ת.ב.ל 2021 פרקים'!E11+'תקציב אגף שאיפה  2021  פרקים'!E6+'תקציב החברה לתירות 2021 פרקים'!E10+'תקציב מינהל כללי 2021 פרקים'!E6</f>
        <v>236155785</v>
      </c>
      <c r="D7" s="51">
        <f>'תקציב הנדסה 2021 פרקים'!F42+'תקציב החברה לפיתוח 2021 פרקים'!F11+'תקציב אגף ת.ב.ל 2021 פרקים'!F11+'תקציב אגף שאיפה  2021  פרקים'!F6+'תקציב החברה לתירות 2021 פרקים'!F10+'תקציב מינהל כללי 2021 פרקים'!F6</f>
        <v>-2567143</v>
      </c>
      <c r="E7" s="51">
        <f>'תקציב הנדסה 2021 פרקים'!G42+'תקציב החברה לפיתוח 2021 פרקים'!G11+'תקציב אגף ת.ב.ל 2021 פרקים'!G11+'תקציב אגף שאיפה  2021  פרקים'!G6+'תקציב החברה לתירות 2021 פרקים'!G10+'תקציב מינהל כללי 2021 פרקים'!G6</f>
        <v>157239837</v>
      </c>
      <c r="F7" s="51">
        <f>'תקציב הנדסה 2021 פרקים'!H42+'תקציב החברה לפיתוח 2021 פרקים'!H11+'תקציב אגף ת.ב.ל 2021 פרקים'!H11+'תקציב אגף שאיפה  2021  פרקים'!H6+'תקציב החברה לתירות 2021 פרקים'!H10+'תקציב מינהל כללי 2021 פרקים'!H6</f>
        <v>118755469</v>
      </c>
      <c r="G7" s="51">
        <f>'תקציב הנדסה 2021 פרקים'!I42+'תקציב החברה לפיתוח 2021 פרקים'!I11+'תקציב אגף ת.ב.ל 2021 פרקים'!I11+'תקציב אגף שאיפה  2021  פרקים'!I6+'תקציב החברה לתירות 2021 פרקים'!I10+'תקציב מינהל כללי 2021 פרקים'!I6</f>
        <v>4325565</v>
      </c>
      <c r="H7" s="51">
        <f>'תקציב הנדסה 2021 פרקים'!J42+'תקציב החברה לפיתוח 2021 פרקים'!J11+'תקציב אגף ת.ב.ל 2021 פרקים'!J11+'תקציב אגף שאיפה  2021  פרקים'!J6+'תקציב החברה לתירות 2021 פרקים'!J10+'תקציב מינהל כללי 2021 פרקים'!J6</f>
        <v>2856332</v>
      </c>
      <c r="I7" s="51">
        <f>'תקציב הנדסה 2021 פרקים'!K42+'תקציב החברה לפיתוח 2021 פרקים'!K11+'תקציב אגף ת.ב.ל 2021 פרקים'!K11+'תקציב אגף שאיפה  2021  פרקים'!K6+'תקציב החברה לתירות 2021 פרקים'!K10+'תקציב מינהל כללי 2021 פרקים'!K6</f>
        <v>7181897</v>
      </c>
      <c r="J7" s="51">
        <f>'תקציב הנדסה 2021 פרקים'!L42+'תקציב החברה לפיתוח 2021 פרקים'!L11+'תקציב אגף ת.ב.ל 2021 פרקים'!L11+'תקציב אגף שאיפה  2021  פרקים'!L6+'תקציב החברה לתירות 2021 פרקים'!L10+'תקציב מינהל כללי 2021 פרקים'!L6</f>
        <v>125937366</v>
      </c>
      <c r="K7" s="51">
        <f>'תקציב הנדסה 2021 פרקים'!M42+'תקציב החברה לפיתוח 2021 פרקים'!M11+'תקציב אגף ת.ב.ל 2021 פרקים'!M11+'תקציב אגף שאיפה  2021  פרקים'!M6+'תקציב החברה לתירות 2021 פרקים'!M10+'תקציב מינהל כללי 2021 פרקים'!M6</f>
        <v>14772471</v>
      </c>
      <c r="L7" s="51">
        <f>'תקציב הנדסה 2021 פרקים'!N42+'תקציב החברה לפיתוח 2021 פרקים'!N11+'תקציב אגף ת.ב.ל 2021 פרקים'!N11+'תקציב אגף שאיפה  2021  פרקים'!N6+'תקציב החברה לתירות 2021 פרקים'!N10+'תקציב מינהל כללי 2021 פרקים'!N6</f>
        <v>29760000</v>
      </c>
      <c r="M7" s="51">
        <f>'תקציב הנדסה 2021 פרקים'!O42+'תקציב החברה לפיתוח 2021 פרקים'!O11+'תקציב אגף ת.ב.ל 2021 פרקים'!O11+'תקציב אגף שאיפה  2021  פרקים'!O6+'תקציב החברה לתירות 2021 פרקים'!O10+'תקציב מינהל כללי 2021 פרקים'!O6</f>
        <v>63118805</v>
      </c>
      <c r="N7" s="51">
        <f>'תקציב הנדסה 2021 פרקים'!P42+'תקציב החברה לפיתוח 2021 פרקים'!P11+'תקציב אגף ת.ב.ל 2021 פרקים'!P11+'תקציב אגף שאיפה  2021  פרקים'!P6+'תקציב החברה לתירות 2021 פרקים'!P10+'תקציב מינהל כללי 2021 פרקים'!P6</f>
        <v>31302471</v>
      </c>
      <c r="O7" s="51">
        <f>'תקציב הנדסה 2021 פרקים'!Q42+'תקציב החברה לפיתוח 2021 פרקים'!Q11+'תקציב אגף ת.ב.ל 2021 פרקים'!Q11+'תקציב אגף שאיפה  2021  פרקים'!Q6+'תקציב החברה לתירות 2021 פרקים'!Q10+'תקציב מינהל כללי 2021 פרקים'!Q6</f>
        <v>0</v>
      </c>
      <c r="P7" s="51">
        <f>'תקציב הנדסה 2021 פרקים'!R42+'תקציב החברה לפיתוח 2021 פרקים'!R11+'תקציב אגף ת.ב.ל 2021 פרקים'!R11+'תקציב אגף שאיפה  2021  פרקים'!R6+'תקציב החברה לתירות 2021 פרקים'!R10+'תקציב מינהל כללי 2021 פרקים'!R6</f>
        <v>0</v>
      </c>
      <c r="Q7" s="51">
        <f>'תקציב הנדסה 2021 פרקים'!S42+'תקציב החברה לפיתוח 2021 פרקים'!S11+'תקציב אגף ת.ב.ל 2021 פרקים'!S11+'תקציב אגף שאיפה  2021  פרקים'!S6+'תקציב החברה לתירות 2021 פרקים'!S10+'תקציב מינהל כללי 2021 פרקים'!S6</f>
        <v>0</v>
      </c>
      <c r="R7" s="51">
        <f>'תקציב הנדסה 2021 פרקים'!T42+'תקציב החברה לפיתוח 2021 פרקים'!T11+'תקציב אגף ת.ב.ל 2021 פרקים'!T11+'תקציב אגף שאיפה  2021  פרקים'!T6+'תקציב החברה לתירות 2021 פרקים'!T10+'תקציב מינהל כללי 2021 פרקים'!T6</f>
        <v>16530000</v>
      </c>
      <c r="S7" s="51">
        <f>'תקציב הנדסה 2021 פרקים'!U42+'תקציב החברה לפיתוח 2021 פרקים'!U11+'תקציב אגף ת.ב.ל 2021 פרקים'!U11+'תקציב אגף שאיפה  2021  פרקים'!U6+'תקציב החברה לתירות 2021 פרקים'!U10+'תקציב מינהל כללי 2021 פרקים'!U6</f>
        <v>13230000</v>
      </c>
      <c r="T7" s="51">
        <f>'תקציב הנדסה 2021 פרקים'!V42+'תקציב החברה לפיתוח 2021 פרקים'!V11+'תקציב אגף ת.ב.ל 2021 פרקים'!V11+'תקציב אגף שאיפה  2021  פרקים'!V6+'תקציב החברה לתירות 2021 פרקים'!V10+'תקציב מינהל כללי 2021 פרקים'!V6</f>
        <v>8989818</v>
      </c>
      <c r="U7" s="51">
        <f>'תקציב הנדסה 2021 פרקים'!W42+'תקציב החברה לפיתוח 2021 פרקים'!W11+'תקציב אגף ת.ב.ל 2021 פרקים'!W11+'תקציב אגף שאיפה  2021  פרקים'!W6+'תקציב החברה לתירות 2021 פרקים'!W10+'תקציב מינהל כללי 2021 פרקים'!W6</f>
        <v>200000</v>
      </c>
      <c r="V7" s="51">
        <f>'תקציב הנדסה 2021 פרקים'!X42+'תקציב החברה לפיתוח 2021 פרקים'!X11+'תקציב אגף ת.ב.ל 2021 פרקים'!X11+'תקציב אגף שאיפה  2021  פרקים'!X6+'תקציב החברה לתירות 2021 פרקים'!X10+'תקציב מינהל כללי 2021 פרקים'!X6</f>
        <v>0</v>
      </c>
      <c r="W7" s="51">
        <f>'תקציב הנדסה 2021 פרקים'!Y42+'תקציב החברה לפיתוח 2021 פרקים'!Y11+'תקציב אגף ת.ב.ל 2021 פרקים'!Y11+'תקציב אגף שאיפה  2021  פרקים'!Y6+'תקציב החברה לתירות 2021 פרקים'!Y10+'תקציב מינהל כללי 2021 פרקים'!Y6</f>
        <v>0</v>
      </c>
      <c r="X7" s="51">
        <f>'תקציב הנדסה 2021 פרקים'!Z42+'תקציב החברה לפיתוח 2021 פרקים'!Z11+'תקציב אגף ת.ב.ל 2021 פרקים'!Z11+'תקציב אגף שאיפה  2021  פרקים'!Z6+'תקציב החברה לתירות 2021 פרקים'!Z10+'תקציב מינהל כללי 2021 פרקים'!Z6</f>
        <v>0</v>
      </c>
      <c r="Y7" s="669">
        <f>'תקציב הנדסה 2021 פרקים'!AA42+'תקציב החברה לפיתוח 2021 פרקים'!AA11+'תקציב אגף ת.ב.ל 2021 פרקים'!AA11+'תקציב אגף שאיפה  2021  פרקים'!AA6+'תקציב החברה לתירות 2021 פרקים'!AA10+'תקציב מינהל כללי 2021 פרקים'!AA6</f>
        <v>4040182</v>
      </c>
      <c r="Z7" s="52"/>
    </row>
    <row r="8" spans="1:26" s="53" customFormat="1" ht="27" customHeight="1">
      <c r="A8" s="668" t="s">
        <v>577</v>
      </c>
      <c r="B8" s="51">
        <f>'תקציב הנדסה 2021 פרקים'!D83+'תקציב החברה לפיתוח 2021 פרקים'!D57+'תקציב החברה לפיתוח 2021 פרקים'!D63+'תקציב אגף ת.ב.ל 2021 פרקים'!D20+'תקציב אגף שאיפה  2021  פרקים'!D27+'תקציב החברה לתירות 2021 פרקים'!D12+'תקציב מינהל כללי 2021 פרקים'!D11</f>
        <v>2143083586</v>
      </c>
      <c r="C8" s="51">
        <f>'תקציב הנדסה 2021 פרקים'!E83+'תקציב החברה לפיתוח 2021 פרקים'!E57+'תקציב החברה לפיתוח 2021 פרקים'!E63+'תקציב אגף ת.ב.ל 2021 פרקים'!E20+'תקציב אגף שאיפה  2021  פרקים'!E27+'תקציב החברה לתירות 2021 פרקים'!E12+'תקציב מינהל כללי 2021 פרקים'!E11</f>
        <v>2012118586</v>
      </c>
      <c r="D8" s="51">
        <f>'תקציב הנדסה 2021 פרקים'!F83+'תקציב החברה לפיתוח 2021 פרקים'!F57+'תקציב החברה לפיתוח 2021 פרקים'!F63+'תקציב אגף ת.ב.ל 2021 פרקים'!F20+'תקציב אגף שאיפה  2021  פרקים'!F27+'תקציב החברה לתירות 2021 פרקים'!F12+'תקציב מינהל כללי 2021 פרקים'!F11</f>
        <v>130965000</v>
      </c>
      <c r="E8" s="51">
        <f>'תקציב הנדסה 2021 פרקים'!G83+'תקציב החברה לפיתוח 2021 פרקים'!G57+'תקציב החברה לפיתוח 2021 פרקים'!G63+'תקציב אגף ת.ב.ל 2021 פרקים'!G20+'תקציב אגף שאיפה  2021  פרקים'!G27+'תקציב החברה לתירות 2021 פרקים'!G12+'תקציב מינהל כללי 2021 פרקים'!G11</f>
        <v>1222016487</v>
      </c>
      <c r="F8" s="51">
        <f>'תקציב הנדסה 2021 פרקים'!H83+'תקציב החברה לפיתוח 2021 פרקים'!H57+'תקציב החברה לפיתוח 2021 פרקים'!H63+'תקציב אגף ת.ב.ל 2021 פרקים'!H20+'תקציב אגף שאיפה  2021  פרקים'!H27+'תקציב החברה לתירות 2021 פרקים'!H12+'תקציב מינהל כללי 2021 פרקים'!H11</f>
        <v>975736306</v>
      </c>
      <c r="G8" s="51">
        <f>'תקציב הנדסה 2021 פרקים'!I83+'תקציב החברה לפיתוח 2021 פרקים'!I57+'תקציב החברה לפיתוח 2021 פרקים'!I63+'תקציב אגף ת.ב.ל 2021 פרקים'!I20+'תקציב אגף שאיפה  2021  פרקים'!I27+'תקציב החברה לתירות 2021 פרקים'!I12+'תקציב מינהל כללי 2021 פרקים'!I11</f>
        <v>7524860</v>
      </c>
      <c r="H8" s="51">
        <f>'תקציב הנדסה 2021 פרקים'!J83+'תקציב החברה לפיתוח 2021 פרקים'!J57+'תקציב החברה לפיתוח 2021 פרקים'!J63+'תקציב אגף ת.ב.ל 2021 פרקים'!J20+'תקציב אגף שאיפה  2021  פרקים'!J27+'תקציב החברה לתירות 2021 פרקים'!J12+'תקציב מינהל כללי 2021 פרקים'!J11</f>
        <v>54575253</v>
      </c>
      <c r="I8" s="51">
        <f>'תקציב הנדסה 2021 פרקים'!K83+'תקציב החברה לפיתוח 2021 פרקים'!K57+'תקציב החברה לפיתוח 2021 פרקים'!K63+'תקציב אגף ת.ב.ל 2021 פרקים'!K20+'תקציב אגף שאיפה  2021  פרקים'!K27+'תקציב החברה לתירות 2021 פרקים'!K12+'תקציב מינהל כללי 2021 פרקים'!K11</f>
        <v>62100113</v>
      </c>
      <c r="J8" s="51">
        <f>'תקציב הנדסה 2021 פרקים'!L83+'תקציב החברה לפיתוח 2021 פרקים'!L57+'תקציב החברה לפיתוח 2021 פרקים'!L63+'תקציב אגף ת.ב.ל 2021 פרקים'!L20+'תקציב אגף שאיפה  2021  פרקים'!L27+'תקציב החברה לתירות 2021 פרקים'!L12+'תקציב מינהל כללי 2021 פרקים'!L11</f>
        <v>1037836419</v>
      </c>
      <c r="K8" s="51">
        <f>'תקציב הנדסה 2021 פרקים'!M83+'תקציב החברה לפיתוח 2021 פרקים'!M57+'תקציב החברה לפיתוח 2021 פרקים'!M63+'תקציב אגף ת.ב.ל 2021 פרקים'!M20+'תקציב אגף שאיפה  2021  פרקים'!M27+'תקציב החברה לתירות 2021 פרקים'!M12+'תקציב מינהל כללי 2021 פרקים'!M11</f>
        <v>133273525</v>
      </c>
      <c r="L8" s="51">
        <f>'תקציב הנדסה 2021 פרקים'!N83+'תקציב החברה לפיתוח 2021 פרקים'!N57+'תקציב החברה לפיתוח 2021 פרקים'!N63+'תקציב אגף ת.ב.ל 2021 פרקים'!N20+'תקציב אגף שאיפה  2021  פרקים'!N27+'תקציב החברה לתירות 2021 פרקים'!N12+'תקציב מינהל כללי 2021 פרקים'!N11</f>
        <v>133058371</v>
      </c>
      <c r="M8" s="51">
        <f>'תקציב הנדסה 2021 פרקים'!O83+'תקציב החברה לפיתוח 2021 פרקים'!O57+'תקציב החברה לפיתוח 2021 פרקים'!O63+'תקציב אגף ת.ב.ל 2021 פרקים'!O20+'תקציב אגף שאיפה  2021  פרקים'!O27+'תקציב החברה לתירות 2021 פרקים'!O12+'תקציב מינהל כללי 2021 פרקים'!O11</f>
        <v>838915271</v>
      </c>
      <c r="N8" s="51">
        <f>'תקציב הנדסה 2021 פרקים'!P83+'תקציב החברה לפיתוח 2021 פרקים'!P57+'תקציב החברה לפיתוח 2021 פרקים'!P63+'תקציב אגף ת.ב.ל 2021 פרקים'!P20+'תקציב אגף שאיפה  2021  פרקים'!P27+'תקציב החברה לתירות 2021 פרקים'!P12+'תקציב מינהל כללי 2021 פרקים'!P11</f>
        <v>184180068</v>
      </c>
      <c r="O8" s="51">
        <f>'תקציב הנדסה 2021 פרקים'!Q83+'תקציב החברה לפיתוח 2021 פרקים'!Q57+'תקציב החברה לפיתוח 2021 פרקים'!Q63+'תקציב אגף ת.ב.ל 2021 פרקים'!Q20+'תקציב אגף שאיפה  2021  פרקים'!Q27+'תקציב החברה לתירות 2021 פרקים'!Q12+'תקציב מינהל כללי 2021 פרקים'!Q11</f>
        <v>0</v>
      </c>
      <c r="P8" s="51">
        <f>'תקציב הנדסה 2021 פרקים'!R83+'תקציב החברה לפיתוח 2021 פרקים'!R57+'תקציב החברה לפיתוח 2021 פרקים'!R63+'תקציב אגף ת.ב.ל 2021 פרקים'!R20+'תקציב אגף שאיפה  2021  פרקים'!R27+'תקציב החברה לתירות 2021 פרקים'!R12+'תקציב מינהל כללי 2021 פרקים'!R11</f>
        <v>0</v>
      </c>
      <c r="Q8" s="51">
        <f>'תקציב הנדסה 2021 פרקים'!S83+'תקציב החברה לפיתוח 2021 פרקים'!S57+'תקציב החברה לפיתוח 2021 פרקים'!S63+'תקציב אגף ת.ב.ל 2021 פרקים'!S20+'תקציב אגף שאיפה  2021  פרקים'!S27+'תקציב החברה לתירות 2021 פרקים'!S12+'תקציב מינהל כללי 2021 פרקים'!S11</f>
        <v>0</v>
      </c>
      <c r="R8" s="51">
        <f>'תקציב הנדסה 2021 פרקים'!T83+'תקציב החברה לפיתוח 2021 פרקים'!T57+'תקציב החברה לפיתוח 2021 פרקים'!T63+'תקציב אגף ת.ב.ל 2021 פרקים'!T20+'תקציב אגף שאיפה  2021  פרקים'!T27+'תקציב החברה לתירות 2021 פרקים'!T12+'תקציב מינהל כללי 2021 פרקים'!T11</f>
        <v>50906543</v>
      </c>
      <c r="S8" s="51">
        <f>'תקציב הנדסה 2021 פרקים'!U83+'תקציב החברה לפיתוח 2021 פרקים'!U57+'תקציב החברה לפיתוח 2021 פרקים'!U63+'תקציב אגף ת.ב.ל 2021 פרקים'!U20+'תקציב אגף שאיפה  2021  פרקים'!U27+'תקציב החברה לתירות 2021 פרקים'!U12+'תקציב מינהל כללי 2021 פרקים'!U11</f>
        <v>82151828</v>
      </c>
      <c r="T8" s="51">
        <f>'תקציב הנדסה 2021 פרקים'!V83+'תקציב החברה לפיתוח 2021 פרקים'!V57+'תקציב החברה לפיתוח 2021 פרקים'!V63+'תקציב אגף ת.ב.ל 2021 פרקים'!V20+'תקציב אגף שאיפה  2021  פרקים'!V27+'תקציב החברה לתירות 2021 פרקים'!V12+'תקציב מינהל כללי 2021 פרקים'!V11</f>
        <v>68553275</v>
      </c>
      <c r="U8" s="51">
        <f>'תקציב הנדסה 2021 פרקים'!W83+'תקציב החברה לפיתוח 2021 פרקים'!W57+'תקציב החברה לפיתוח 2021 פרקים'!W63+'תקציב אגף ת.ב.ל 2021 פרקים'!W20+'תקציב אגף שאיפה  2021  פרקים'!W27+'תקציב החברה לתירות 2021 פרקים'!W12+'תקציב מינהל כללי 2021 פרקים'!W11</f>
        <v>11309887</v>
      </c>
      <c r="V8" s="51">
        <f>'תקציב הנדסה 2021 פרקים'!X83+'תקציב החברה לפיתוח 2021 פרקים'!X57+'תקציב החברה לפיתוח 2021 פרקים'!X63+'תקציב אגף ת.ב.ל 2021 פרקים'!X20+'תקציב אגף שאיפה  2021  פרקים'!X27+'תקציב החברה לתירות 2021 פרקים'!X12+'תקציב מינהל כללי 2021 פרקים'!X11</f>
        <v>0</v>
      </c>
      <c r="W8" s="51">
        <f>'תקציב הנדסה 2021 פרקים'!Y83+'תקציב החברה לפיתוח 2021 פרקים'!Y57+'תקציב החברה לפיתוח 2021 פרקים'!Y63+'תקציב אגף ת.ב.ל 2021 פרקים'!Y20+'תקציב אגף שאיפה  2021  פרקים'!Y27+'תקציב החברה לתירות 2021 פרקים'!Y12+'תקציב מינהל כללי 2021 פרקים'!Y11</f>
        <v>-15000000</v>
      </c>
      <c r="X8" s="51">
        <f>'תקציב הנדסה 2021 פרקים'!Z83+'תקציב החברה לפיתוח 2021 פרקים'!Z57+'תקציב החברה לפיתוח 2021 פרקים'!Z63+'תקציב אגף ת.ב.ל 2021 פרקים'!Z20+'תקציב אגף שאיפה  2021  פרקים'!Z27+'תקציב החברה לתירות 2021 פרקים'!Z12+'תקציב מינהל כללי 2021 פרקים'!Z11</f>
        <v>0</v>
      </c>
      <c r="Y8" s="669">
        <f>'תקציב הנדסה 2021 פרקים'!AA83+'תקציב החברה לפיתוח 2021 פרקים'!AA57+'תקציב החברה לפיתוח 2021 פרקים'!AA63+'תקציב אגף ת.ב.ל 2021 פרקים'!AA20+'תקציב אגף שאיפה  2021  פרקים'!AA27+'תקציב החברה לתירות 2021 פרקים'!AA12+'תקציב מינהל כללי 2021 פרקים'!AA11</f>
        <v>17288666</v>
      </c>
    </row>
    <row r="9" spans="1:26" s="53" customFormat="1" ht="27" customHeight="1">
      <c r="A9" s="670" t="s">
        <v>578</v>
      </c>
      <c r="B9" s="51">
        <f>'תקציב החברה לפיתוח 2021 פרקים'!D61+'תקציב אגף שאיפה  2021  פרקים'!D29+'תקציב רשות החופים 2021  פרקים'!D19</f>
        <v>54745424</v>
      </c>
      <c r="C9" s="51">
        <f>'תקציב החברה לפיתוח 2021 פרקים'!E61+'תקציב אגף שאיפה  2021  פרקים'!E29+'תקציב רשות החופים 2021  פרקים'!E19</f>
        <v>51245120</v>
      </c>
      <c r="D9" s="51">
        <f>'תקציב החברה לפיתוח 2021 פרקים'!F61+'תקציב אגף שאיפה  2021  פרקים'!F29+'תקציב רשות החופים 2021  פרקים'!F19</f>
        <v>3500304</v>
      </c>
      <c r="E9" s="51">
        <f>'תקציב החברה לפיתוח 2021 פרקים'!G61+'תקציב אגף שאיפה  2021  פרקים'!G29+'תקציב רשות החופים 2021  פרקים'!G19</f>
        <v>41110149</v>
      </c>
      <c r="F9" s="51">
        <f>'תקציב החברה לפיתוח 2021 פרקים'!H61+'תקציב אגף שאיפה  2021  פרקים'!H29+'תקציב רשות החופים 2021  פרקים'!H19</f>
        <v>36577298</v>
      </c>
      <c r="G9" s="51">
        <f>'תקציב החברה לפיתוח 2021 פרקים'!I61+'תקציב אגף שאיפה  2021  פרקים'!I29+'תקציב רשות החופים 2021  פרקים'!I19</f>
        <v>484961</v>
      </c>
      <c r="H9" s="51">
        <f>'תקציב החברה לפיתוח 2021 פרקים'!J61+'תקציב אגף שאיפה  2021  פרקים'!J29+'תקציב רשות החופים 2021  פרקים'!J19</f>
        <v>2912180</v>
      </c>
      <c r="I9" s="51">
        <f>'תקציב החברה לפיתוח 2021 פרקים'!K61+'תקציב אגף שאיפה  2021  פרקים'!K29+'תקציב רשות החופים 2021  פרקים'!K19</f>
        <v>3397141</v>
      </c>
      <c r="J9" s="51">
        <f>'תקציב החברה לפיתוח 2021 פרקים'!L61+'תקציב אגף שאיפה  2021  פרקים'!L29+'תקציב רשות החופים 2021  פרקים'!L19</f>
        <v>39974439</v>
      </c>
      <c r="K9" s="51">
        <f>'תקציב החברה לפיתוח 2021 פרקים'!M61+'תקציב אגף שאיפה  2021  פרקים'!M29+'תקציב רשות החופים 2021  פרקים'!M19</f>
        <v>1120681</v>
      </c>
      <c r="L9" s="51">
        <f>'תקציב החברה לפיתוח 2021 פרקים'!N61+'תקציב אגף שאיפה  2021  פרקים'!N29+'תקציב רשות החופים 2021  פרקים'!N19</f>
        <v>3050304</v>
      </c>
      <c r="M9" s="51">
        <f>'תקציב החברה לפיתוח 2021 פרקים'!O61+'תקציב אגף שאיפה  2021  פרקים'!O29+'תקציב רשות החופים 2021  פרקים'!O19</f>
        <v>10600000</v>
      </c>
      <c r="N9" s="51">
        <f>'תקציב החברה לפיתוח 2021 פרקים'!P61+'תקציב אגף שאיפה  2021  פרקים'!P29+'תקציב רשות החופים 2021  פרקים'!P19</f>
        <v>1135710</v>
      </c>
      <c r="O9" s="51">
        <f>'תקציב החברה לפיתוח 2021 פרקים'!Q61+'תקציב אגף שאיפה  2021  פרקים'!Q29+'תקציב רשות החופים 2021  פרקים'!Q19</f>
        <v>0</v>
      </c>
      <c r="P9" s="51">
        <f>'תקציב החברה לפיתוח 2021 פרקים'!R61+'תקציב אגף שאיפה  2021  פרקים'!R29+'תקציב רשות החופים 2021  פרקים'!R19</f>
        <v>0</v>
      </c>
      <c r="Q9" s="51">
        <f>'תקציב החברה לפיתוח 2021 פרקים'!S61+'תקציב אגף שאיפה  2021  פרקים'!S29+'תקציב רשות החופים 2021  פרקים'!S19</f>
        <v>0</v>
      </c>
      <c r="R9" s="51">
        <f>'תקציב החברה לפיתוח 2021 פרקים'!T61+'תקציב אגף שאיפה  2021  פרקים'!T29+'תקציב רשות החופים 2021  פרקים'!T19</f>
        <v>15029</v>
      </c>
      <c r="S9" s="51">
        <f>'תקציב החברה לפיתוח 2021 פרקים'!U61+'תקציב אגף שאיפה  2021  פרקים'!U29+'תקציב רשות החופים 2021  פרקים'!U19</f>
        <v>3035275</v>
      </c>
      <c r="T9" s="51">
        <f>'תקציב החברה לפיתוח 2021 פרקים'!V61+'תקציב אגף שאיפה  2021  פרקים'!V29+'תקציב רשות החופים 2021  פרקים'!V19</f>
        <v>0</v>
      </c>
      <c r="U9" s="51">
        <f>'תקציב החברה לפיתוח 2021 פרקים'!W61+'תקציב אגף שאיפה  2021  פרקים'!W29+'תקציב רשות החופים 2021  פרקים'!W19</f>
        <v>1700000</v>
      </c>
      <c r="V9" s="51">
        <f>'תקציב החברה לפיתוח 2021 פרקים'!X61+'תקציב אגף שאיפה  2021  פרקים'!X29+'תקציב רשות החופים 2021  פרקים'!X19</f>
        <v>0</v>
      </c>
      <c r="W9" s="51">
        <f>'תקציב החברה לפיתוח 2021 פרקים'!Y61+'תקציב אגף שאיפה  2021  פרקים'!Y29+'תקציב רשות החופים 2021  פרקים'!Y19</f>
        <v>0</v>
      </c>
      <c r="X9" s="51">
        <f>'תקציב החברה לפיתוח 2021 פרקים'!Z61+'תקציב אגף שאיפה  2021  פרקים'!Z29+'תקציב רשות החופים 2021  פרקים'!Z19</f>
        <v>0</v>
      </c>
      <c r="Y9" s="669">
        <f>'תקציב החברה לפיתוח 2021 פרקים'!AA61+'תקציב אגף שאיפה  2021  פרקים'!AA29+'תקציב רשות החופים 2021  פרקים'!AA19</f>
        <v>1335275</v>
      </c>
    </row>
    <row r="10" spans="1:26" s="53" customFormat="1" ht="42">
      <c r="A10" s="668" t="s">
        <v>579</v>
      </c>
      <c r="B10" s="51">
        <f>'תקציב הנדסה 2021 פרקים'!D85+'תקציב החברה לפיתוח 2021 פרקים'!D65+'תקציב אגף ת.ב.ל 2021 פרקים'!D9+'תקציב אגף בטחון פיקוח סד"צ  פרק'!D7+'תקציב אגף תקשוב 2021 פרקים'!D8+'תקציב אגף תקשוב 2021 פרקים'!D14+'תקציב מינהל כללי 2021 פרקים'!D14+'תקציב אגף שאיפה  2021  פרקים'!D31</f>
        <v>144586000</v>
      </c>
      <c r="C10" s="51">
        <f>'תקציב הנדסה 2021 פרקים'!E85+'תקציב החברה לפיתוח 2021 פרקים'!E65+'תקציב אגף ת.ב.ל 2021 פרקים'!E9+'תקציב אגף בטחון פיקוח סד"צ  פרק'!E7+'תקציב אגף תקשוב 2021 פרקים'!E8+'תקציב אגף תקשוב 2021 פרקים'!E14+'תקציב מינהל כללי 2021 פרקים'!E14+'תקציב אגף שאיפה  2021  פרקים'!E31</f>
        <v>110356000</v>
      </c>
      <c r="D10" s="51">
        <f>'תקציב הנדסה 2021 פרקים'!F85+'תקציב החברה לפיתוח 2021 פרקים'!F65+'תקציב אגף ת.ב.ל 2021 פרקים'!F9+'תקציב אגף בטחון פיקוח סד"צ  פרק'!F7+'תקציב אגף תקשוב 2021 פרקים'!F8+'תקציב אגף תקשוב 2021 פרקים'!F14+'תקציב מינהל כללי 2021 פרקים'!F14+'תקציב אגף שאיפה  2021  פרקים'!F31</f>
        <v>34230000</v>
      </c>
      <c r="E10" s="51">
        <f>'תקציב הנדסה 2021 פרקים'!G85+'תקציב החברה לפיתוח 2021 פרקים'!G65+'תקציב אגף ת.ב.ל 2021 פרקים'!G9+'תקציב אגף בטחון פיקוח סד"צ  פרק'!G7+'תקציב אגף תקשוב 2021 פרקים'!G8+'תקציב אגף תקשוב 2021 פרקים'!G14+'תקציב מינהל כללי 2021 פרקים'!G14+'תקציב אגף שאיפה  2021  פרקים'!G31</f>
        <v>92746000</v>
      </c>
      <c r="F10" s="51">
        <f>'תקציב הנדסה 2021 פרקים'!H85+'תקציב החברה לפיתוח 2021 פרקים'!H65+'תקציב אגף ת.ב.ל 2021 פרקים'!H9+'תקציב אגף בטחון פיקוח סד"צ  פרק'!H7+'תקציב אגף תקשוב 2021 פרקים'!H8+'תקציב אגף תקשוב 2021 פרקים'!H14+'תקציב מינהל כללי 2021 פרקים'!H14+'תקציב אגף שאיפה  2021  פרקים'!H31</f>
        <v>78750277</v>
      </c>
      <c r="G10" s="51">
        <f>'תקציב הנדסה 2021 פרקים'!I85+'תקציב החברה לפיתוח 2021 פרקים'!I65+'תקציב אגף ת.ב.ל 2021 פרקים'!I9+'תקציב אגף בטחון פיקוח סד"צ  פרק'!I7+'תקציב אגף תקשוב 2021 פרקים'!I8+'תקציב אגף תקשוב 2021 פרקים'!I14+'תקציב מינהל כללי 2021 פרקים'!I14+'תקציב אגף שאיפה  2021  פרקים'!I31</f>
        <v>0</v>
      </c>
      <c r="H10" s="51">
        <f>'תקציב הנדסה 2021 פרקים'!J85+'תקציב החברה לפיתוח 2021 פרקים'!J65+'תקציב אגף ת.ב.ל 2021 פרקים'!J9+'תקציב אגף בטחון פיקוח סד"צ  פרק'!J7+'תקציב אגף תקשוב 2021 פרקים'!J8+'תקציב אגף תקשוב 2021 פרקים'!J14+'תקציב מינהל כללי 2021 פרקים'!J14+'תקציב אגף שאיפה  2021  פרקים'!J31</f>
        <v>6794590</v>
      </c>
      <c r="I10" s="51">
        <f>'תקציב הנדסה 2021 פרקים'!K85+'תקציב החברה לפיתוח 2021 פרקים'!K65+'תקציב אגף ת.ב.ל 2021 פרקים'!K9+'תקציב אגף בטחון פיקוח סד"צ  פרק'!K7+'תקציב אגף תקשוב 2021 פרקים'!K8+'תקציב אגף תקשוב 2021 פרקים'!K14+'תקציב מינהל כללי 2021 פרקים'!K14+'תקציב אגף שאיפה  2021  פרקים'!K31</f>
        <v>6794590</v>
      </c>
      <c r="J10" s="51">
        <f>'תקציב הנדסה 2021 פרקים'!L85+'תקציב החברה לפיתוח 2021 פרקים'!L65+'תקציב אגף ת.ב.ל 2021 פרקים'!L9+'תקציב אגף בטחון פיקוח סד"צ  פרק'!L7+'תקציב אגף תקשוב 2021 פרקים'!L8+'תקציב אגף תקשוב 2021 פרקים'!L14+'תקציב מינהל כללי 2021 פרקים'!L14+'תקציב אגף שאיפה  2021  פרקים'!L31</f>
        <v>85544867</v>
      </c>
      <c r="K10" s="51">
        <f>'תקציב הנדסה 2021 פרקים'!M85+'תקציב החברה לפיתוח 2021 פרקים'!M65+'תקציב אגף ת.ב.ל 2021 פרקים'!M9+'תקציב אגף בטחון פיקוח סד"צ  פרק'!M7+'תקציב אגף תקשוב 2021 פרקים'!M8+'תקציב אגף תקשוב 2021 פרקים'!M14+'תקציב מינהל כללי 2021 פרקים'!M14+'תקציב אגף שאיפה  2021  פרקים'!M31</f>
        <v>5591133</v>
      </c>
      <c r="L10" s="51">
        <f>'תקציב הנדסה 2021 פרקים'!N85+'תקציב החברה לפיתוח 2021 פרקים'!N65+'תקציב אגף ת.ב.ל 2021 פרקים'!N9+'תקציב אגף בטחון פיקוח סד"צ  פרק'!N7+'תקציב אגף תקשוב 2021 פרקים'!N8+'תקציב אגף תקשוב 2021 פרקים'!N14+'תקציב מינהל כללי 2021 פרקים'!N14+'תקציב אגף שאיפה  2021  פרקים'!N31</f>
        <v>21780000</v>
      </c>
      <c r="M10" s="51">
        <f>'תקציב הנדסה 2021 פרקים'!O85+'תקציב החברה לפיתוח 2021 פרקים'!O65+'תקציב אגף ת.ב.ל 2021 פרקים'!O9+'תקציב אגף בטחון פיקוח סד"צ  פרק'!O7+'תקציב אגף תקשוב 2021 פרקים'!O8+'תקציב אגף תקשוב 2021 פרקים'!O14+'תקציב מינהל כללי 2021 פרקים'!O14+'תקציב אגף שאיפה  2021  פרקים'!O31</f>
        <v>31670000</v>
      </c>
      <c r="N10" s="51">
        <f>'תקציב הנדסה 2021 פרקים'!P85+'תקציב החברה לפיתוח 2021 פרקים'!P65+'תקציב אגף ת.ב.ל 2021 פרקים'!P9+'תקציב אגף בטחון פיקוח סד"צ  פרק'!P7+'תקציב אגף תקשוב 2021 פרקים'!P8+'תקציב אגף תקשוב 2021 פרקים'!P14+'תקציב מינהל כללי 2021 פרקים'!P14+'תקציב אגף שאיפה  2021  פרקים'!P31</f>
        <v>7201133</v>
      </c>
      <c r="O10" s="51">
        <f>'תקציב הנדסה 2021 פרקים'!Q85+'תקציב החברה לפיתוח 2021 פרקים'!Q65+'תקציב אגף ת.ב.ל 2021 פרקים'!Q9+'תקציב אגף בטחון פיקוח סד"צ  פרק'!Q7+'תקציב אגף תקשוב 2021 פרקים'!Q8+'תקציב אגף תקשוב 2021 פרקים'!Q14+'תקציב מינהל כללי 2021 פרקים'!Q14+'תקציב אגף שאיפה  2021  פרקים'!Q31</f>
        <v>0</v>
      </c>
      <c r="P10" s="51">
        <f>'תקציב הנדסה 2021 פרקים'!R85+'תקציב החברה לפיתוח 2021 פרקים'!R65+'תקציב אגף ת.ב.ל 2021 פרקים'!R9+'תקציב אגף בטחון פיקוח סד"צ  פרק'!R7+'תקציב אגף תקשוב 2021 פרקים'!R8+'תקציב אגף תקשוב 2021 פרקים'!R14+'תקציב מינהל כללי 2021 פרקים'!R14+'תקציב אגף שאיפה  2021  פרקים'!R31</f>
        <v>0</v>
      </c>
      <c r="Q10" s="51">
        <f>'תקציב הנדסה 2021 פרקים'!S85+'תקציב החברה לפיתוח 2021 פרקים'!S65+'תקציב אגף ת.ב.ל 2021 פרקים'!S9+'תקציב אגף בטחון פיקוח סד"צ  פרק'!S7+'תקציב אגף תקשוב 2021 פרקים'!S8+'תקציב אגף תקשוב 2021 פרקים'!S14+'תקציב מינהל כללי 2021 פרקים'!S14+'תקציב אגף שאיפה  2021  פרקים'!S31</f>
        <v>0</v>
      </c>
      <c r="R10" s="51">
        <f>'תקציב הנדסה 2021 פרקים'!T85+'תקציב החברה לפיתוח 2021 פרקים'!T65+'תקציב אגף ת.ב.ל 2021 פרקים'!T9+'תקציב אגף בטחון פיקוח סד"צ  פרק'!T7+'תקציב אגף תקשוב 2021 פרקים'!T8+'תקציב אגף תקשוב 2021 פרקים'!T14+'תקציב מינהל כללי 2021 פרקים'!T14+'תקציב אגף שאיפה  2021  פרקים'!T31</f>
        <v>1610000</v>
      </c>
      <c r="S10" s="51">
        <f>'תקציב הנדסה 2021 פרקים'!U85+'תקציב החברה לפיתוח 2021 פרקים'!U65+'תקציב אגף ת.ב.ל 2021 פרקים'!U9+'תקציב אגף בטחון פיקוח סד"צ  פרק'!U7+'תקציב אגף תקשוב 2021 פרקים'!U8+'תקציב אגף תקשוב 2021 פרקים'!U14+'תקציב מינהל כללי 2021 פרקים'!U14+'תקציב אגף שאיפה  2021  פרקים'!U31</f>
        <v>20170000</v>
      </c>
      <c r="T10" s="51">
        <f>'תקציב הנדסה 2021 פרקים'!V85+'תקציב החברה לפיתוח 2021 פרקים'!V65+'תקציב אגף ת.ב.ל 2021 פרקים'!V9+'תקציב אגף בטחון פיקוח סד"צ  פרק'!V7+'תקציב אגף תקשוב 2021 פרקים'!V8+'תקציב אגף תקשוב 2021 פרקים'!V14+'תקציב מינהל כללי 2021 פרקים'!V14+'תקציב אגף שאיפה  2021  פרקים'!V31</f>
        <v>5450000</v>
      </c>
      <c r="U10" s="51">
        <f>'תקציב הנדסה 2021 פרקים'!W85+'תקציב החברה לפיתוח 2021 פרקים'!W65+'תקציב אגף ת.ב.ל 2021 פרקים'!W9+'תקציב אגף בטחון פיקוח סד"צ  פרק'!W7+'תקציב אגף תקשוב 2021 פרקים'!W8+'תקציב אגף תקשוב 2021 פרקים'!W14+'תקציב מינהל כללי 2021 פרקים'!W14+'תקציב אגף שאיפה  2021  פרקים'!W31</f>
        <v>2720000</v>
      </c>
      <c r="V10" s="51">
        <f>'תקציב הנדסה 2021 פרקים'!X85+'תקציב החברה לפיתוח 2021 פרקים'!X65+'תקציב אגף ת.ב.ל 2021 פרקים'!X9+'תקציב אגף בטחון פיקוח סד"צ  פרק'!X7+'תקציב אגף תקשוב 2021 פרקים'!X8+'תקציב אגף תקשוב 2021 פרקים'!X14+'תקציב מינהל כללי 2021 פרקים'!X14+'תקציב אגף שאיפה  2021  פרקים'!X31</f>
        <v>0</v>
      </c>
      <c r="W10" s="51">
        <f>'תקציב הנדסה 2021 פרקים'!Y85+'תקציב החברה לפיתוח 2021 פרקים'!Y65+'תקציב אגף ת.ב.ל 2021 פרקים'!Y9+'תקציב אגף בטחון פיקוח סד"צ  פרק'!Y7+'תקציב אגף תקשוב 2021 פרקים'!Y8+'תקציב אגף תקשוב 2021 פרקים'!Y14+'תקציב מינהל כללי 2021 פרקים'!Y14+'תקציב אגף שאיפה  2021  פרקים'!Y31</f>
        <v>0</v>
      </c>
      <c r="X10" s="51">
        <f>'תקציב הנדסה 2021 פרקים'!Z85+'תקציב החברה לפיתוח 2021 פרקים'!Z65+'תקציב אגף ת.ב.ל 2021 פרקים'!Z9+'תקציב אגף בטחון פיקוח סד"צ  פרק'!Z7+'תקציב אגף תקשוב 2021 פרקים'!Z8+'תקציב אגף תקשוב 2021 פרקים'!Z14+'תקציב מינהל כללי 2021 פרקים'!Z14+'תקציב אגף שאיפה  2021  פרקים'!Z31</f>
        <v>0</v>
      </c>
      <c r="Y10" s="669">
        <f>'תקציב הנדסה 2021 פרקים'!AA85+'תקציב החברה לפיתוח 2021 פרקים'!AA65+'תקציב אגף ת.ב.ל 2021 פרקים'!AA9+'תקציב אגף בטחון פיקוח סד"צ  פרק'!AA7+'תקציב אגף תקשוב 2021 פרקים'!AA8+'תקציב אגף תקשוב 2021 פרקים'!AA14+'תקציב מינהל כללי 2021 פרקים'!AA14+'תקציב אגף שאיפה  2021  פרקים'!AA31</f>
        <v>12000000</v>
      </c>
    </row>
    <row r="11" spans="1:26" s="53" customFormat="1" ht="27" customHeight="1">
      <c r="A11" s="670" t="s">
        <v>580</v>
      </c>
      <c r="B11" s="51">
        <f>'תקציב החברה לפיתוח 2021 פרקים'!D97+'תקציב אגף ת.ב.ל 2021 פרקים'!D48+'תקציב אגף חינוך 2021  פרקים'!D26+'תקציב אגף שאיפה  2021  פרקים'!D37+'תקציב אגף תקשוב 2021 פרקים'!D18</f>
        <v>1315627921</v>
      </c>
      <c r="C11" s="51">
        <f>'תקציב החברה לפיתוח 2021 פרקים'!E97+'תקציב אגף ת.ב.ל 2021 פרקים'!E48+'תקציב אגף חינוך 2021  פרקים'!E26+'תקציב אגף שאיפה  2021  פרקים'!E37+'תקציב אגף תקשוב 2021 פרקים'!E18</f>
        <v>1164685825</v>
      </c>
      <c r="D11" s="51">
        <f>'תקציב החברה לפיתוח 2021 פרקים'!F97+'תקציב אגף ת.ב.ל 2021 פרקים'!F48+'תקציב אגף חינוך 2021  פרקים'!F26+'תקציב אגף שאיפה  2021  פרקים'!F37+'תקציב אגף תקשוב 2021 פרקים'!F18</f>
        <v>150942096</v>
      </c>
      <c r="E11" s="51">
        <f>'תקציב החברה לפיתוח 2021 פרקים'!G97+'תקציב אגף ת.ב.ל 2021 פרקים'!G48+'תקציב אגף חינוך 2021  פרקים'!G26+'תקציב אגף שאיפה  2021  פרקים'!G37+'תקציב אגף תקשוב 2021 פרקים'!G18</f>
        <v>296525017</v>
      </c>
      <c r="F11" s="51">
        <f>'תקציב החברה לפיתוח 2021 פרקים'!H97+'תקציב אגף ת.ב.ל 2021 פרקים'!H48+'תקציב אגף חינוך 2021  פרקים'!H26+'תקציב אגף שאיפה  2021  פרקים'!H37+'תקציב אגף תקשוב 2021 פרקים'!H18</f>
        <v>173451463</v>
      </c>
      <c r="G11" s="51">
        <f>'תקציב החברה לפיתוח 2021 פרקים'!I97+'תקציב אגף ת.ב.ל 2021 פרקים'!I48+'תקציב אגף חינוך 2021  פרקים'!I26+'תקציב אגף שאיפה  2021  פרקים'!I37+'תקציב אגף תקשוב 2021 פרקים'!I18</f>
        <v>10160424</v>
      </c>
      <c r="H11" s="51">
        <f>'תקציב החברה לפיתוח 2021 פרקים'!J97+'תקציב אגף ת.ב.ל 2021 פרקים'!J48+'תקציב אגף חינוך 2021  פרקים'!J26+'תקציב אגף שאיפה  2021  פרקים'!J37+'תקציב אגף תקשוב 2021 פרקים'!J18</f>
        <v>29944569</v>
      </c>
      <c r="I11" s="51">
        <f>'תקציב החברה לפיתוח 2021 פרקים'!K97+'תקציב אגף ת.ב.ל 2021 פרקים'!K48+'תקציב אגף חינוך 2021  פרקים'!K26+'תקציב אגף שאיפה  2021  פרקים'!K37+'תקציב אגף תקשוב 2021 פרקים'!K18</f>
        <v>40104993</v>
      </c>
      <c r="J11" s="51">
        <f>'תקציב החברה לפיתוח 2021 פרקים'!L97+'תקציב אגף ת.ב.ל 2021 פרקים'!L48+'תקציב אגף חינוך 2021  פרקים'!L26+'תקציב אגף שאיפה  2021  פרקים'!L37+'תקציב אגף תקשוב 2021 פרקים'!L18</f>
        <v>213556456</v>
      </c>
      <c r="K11" s="51">
        <f>'תקציב החברה לפיתוח 2021 פרקים'!M97+'תקציב אגף ת.ב.ל 2021 פרקים'!M48+'תקציב אגף חינוך 2021  פרקים'!M26+'תקציב אגף שאיפה  2021  פרקים'!M37+'תקציב אגף תקשוב 2021 פרקים'!M18</f>
        <v>157280657</v>
      </c>
      <c r="L11" s="51">
        <f>'תקציב החברה לפיתוח 2021 פרקים'!N97+'תקציב אגף ת.ב.ל 2021 פרקים'!N48+'תקציב אגף חינוך 2021  פרקים'!N26+'תקציב אגף שאיפה  2021  פרקים'!N37+'תקציב אגף תקשוב 2021 פרקים'!N18</f>
        <v>246495808</v>
      </c>
      <c r="M11" s="51">
        <f>'תקציב החברה לפיתוח 2021 פרקים'!O97+'תקציב אגף ת.ב.ל 2021 פרקים'!O48+'תקציב אגף חינוך 2021  פרקים'!O26+'תקציב אגף שאיפה  2021  פרקים'!O37+'תקציב אגף תקשוב 2021 פרקים'!O18</f>
        <v>698295000</v>
      </c>
      <c r="N11" s="51">
        <f>'תקציב החברה לפיתוח 2021 פרקים'!P97+'תקציב אגף ת.ב.ל 2021 פרקים'!P48+'תקציב אגף חינוך 2021  פרקים'!P26+'תקציב אגף שאיפה  2021  פרקים'!P37+'תקציב אגף תקשוב 2021 פרקים'!P18</f>
        <v>82968561</v>
      </c>
      <c r="O11" s="51">
        <f>'תקציב החברה לפיתוח 2021 פרקים'!Q97+'תקציב אגף ת.ב.ל 2021 פרקים'!Q48+'תקציב אגף חינוך 2021  פרקים'!Q26+'תקציב אגף שאיפה  2021  פרקים'!Q37+'תקציב אגף תקשוב 2021 פרקים'!Q18</f>
        <v>74272096</v>
      </c>
      <c r="P11" s="51">
        <f>'תקציב החברה לפיתוח 2021 פרקים'!R97+'תקציב אגף ת.ב.ל 2021 פרקים'!R48+'תקציב אגף חינוך 2021  פרקים'!R26+'תקציב אגף שאיפה  2021  פרקים'!R37+'תקציב אגף תקשוב 2021 פרקים'!R18</f>
        <v>1000000</v>
      </c>
      <c r="Q11" s="51">
        <f>'תקציב החברה לפיתוח 2021 פרקים'!S97+'תקציב אגף ת.ב.ל 2021 פרקים'!S48+'תקציב אגף חינוך 2021  פרקים'!S26+'תקציב אגף שאיפה  2021  פרקים'!S37+'תקציב אגף תקשוב 2021 פרקים'!S18</f>
        <v>75272096</v>
      </c>
      <c r="R11" s="51">
        <f>'תקציב החברה לפיתוח 2021 פרקים'!T97+'תקציב אגף ת.ב.ל 2021 פרקים'!T48+'תקציב אגף חינוך 2021  פרקים'!T26+'תקציב אגף שאיפה  2021  פרקים'!T37+'תקציב אגף תקשוב 2021 פרקים'!T18</f>
        <v>960000</v>
      </c>
      <c r="S11" s="51">
        <f>'תקציב החברה לפיתוח 2021 פרקים'!U97+'תקציב אגף ת.ב.ל 2021 פרקים'!U48+'תקציב אגף חינוך 2021  פרקים'!U26+'תקציב אגף שאיפה  2021  פרקים'!U37+'תקציב אגף תקשוב 2021 פרקים'!U18</f>
        <v>245535808</v>
      </c>
      <c r="T11" s="51">
        <f>'תקציב החברה לפיתוח 2021 פרקים'!V97+'תקציב אגף ת.ב.ל 2021 פרקים'!V48+'תקציב אגף חינוך 2021  פרקים'!V26+'תקציב אגף שאיפה  2021  פרקים'!V37+'תקציב אגף תקשוב 2021 פרקים'!V18</f>
        <v>117387747</v>
      </c>
      <c r="U11" s="51">
        <f>'תקציב החברה לפיתוח 2021 פרקים'!W97+'תקציב אגף ת.ב.ל 2021 פרקים'!W48+'תקציב אגף חינוך 2021  פרקים'!W26+'תקציב אגף שאיפה  2021  פרקים'!W37+'תקציב אגף תקשוב 2021 פרקים'!W18</f>
        <v>19506000</v>
      </c>
      <c r="V11" s="51">
        <f>'תקציב החברה לפיתוח 2021 פרקים'!X97+'תקציב אגף ת.ב.ל 2021 פרקים'!X48+'תקציב אגף חינוך 2021  פרקים'!X26+'תקציב אגף שאיפה  2021  פרקים'!X37+'תקציב אגף תקשוב 2021 פרקים'!X18</f>
        <v>0</v>
      </c>
      <c r="W11" s="51">
        <f>'תקציב החברה לפיתוח 2021 פרקים'!Y97+'תקציב אגף ת.ב.ל 2021 פרקים'!Y48+'תקציב אגף חינוך 2021  פרקים'!Y26+'תקציב אגף שאיפה  2021  פרקים'!Y37+'תקציב אגף תקשוב 2021 פרקים'!Y18</f>
        <v>33000000</v>
      </c>
      <c r="X11" s="51">
        <f>'תקציב החברה לפיתוח 2021 פרקים'!Z97+'תקציב אגף ת.ב.ל 2021 פרקים'!Z48+'תקציב אגף חינוך 2021  פרקים'!Z26+'תקציב אגף שאיפה  2021  פרקים'!Z37+'תקציב אגף תקשוב 2021 פרקים'!Z18</f>
        <v>0</v>
      </c>
      <c r="Y11" s="669">
        <f>'תקציב החברה לפיתוח 2021 פרקים'!AA97+'תקציב אגף ת.ב.ל 2021 פרקים'!AA48+'תקציב אגף חינוך 2021  פרקים'!AA26+'תקציב אגף שאיפה  2021  פרקים'!AA37+'תקציב אגף תקשוב 2021 פרקים'!AA18</f>
        <v>75642061</v>
      </c>
    </row>
    <row r="12" spans="1:26" s="53" customFormat="1" ht="27" customHeight="1">
      <c r="A12" s="670" t="s">
        <v>581</v>
      </c>
      <c r="B12" s="51">
        <f>'תקציב החברה לפיתוח 2021 פרקים'!D114+'תקציב אגף ת.ב.ל 2021 פרקים'!D52+'תקציב אגף תנוס 2021 פרק'!D13+'תקציב אגף שאיפה  2021  פרקים'!D39</f>
        <v>346411229</v>
      </c>
      <c r="C12" s="51">
        <f>'תקציב החברה לפיתוח 2021 פרקים'!E114+'תקציב אגף ת.ב.ל 2021 פרקים'!E52+'תקציב אגף תנוס 2021 פרק'!E13+'תקציב אגף שאיפה  2021  פרקים'!E39</f>
        <v>350870229</v>
      </c>
      <c r="D12" s="51">
        <f>'תקציב החברה לפיתוח 2021 פרקים'!F114+'תקציב אגף ת.ב.ל 2021 פרקים'!F52+'תקציב אגף תנוס 2021 פרק'!F13+'תקציב אגף שאיפה  2021  פרקים'!F39</f>
        <v>-4459000</v>
      </c>
      <c r="E12" s="51">
        <f>'תקציב החברה לפיתוח 2021 פרקים'!G114+'תקציב אגף ת.ב.ל 2021 פרקים'!G52+'תקציב אגף תנוס 2021 פרק'!G13+'תקציב אגף שאיפה  2021  פרקים'!G39</f>
        <v>160753100</v>
      </c>
      <c r="F12" s="51">
        <f>'תקציב החברה לפיתוח 2021 פרקים'!H114+'תקציב אגף ת.ב.ל 2021 פרקים'!H52+'תקציב אגף תנוס 2021 פרק'!H13+'תקציב אגף שאיפה  2021  פרקים'!H39</f>
        <v>89190782</v>
      </c>
      <c r="G12" s="51">
        <f>'תקציב החברה לפיתוח 2021 פרקים'!I114+'תקציב אגף ת.ב.ל 2021 פרקים'!I52+'תקציב אגף תנוס 2021 פרק'!I13+'תקציב אגף שאיפה  2021  פרקים'!I39</f>
        <v>1881957</v>
      </c>
      <c r="H12" s="51">
        <f>'תקציב החברה לפיתוח 2021 פרקים'!J114+'תקציב אגף ת.ב.ל 2021 פרקים'!J52+'תקציב אגף תנוס 2021 פרק'!J13+'תקציב אגף שאיפה  2021  פרקים'!J39</f>
        <v>6380219</v>
      </c>
      <c r="I12" s="51">
        <f>'תקציב החברה לפיתוח 2021 פרקים'!K114+'תקציב אגף ת.ב.ל 2021 פרקים'!K52+'תקציב אגף תנוס 2021 פרק'!K13+'תקציב אגף שאיפה  2021  פרקים'!K39</f>
        <v>8262176</v>
      </c>
      <c r="J12" s="51">
        <f>'תקציב החברה לפיתוח 2021 פרקים'!L114+'תקציב אגף ת.ב.ל 2021 פרקים'!L52+'תקציב אגף תנוס 2021 פרק'!L13+'תקציב אגף שאיפה  2021  פרקים'!L39</f>
        <v>97452958</v>
      </c>
      <c r="K12" s="51">
        <f>'תקציב החברה לפיתוח 2021 פרקים'!M114+'תקציב אגף ת.ב.ל 2021 פרקים'!M52+'תקציב אגף תנוס 2021 פרק'!M13+'תקציב אגף שאיפה  2021  פרקים'!M39</f>
        <v>59500142</v>
      </c>
      <c r="L12" s="51">
        <f>'תקציב החברה לפיתוח 2021 פרקים'!N114+'תקציב אגף ת.ב.ל 2021 פרקים'!N52+'תקציב אגף תנוס 2021 פרק'!N13+'תקציב אגף שאיפה  2021  פרקים'!N39</f>
        <v>49551160</v>
      </c>
      <c r="M12" s="51">
        <f>'תקציב החברה לפיתוח 2021 פרקים'!O114+'תקציב אגף ת.ב.ל 2021 פרקים'!O52+'תקציב אגף תנוס 2021 פרק'!O13+'תקציב אגף שאיפה  2021  פרקים'!O39</f>
        <v>139906969</v>
      </c>
      <c r="N12" s="51">
        <f>'תקציב החברה לפיתוח 2021 פרקים'!P114+'תקציב אגף ת.ב.ל 2021 פרקים'!P52+'תקציב אגף תנוס 2021 פרק'!P13+'תקציב אגף שאיפה  2021  פרקים'!P39</f>
        <v>63300142</v>
      </c>
      <c r="O12" s="51">
        <f>'תקציב החברה לפיתוח 2021 פרקים'!Q114+'תקציב אגף ת.ב.ל 2021 פרקים'!Q52+'תקציב אגף תנוס 2021 פרק'!Q13+'תקציב אגף שאיפה  2021  פרקים'!Q39</f>
        <v>0</v>
      </c>
      <c r="P12" s="51">
        <f>'תקציב החברה לפיתוח 2021 פרקים'!R114+'תקציב אגף ת.ב.ל 2021 פרקים'!R52+'תקציב אגף תנוס 2021 פרק'!R13+'תקציב אגף שאיפה  2021  פרקים'!R39</f>
        <v>0</v>
      </c>
      <c r="Q12" s="51">
        <f>'תקציב החברה לפיתוח 2021 פרקים'!S114+'תקציב אגף ת.ב.ל 2021 פרקים'!S52+'תקציב אגף תנוס 2021 פרק'!S13+'תקציב אגף שאיפה  2021  פרקים'!S39</f>
        <v>0</v>
      </c>
      <c r="R12" s="51">
        <f>'תקציב החברה לפיתוח 2021 פרקים'!T114+'תקציב אגף ת.ב.ל 2021 פרקים'!T52+'תקציב אגף תנוס 2021 פרק'!T13+'תקציב אגף שאיפה  2021  פרקים'!T39</f>
        <v>3800000</v>
      </c>
      <c r="S12" s="51">
        <f>'תקציב החברה לפיתוח 2021 פרקים'!U114+'תקציב אגף ת.ב.ל 2021 פרקים'!U52+'תקציב אגף תנוס 2021 פרק'!U13+'תקציב אגף שאיפה  2021  פרקים'!U39</f>
        <v>45751160</v>
      </c>
      <c r="T12" s="51">
        <f>'תקציב החברה לפיתוח 2021 פרקים'!V114+'תקציב אגף ת.ב.ל 2021 פרקים'!V52+'תקציב אגף תנוס 2021 פרק'!V13+'תקציב אגף שאיפה  2021  פרקים'!V39</f>
        <v>42281160</v>
      </c>
      <c r="U12" s="51">
        <f>'תקציב החברה לפיתוח 2021 פרקים'!W114+'תקציב אגף ת.ב.ל 2021 פרקים'!W52+'תקציב אגף תנוס 2021 פרק'!W13+'תקציב אגף שאיפה  2021  פרקים'!W39</f>
        <v>1470000</v>
      </c>
      <c r="V12" s="51">
        <f>'תקציב החברה לפיתוח 2021 פרקים'!X114+'תקציב אגף ת.ב.ל 2021 פרקים'!X52+'תקציב אגף תנוס 2021 פרק'!X13+'תקציב אגף שאיפה  2021  פרקים'!X39</f>
        <v>0</v>
      </c>
      <c r="W12" s="51">
        <f>'תקציב החברה לפיתוח 2021 פרקים'!Y114+'תקציב אגף ת.ב.ל 2021 פרקים'!Y52+'תקציב אגף תנוס 2021 פרק'!Y13+'תקציב אגף שאיפה  2021  פרקים'!Y39</f>
        <v>0</v>
      </c>
      <c r="X12" s="51">
        <f>'תקציב החברה לפיתוח 2021 פרקים'!Z114+'תקציב אגף ת.ב.ל 2021 פרקים'!Z52+'תקציב אגף תנוס 2021 פרק'!Z13+'תקציב אגף שאיפה  2021  פרקים'!Z39</f>
        <v>0</v>
      </c>
      <c r="Y12" s="669">
        <f>'תקציב החברה לפיתוח 2021 פרקים'!AA114+'תקציב אגף ת.ב.ל 2021 פרקים'!AA52+'תקציב אגף תנוס 2021 פרק'!AA13+'תקציב אגף שאיפה  2021  פרקים'!AA39</f>
        <v>2000000</v>
      </c>
    </row>
    <row r="13" spans="1:26" s="53" customFormat="1" ht="27" customHeight="1">
      <c r="A13" s="670" t="s">
        <v>585</v>
      </c>
      <c r="B13" s="51">
        <f>'תקציב החברה לפיתוח 2021 פרקים'!D118+'תקציב אגף ת.ב.ל 2021 פרקים'!D54+'תקציב מינהל כללי 2021 פרקים'!D16</f>
        <v>31124000</v>
      </c>
      <c r="C13" s="51">
        <f>'תקציב החברה לפיתוח 2021 פרקים'!E118+'תקציב אגף ת.ב.ל 2021 פרקים'!E54+'תקציב מינהל כללי 2021 פרקים'!E16</f>
        <v>16774000</v>
      </c>
      <c r="D13" s="51">
        <f>'תקציב החברה לפיתוח 2021 פרקים'!F118+'תקציב אגף ת.ב.ל 2021 פרקים'!F54+'תקציב מינהל כללי 2021 פרקים'!F16</f>
        <v>14350000</v>
      </c>
      <c r="E13" s="51">
        <f>'תקציב החברה לפיתוח 2021 פרקים'!G118+'תקציב אגף ת.ב.ל 2021 פרקים'!G54+'תקציב מינהל כללי 2021 פרקים'!G16</f>
        <v>4324000</v>
      </c>
      <c r="F13" s="51">
        <f>'תקציב החברה לפיתוח 2021 פרקים'!H118+'תקציב אגף ת.ב.ל 2021 פרקים'!H54+'תקציב מינהל כללי 2021 פרקים'!H16</f>
        <v>1314404</v>
      </c>
      <c r="G13" s="51">
        <f>'תקציב החברה לפיתוח 2021 פרקים'!I118+'תקציב אגף ת.ב.ל 2021 פרקים'!I54+'תקציב מינהל כללי 2021 פרקים'!I16</f>
        <v>0</v>
      </c>
      <c r="H13" s="51">
        <f>'תקציב החברה לפיתוח 2021 פרקים'!J118+'תקציב אגף ת.ב.ל 2021 פרקים'!J54+'תקציב מינהל כללי 2021 פרקים'!J16</f>
        <v>1124528</v>
      </c>
      <c r="I13" s="51">
        <f>'תקציב החברה לפיתוח 2021 פרקים'!K118+'תקציב אגף ת.ב.ל 2021 פרקים'!K54+'תקציב מינהל כללי 2021 פרקים'!K16</f>
        <v>1124528</v>
      </c>
      <c r="J13" s="51">
        <f>'תקציב החברה לפיתוח 2021 פרקים'!L118+'תקציב אגף ת.ב.ל 2021 פרקים'!L54+'תקציב מינהל כללי 2021 פרקים'!L16</f>
        <v>2438932</v>
      </c>
      <c r="K13" s="51">
        <f>'תקציב החברה לפיתוח 2021 פרקים'!M118+'תקציב אגף ת.ב.ל 2021 פרקים'!M54+'תקציב מינהל כללי 2021 פרקים'!M16</f>
        <v>1885068</v>
      </c>
      <c r="L13" s="51">
        <f>'תקציב החברה לפיתוח 2021 פרקים'!N118+'תקציב אגף ת.ב.ל 2021 פרקים'!N54+'תקציב מינהל כללי 2021 פרקים'!N16</f>
        <v>2600000</v>
      </c>
      <c r="M13" s="51">
        <f>'תקציב החברה לפיתוח 2021 פרקים'!O118+'תקציב אגף ת.ב.ל 2021 פרקים'!O54+'תקציב מינהל כללי 2021 פרקים'!O16</f>
        <v>24200000</v>
      </c>
      <c r="N13" s="51">
        <f>'תקציב החברה לפיתוח 2021 פרקים'!P118+'תקציב אגף ת.ב.ל 2021 פרקים'!P54+'תקציב מינהל כללי 2021 פרקים'!P16</f>
        <v>1885068</v>
      </c>
      <c r="O13" s="51">
        <f>'תקציב החברה לפיתוח 2021 פרקים'!Q118+'תקציב אגף ת.ב.ל 2021 פרקים'!Q54+'תקציב מינהל כללי 2021 פרקים'!Q16</f>
        <v>0</v>
      </c>
      <c r="P13" s="51">
        <f>'תקציב החברה לפיתוח 2021 פרקים'!R118+'תקציב אגף ת.ב.ל 2021 פרקים'!R54+'תקציב מינהל כללי 2021 פרקים'!R16</f>
        <v>0</v>
      </c>
      <c r="Q13" s="51">
        <f>'תקציב החברה לפיתוח 2021 פרקים'!S118+'תקציב אגף ת.ב.ל 2021 פרקים'!S54+'תקציב מינהל כללי 2021 פרקים'!S16</f>
        <v>0</v>
      </c>
      <c r="R13" s="51">
        <f>'תקציב החברה לפיתוח 2021 פרקים'!T118+'תקציב אגף ת.ב.ל 2021 פרקים'!T54+'תקציב מינהל כללי 2021 פרקים'!T16</f>
        <v>0</v>
      </c>
      <c r="S13" s="51">
        <f>'תקציב החברה לפיתוח 2021 פרקים'!U118+'תקציב אגף ת.ב.ל 2021 פרקים'!U54+'תקציב מינהל כללי 2021 פרקים'!U16</f>
        <v>2600000</v>
      </c>
      <c r="T13" s="51">
        <f>'תקציב החברה לפיתוח 2021 פרקים'!V118+'תקציב אגף ת.ב.ל 2021 פרקים'!V54+'תקציב מינהל כללי 2021 פרקים'!V16</f>
        <v>2600000</v>
      </c>
      <c r="U13" s="51">
        <f>'תקציב החברה לפיתוח 2021 פרקים'!W118+'תקציב אגף ת.ב.ל 2021 פרקים'!W54+'תקציב מינהל כללי 2021 פרקים'!W16</f>
        <v>0</v>
      </c>
      <c r="V13" s="51">
        <f>'תקציב החברה לפיתוח 2021 פרקים'!X118+'תקציב אגף ת.ב.ל 2021 פרקים'!X54+'תקציב מינהל כללי 2021 פרקים'!X16</f>
        <v>0</v>
      </c>
      <c r="W13" s="51">
        <f>'תקציב החברה לפיתוח 2021 פרקים'!Y118+'תקציב אגף ת.ב.ל 2021 פרקים'!Y54+'תקציב מינהל כללי 2021 פרקים'!Y16</f>
        <v>0</v>
      </c>
      <c r="X13" s="51">
        <f>'תקציב החברה לפיתוח 2021 פרקים'!Z118+'תקציב אגף ת.ב.ל 2021 פרקים'!Z54+'תקציב מינהל כללי 2021 פרקים'!Z16</f>
        <v>0</v>
      </c>
      <c r="Y13" s="669">
        <f>'תקציב החברה לפיתוח 2021 פרקים'!AA118+'תקציב אגף ת.ב.ל 2021 פרקים'!AA54+'תקציב מינהל כללי 2021 פרקים'!AA16</f>
        <v>0</v>
      </c>
    </row>
    <row r="14" spans="1:26" s="53" customFormat="1" ht="27" customHeight="1">
      <c r="A14" s="668" t="s">
        <v>582</v>
      </c>
      <c r="B14" s="51">
        <f>'תקציב החברה לפיתוח 2021 פרקים'!D123+'תקציב אגף ת.ב.ל 2021 פרקים'!D61</f>
        <v>20520000</v>
      </c>
      <c r="C14" s="51">
        <f>'תקציב החברה לפיתוח 2021 פרקים'!E123+'תקציב אגף ת.ב.ל 2021 פרקים'!E61</f>
        <v>18750000</v>
      </c>
      <c r="D14" s="51">
        <f>'תקציב החברה לפיתוח 2021 פרקים'!F123+'תקציב אגף ת.ב.ל 2021 פרקים'!F61</f>
        <v>1770000</v>
      </c>
      <c r="E14" s="51">
        <f>'תקציב החברה לפיתוח 2021 פרקים'!G123+'תקציב אגף ת.ב.ל 2021 פרקים'!G61</f>
        <v>8130000</v>
      </c>
      <c r="F14" s="51">
        <f>'תקציב החברה לפיתוח 2021 פרקים'!H123+'תקציב אגף ת.ב.ל 2021 פרקים'!H61</f>
        <v>5564915</v>
      </c>
      <c r="G14" s="51">
        <f>'תקציב החברה לפיתוח 2021 פרקים'!I123+'תקציב אגף ת.ב.ל 2021 פרקים'!I61</f>
        <v>224843</v>
      </c>
      <c r="H14" s="51">
        <f>'תקציב החברה לפיתוח 2021 פרקים'!J123+'תקציב אגף ת.ב.ל 2021 פרקים'!J61</f>
        <v>232774</v>
      </c>
      <c r="I14" s="51">
        <f>'תקציב החברה לפיתוח 2021 פרקים'!K123+'תקציב אגף ת.ב.ל 2021 פרקים'!K61</f>
        <v>457617</v>
      </c>
      <c r="J14" s="51">
        <f>'תקציב החברה לפיתוח 2021 פרקים'!L123+'תקציב אגף ת.ב.ל 2021 פרקים'!L61</f>
        <v>6022532</v>
      </c>
      <c r="K14" s="51">
        <f>'תקציב החברה לפיתוח 2021 פרקים'!M123+'תקציב אגף ת.ב.ל 2021 פרקים'!M61</f>
        <v>2107468</v>
      </c>
      <c r="L14" s="51">
        <f>'תקציב החברה לפיתוח 2021 פרקים'!N123+'תקציב אגף ת.ב.ל 2021 פרקים'!N61</f>
        <v>3050000</v>
      </c>
      <c r="M14" s="51">
        <f>'תקציב החברה לפיתוח 2021 פרקים'!O123+'תקציב אגף ת.ב.ל 2021 פרקים'!O61</f>
        <v>9340000</v>
      </c>
      <c r="N14" s="51">
        <f>'תקציב החברה לפיתוח 2021 פרקים'!P123+'תקציב אגף ת.ב.ל 2021 פרקים'!P61</f>
        <v>2107468</v>
      </c>
      <c r="O14" s="51">
        <f>'תקציב החברה לפיתוח 2021 פרקים'!Q123+'תקציב אגף ת.ב.ל 2021 פרקים'!Q61</f>
        <v>0</v>
      </c>
      <c r="P14" s="51">
        <f>'תקציב החברה לפיתוח 2021 פרקים'!R123+'תקציב אגף ת.ב.ל 2021 פרקים'!R61</f>
        <v>0</v>
      </c>
      <c r="Q14" s="51">
        <f>'תקציב החברה לפיתוח 2021 פרקים'!S123+'תקציב אגף ת.ב.ל 2021 פרקים'!S61</f>
        <v>0</v>
      </c>
      <c r="R14" s="51">
        <f>'תקציב החברה לפיתוח 2021 פרקים'!T123+'תקציב אגף ת.ב.ל 2021 פרקים'!T61</f>
        <v>0</v>
      </c>
      <c r="S14" s="51">
        <f>'תקציב החברה לפיתוח 2021 פרקים'!U123+'תקציב אגף ת.ב.ל 2021 פרקים'!U61</f>
        <v>3050000</v>
      </c>
      <c r="T14" s="51">
        <f>'תקציב החברה לפיתוח 2021 פרקים'!V123+'תקציב אגף ת.ב.ל 2021 פרקים'!V61</f>
        <v>2550000</v>
      </c>
      <c r="U14" s="51">
        <f>'תקציב החברה לפיתוח 2021 פרקים'!W123+'תקציב אגף ת.ב.ל 2021 פרקים'!W61</f>
        <v>500000</v>
      </c>
      <c r="V14" s="51">
        <f>'תקציב החברה לפיתוח 2021 פרקים'!X123+'תקציב אגף ת.ב.ל 2021 פרקים'!X61</f>
        <v>0</v>
      </c>
      <c r="W14" s="51">
        <f>'תקציב החברה לפיתוח 2021 פרקים'!Y123+'תקציב אגף ת.ב.ל 2021 פרקים'!Y61</f>
        <v>0</v>
      </c>
      <c r="X14" s="51">
        <f>'תקציב החברה לפיתוח 2021 פרקים'!Z123+'תקציב אגף ת.ב.ל 2021 פרקים'!Z61</f>
        <v>0</v>
      </c>
      <c r="Y14" s="669">
        <f>'תקציב החברה לפיתוח 2021 פרקים'!AA123+'תקציב אגף ת.ב.ל 2021 פרקים'!AA61</f>
        <v>0</v>
      </c>
    </row>
    <row r="15" spans="1:26" s="53" customFormat="1" ht="28">
      <c r="A15" s="668" t="s">
        <v>583</v>
      </c>
      <c r="B15" s="51">
        <f>'תקציב החברה לפיתוח 2021 פרקים'!D125+'תקציב אגף ת.ב.ל 2021 פרקים'!D67+'תקציב אגף שאיפה  2021  פרקים'!D50</f>
        <v>41865559</v>
      </c>
      <c r="C15" s="51">
        <f>'תקציב החברה לפיתוח 2021 פרקים'!E125+'תקציב אגף ת.ב.ל 2021 פרקים'!E67+'תקציב אגף שאיפה  2021  פרקים'!E50</f>
        <v>34324559</v>
      </c>
      <c r="D15" s="51">
        <f>'תקציב החברה לפיתוח 2021 פרקים'!F125+'תקציב אגף ת.ב.ל 2021 פרקים'!F67+'תקציב אגף שאיפה  2021  פרקים'!F50</f>
        <v>7541000</v>
      </c>
      <c r="E15" s="51">
        <f>'תקציב החברה לפיתוח 2021 פרקים'!G125+'תקציב אגף ת.ב.ל 2021 פרקים'!G67+'תקציב אגף שאיפה  2021  פרקים'!G50</f>
        <v>10035559</v>
      </c>
      <c r="F15" s="51">
        <f>'תקציב החברה לפיתוח 2021 פרקים'!H125+'תקציב אגף ת.ב.ל 2021 פרקים'!H67+'תקציב אגף שאיפה  2021  פרקים'!H50</f>
        <v>3482580</v>
      </c>
      <c r="G15" s="51">
        <f>'תקציב החברה לפיתוח 2021 פרקים'!I125+'תקציב אגף ת.ב.ל 2021 פרקים'!I67+'תקציב אגף שאיפה  2021  פרקים'!I50</f>
        <v>3720612</v>
      </c>
      <c r="H15" s="51">
        <f>'תקציב החברה לפיתוח 2021 פרקים'!J125+'תקציב אגף ת.ב.ל 2021 פרקים'!J67+'תקציב אגף שאיפה  2021  פרקים'!J50</f>
        <v>821258</v>
      </c>
      <c r="I15" s="51">
        <f>'תקציב החברה לפיתוח 2021 פרקים'!K125+'תקציב אגף ת.ב.ל 2021 פרקים'!K67+'תקציב אגף שאיפה  2021  פרקים'!K50</f>
        <v>4541870</v>
      </c>
      <c r="J15" s="51">
        <f>'תקציב החברה לפיתוח 2021 פרקים'!L125+'תקציב אגף ת.ב.ל 2021 פרקים'!L67+'תקציב אגף שאיפה  2021  פרקים'!L50</f>
        <v>8024450</v>
      </c>
      <c r="K15" s="51">
        <f>'תקציב החברה לפיתוח 2021 פרקים'!M125+'תקציב אגף ת.ב.ל 2021 פרקים'!M67+'תקציב אגף שאיפה  2021  פרקים'!M50</f>
        <v>1702109</v>
      </c>
      <c r="L15" s="51">
        <f>'תקציב החברה לפיתוח 2021 פרקים'!N125+'תקציב אגף ת.ב.ל 2021 פרקים'!N67+'תקציב אגף שאיפה  2021  פרקים'!N50</f>
        <v>12600000</v>
      </c>
      <c r="M15" s="51">
        <f>'תקציב החברה לפיתוח 2021 פרקים'!O125+'תקציב אגף ת.ב.ל 2021 פרקים'!O67+'תקציב אגף שאיפה  2021  פרקים'!O50</f>
        <v>19539000</v>
      </c>
      <c r="N15" s="51">
        <f>'תקציב החברה לפיתוח 2021 פרקים'!P125+'תקציב אגף ת.ב.ל 2021 פרקים'!P67+'תקציב אגף שאיפה  2021  פרקים'!P50</f>
        <v>2011109</v>
      </c>
      <c r="O15" s="51">
        <f>'תקציב החברה לפיתוח 2021 פרקים'!Q125+'תקציב אגף ת.ב.ל 2021 פרקים'!Q67+'תקציב אגף שאיפה  2021  פרקים'!Q50</f>
        <v>0</v>
      </c>
      <c r="P15" s="51">
        <f>'תקציב החברה לפיתוח 2021 פרקים'!R125+'תקציב אגף ת.ב.ל 2021 פרקים'!R67+'תקציב אגף שאיפה  2021  פרקים'!R50</f>
        <v>0</v>
      </c>
      <c r="Q15" s="51">
        <f>'תקציב החברה לפיתוח 2021 פרקים'!S125+'תקציב אגף ת.ב.ל 2021 פרקים'!S67+'תקציב אגף שאיפה  2021  פרקים'!S50</f>
        <v>0</v>
      </c>
      <c r="R15" s="51">
        <f>'תקציב החברה לפיתוח 2021 פרקים'!T125+'תקציב אגף ת.ב.ל 2021 פרקים'!T67+'תקציב אגף שאיפה  2021  פרקים'!T50</f>
        <v>309000</v>
      </c>
      <c r="S15" s="51">
        <f>'תקציב החברה לפיתוח 2021 פרקים'!U125+'תקציב אגף ת.ב.ל 2021 פרקים'!U67+'תקציב אגף שאיפה  2021  פרקים'!U50</f>
        <v>12291000</v>
      </c>
      <c r="T15" s="51">
        <f>'תקציב החברה לפיתוח 2021 פרקים'!V125+'תקציב אגף ת.ב.ל 2021 פרקים'!V67+'תקציב אגף שאיפה  2021  פרקים'!V50</f>
        <v>1491000</v>
      </c>
      <c r="U15" s="51">
        <f>'תקציב החברה לפיתוח 2021 פרקים'!W125+'תקציב אגף ת.ב.ל 2021 פרקים'!W67+'תקציב אגף שאיפה  2021  פרקים'!W50</f>
        <v>1464113</v>
      </c>
      <c r="V15" s="51">
        <f>'תקציב החברה לפיתוח 2021 פרקים'!X125+'תקציב אגף ת.ב.ל 2021 פרקים'!X67+'תקציב אגף שאיפה  2021  פרקים'!X50</f>
        <v>0</v>
      </c>
      <c r="W15" s="51">
        <f>'תקציב החברה לפיתוח 2021 פרקים'!Y125+'תקציב אגף ת.ב.ל 2021 פרקים'!Y67+'תקציב אגף שאיפה  2021  פרקים'!Y50</f>
        <v>0</v>
      </c>
      <c r="X15" s="51">
        <f>'תקציב החברה לפיתוח 2021 פרקים'!Z125+'תקציב אגף ת.ב.ל 2021 פרקים'!Z67+'תקציב אגף שאיפה  2021  פרקים'!Z50</f>
        <v>7100000</v>
      </c>
      <c r="Y15" s="669">
        <f>'תקציב החברה לפיתוח 2021 פרקים'!AA125+'תקציב אגף ת.ב.ל 2021 פרקים'!AA67+'תקציב אגף שאיפה  2021  פרקים'!AA50</f>
        <v>2235887</v>
      </c>
    </row>
    <row r="16" spans="1:26" s="53" customFormat="1" ht="27" customHeight="1">
      <c r="A16" s="668" t="s">
        <v>588</v>
      </c>
      <c r="B16" s="51">
        <f>'תקציב אגף ת.ב.ל 2021 פרקים'!D56+'תקציב אגף שאיפה  2021  פרקים'!D41</f>
        <v>34644320</v>
      </c>
      <c r="C16" s="51">
        <f>'תקציב אגף ת.ב.ל 2021 פרקים'!E56+'תקציב אגף שאיפה  2021  פרקים'!E41</f>
        <v>33224320</v>
      </c>
      <c r="D16" s="51">
        <f>'תקציב אגף ת.ב.ל 2021 פרקים'!F56+'תקציב אגף שאיפה  2021  פרקים'!F41</f>
        <v>1420000</v>
      </c>
      <c r="E16" s="51">
        <f>'תקציב אגף ת.ב.ל 2021 פרקים'!G56+'תקציב אגף שאיפה  2021  פרקים'!G41</f>
        <v>30844320</v>
      </c>
      <c r="F16" s="51">
        <f>'תקציב אגף ת.ב.ל 2021 פרקים'!H56+'תקציב אגף שאיפה  2021  פרקים'!H41</f>
        <v>27524178</v>
      </c>
      <c r="G16" s="51">
        <f>'תקציב אגף ת.ב.ל 2021 פרקים'!I56+'תקציב אגף שאיפה  2021  פרקים'!I41</f>
        <v>0</v>
      </c>
      <c r="H16" s="51">
        <f>'תקציב אגף ת.ב.ל 2021 פרקים'!J56+'תקציב אגף שאיפה  2021  פרקים'!J41</f>
        <v>2493577</v>
      </c>
      <c r="I16" s="51">
        <f>'תקציב אגף ת.ב.ל 2021 פרקים'!K56+'תקציב אגף שאיפה  2021  פרקים'!K41</f>
        <v>2493577</v>
      </c>
      <c r="J16" s="51">
        <f>'תקציב אגף ת.ב.ל 2021 פרקים'!L56+'תקציב אגף שאיפה  2021  פרקים'!L41</f>
        <v>30017755</v>
      </c>
      <c r="K16" s="51">
        <f>'תקציב אגף ת.ב.ל 2021 פרקים'!M56+'תקציב אגף שאיפה  2021  פרקים'!M41</f>
        <v>826565</v>
      </c>
      <c r="L16" s="51">
        <f>'תקציב אגף ת.ב.ל 2021 פרקים'!N56+'תקציב אגף שאיפה  2021  פרקים'!N41</f>
        <v>2900000</v>
      </c>
      <c r="M16" s="51">
        <f>'תקציב אגף ת.ב.ל 2021 פרקים'!O56+'תקציב אגף שאיפה  2021  פרקים'!O41</f>
        <v>900000</v>
      </c>
      <c r="N16" s="51">
        <f>'תקציב אגף ת.ב.ל 2021 פרקים'!P56+'תקציב אגף שאיפה  2021  פרקים'!P41</f>
        <v>826565</v>
      </c>
      <c r="O16" s="51">
        <f>'תקציב אגף ת.ב.ל 2021 פרקים'!Q56+'תקציב אגף שאיפה  2021  פרקים'!Q41</f>
        <v>0</v>
      </c>
      <c r="P16" s="51">
        <f>'תקציב אגף ת.ב.ל 2021 פרקים'!R56+'תקציב אגף שאיפה  2021  פרקים'!R41</f>
        <v>0</v>
      </c>
      <c r="Q16" s="51">
        <f>'תקציב אגף ת.ב.ל 2021 פרקים'!S56+'תקציב אגף שאיפה  2021  פרקים'!S41</f>
        <v>0</v>
      </c>
      <c r="R16" s="51">
        <f>'תקציב אגף ת.ב.ל 2021 פרקים'!T56+'תקציב אגף שאיפה  2021  פרקים'!T41</f>
        <v>0</v>
      </c>
      <c r="S16" s="51">
        <f>'תקציב אגף ת.ב.ל 2021 פרקים'!U56+'תקציב אגף שאיפה  2021  פרקים'!U41</f>
        <v>2900000</v>
      </c>
      <c r="T16" s="51">
        <f>'תקציב אגף ת.ב.ל 2021 פרקים'!V56+'תקציב אגף שאיפה  2021  פרקים'!V41</f>
        <v>0</v>
      </c>
      <c r="U16" s="51">
        <f>'תקציב אגף ת.ב.ל 2021 פרקים'!W56+'תקציב אגף שאיפה  2021  פרקים'!W41</f>
        <v>2900000</v>
      </c>
      <c r="V16" s="51">
        <f>'תקציב אגף ת.ב.ל 2021 פרקים'!X56+'תקציב אגף שאיפה  2021  פרקים'!X41</f>
        <v>0</v>
      </c>
      <c r="W16" s="51">
        <f>'תקציב אגף ת.ב.ל 2021 פרקים'!Y56+'תקציב אגף שאיפה  2021  פרקים'!Y41</f>
        <v>0</v>
      </c>
      <c r="X16" s="51">
        <f>'תקציב אגף ת.ב.ל 2021 פרקים'!Z56+'תקציב אגף שאיפה  2021  פרקים'!Z41</f>
        <v>0</v>
      </c>
      <c r="Y16" s="669">
        <f>'תקציב אגף ת.ב.ל 2021 פרקים'!AA56+'תקציב אגף שאיפה  2021  פרקים'!AA41</f>
        <v>0</v>
      </c>
    </row>
    <row r="17" spans="1:27" s="53" customFormat="1" ht="27" customHeight="1">
      <c r="A17" s="668" t="s">
        <v>594</v>
      </c>
      <c r="B17" s="51">
        <f>'תקציב אגף שאיפה  2021  פרקים'!D33</f>
        <v>113550000</v>
      </c>
      <c r="C17" s="51">
        <f>'תקציב אגף שאיפה  2021  פרקים'!E33</f>
        <v>89650000</v>
      </c>
      <c r="D17" s="51">
        <f>'תקציב אגף שאיפה  2021  פרקים'!F33</f>
        <v>23900000</v>
      </c>
      <c r="E17" s="51">
        <f>'תקציב אגף שאיפה  2021  פרקים'!G33</f>
        <v>85250000</v>
      </c>
      <c r="F17" s="51">
        <f>'תקציב אגף שאיפה  2021  פרקים'!H33</f>
        <v>80024869</v>
      </c>
      <c r="G17" s="51">
        <f>'תקציב אגף שאיפה  2021  פרקים'!I33</f>
        <v>0</v>
      </c>
      <c r="H17" s="51">
        <f>'תקציב אגף שאיפה  2021  פרקים'!J33</f>
        <v>754523</v>
      </c>
      <c r="I17" s="51">
        <f>'תקציב אגף שאיפה  2021  פרקים'!K33</f>
        <v>754523</v>
      </c>
      <c r="J17" s="51">
        <f>'תקציב אגף שאיפה  2021  פרקים'!L33</f>
        <v>80779392</v>
      </c>
      <c r="K17" s="51">
        <f>'תקציב אגף שאיפה  2021  פרקים'!M33</f>
        <v>4470608</v>
      </c>
      <c r="L17" s="51">
        <f>'תקציב אגף שאיפה  2021  פרקים'!N33</f>
        <v>19300000</v>
      </c>
      <c r="M17" s="51">
        <f>'תקציב אגף שאיפה  2021  פרקים'!O33</f>
        <v>9000000</v>
      </c>
      <c r="N17" s="51">
        <f>'תקציב אגף שאיפה  2021  פרקים'!P33</f>
        <v>4470608</v>
      </c>
      <c r="O17" s="51">
        <f>'תקציב אגף שאיפה  2021  פרקים'!Q33</f>
        <v>0</v>
      </c>
      <c r="P17" s="51">
        <f>'תקציב אגף שאיפה  2021  פרקים'!R33</f>
        <v>0</v>
      </c>
      <c r="Q17" s="51">
        <f>'תקציב אגף שאיפה  2021  פרקים'!S33</f>
        <v>0</v>
      </c>
      <c r="R17" s="51">
        <f>'תקציב אגף שאיפה  2021  פרקים'!T33</f>
        <v>0</v>
      </c>
      <c r="S17" s="51">
        <f>'תקציב אגף שאיפה  2021  פרקים'!U33</f>
        <v>19300000</v>
      </c>
      <c r="T17" s="51">
        <f>'תקציב אגף שאיפה  2021  פרקים'!V33</f>
        <v>0</v>
      </c>
      <c r="U17" s="51">
        <f>'תקציב אגף שאיפה  2021  פרקים'!W33</f>
        <v>0</v>
      </c>
      <c r="V17" s="51">
        <f>'תקציב אגף שאיפה  2021  פרקים'!X33</f>
        <v>0</v>
      </c>
      <c r="W17" s="51">
        <f>'תקציב אגף שאיפה  2021  פרקים'!Y33</f>
        <v>0</v>
      </c>
      <c r="X17" s="51">
        <f>'תקציב אגף שאיפה  2021  פרקים'!Z33</f>
        <v>0</v>
      </c>
      <c r="Y17" s="669">
        <f>'תקציב אגף שאיפה  2021  פרקים'!AA33</f>
        <v>19300000</v>
      </c>
    </row>
    <row r="18" spans="1:27" s="53" customFormat="1" ht="27" customHeight="1">
      <c r="A18" s="670" t="s">
        <v>586</v>
      </c>
      <c r="B18" s="51">
        <f>'תקציב החברה לפיתוח 2021 פרקים'!D127+'תקציב אגף ת.ב.ל 2021 פרקים'!D75+'תקציב אגף תנוס 2021 פרק'!D14+'תקציב אגף נכסים וביטוח 2021פרק'!D20</f>
        <v>254715365</v>
      </c>
      <c r="C18" s="51">
        <f>'תקציב החברה לפיתוח 2021 פרקים'!E127+'תקציב אגף ת.ב.ל 2021 פרקים'!E75+'תקציב אגף תנוס 2021 פרק'!E14+'תקציב אגף נכסים וביטוח 2021פרק'!E20</f>
        <v>255634365</v>
      </c>
      <c r="D18" s="51">
        <f>'תקציב החברה לפיתוח 2021 פרקים'!F127+'תקציב אגף ת.ב.ל 2021 פרקים'!F75+'תקציב אגף תנוס 2021 פרק'!F14+'תקציב אגף נכסים וביטוח 2021פרק'!F20</f>
        <v>-919000</v>
      </c>
      <c r="E18" s="51">
        <f>'תקציב החברה לפיתוח 2021 פרקים'!G127+'תקציב אגף ת.ב.ל 2021 פרקים'!G75+'תקציב אגף תנוס 2021 פרק'!G14+'תקציב אגף נכסים וביטוח 2021פרק'!G20</f>
        <v>178817890</v>
      </c>
      <c r="F18" s="51">
        <f>'תקציב החברה לפיתוח 2021 פרקים'!H127+'תקציב אגף ת.ב.ל 2021 פרקים'!H75+'תקציב אגף תנוס 2021 פרק'!H14+'תקציב אגף נכסים וביטוח 2021פרק'!H20</f>
        <v>153921661</v>
      </c>
      <c r="G18" s="51">
        <f>'תקציב החברה לפיתוח 2021 פרקים'!I127+'תקציב אגף ת.ב.ל 2021 פרקים'!I75+'תקציב אגף תנוס 2021 פרק'!I14+'תקציב אגף נכסים וביטוח 2021פרק'!I20</f>
        <v>3336952</v>
      </c>
      <c r="H18" s="51">
        <f>'תקציב החברה לפיתוח 2021 פרקים'!J127+'תקציב אגף ת.ב.ל 2021 פרקים'!J75+'תקציב אגף תנוס 2021 פרק'!J14+'תקציב אגף נכסים וביטוח 2021פרק'!J20</f>
        <v>422009</v>
      </c>
      <c r="I18" s="51">
        <f>'תקציב החברה לפיתוח 2021 פרקים'!K127+'תקציב אגף ת.ב.ל 2021 פרקים'!K75+'תקציב אגף תנוס 2021 פרק'!K14+'תקציב אגף נכסים וביטוח 2021פרק'!K20</f>
        <v>3758961</v>
      </c>
      <c r="J18" s="51">
        <f>'תקציב החברה לפיתוח 2021 פרקים'!L127+'תקציב אגף ת.ב.ל 2021 פרקים'!L75+'תקציב אגף תנוס 2021 פרק'!L14+'תקציב אגף נכסים וביטוח 2021פרק'!L20</f>
        <v>157680622</v>
      </c>
      <c r="K18" s="51">
        <f>'תקציב החברה לפיתוח 2021 פרקים'!M127+'תקציב אגף ת.ב.ל 2021 פרקים'!M75+'תקציב אגף תנוס 2021 פרק'!M14+'תקציב אגף נכסים וביטוח 2021פרק'!M20</f>
        <v>17388268</v>
      </c>
      <c r="L18" s="51">
        <f>'תקציב החברה לפיתוח 2021 פרקים'!N127+'תקציב אגף ת.ב.ל 2021 פרקים'!N75+'תקציב אגף תנוס 2021 פרק'!N14+'תקציב אגף נכסים וביטוח 2021פרק'!N20</f>
        <v>9570000</v>
      </c>
      <c r="M18" s="51">
        <f>'תקציב החברה לפיתוח 2021 פרקים'!O127+'תקציב אגף ת.ב.ל 2021 פרקים'!O75+'תקציב אגף תנוס 2021 פרק'!O14+'תקציב אגף נכסים וביטוח 2021פרק'!O20</f>
        <v>70076475</v>
      </c>
      <c r="N18" s="51">
        <f>'תקציב החברה לפיתוח 2021 פרקים'!P127+'תקציב אגף ת.ב.ל 2021 פרקים'!P75+'תקציב אגף תנוס 2021 פרק'!P14+'תקציב אגף נכסים וביטוח 2021פרק'!P20</f>
        <v>21137268</v>
      </c>
      <c r="O18" s="51">
        <f>'תקציב החברה לפיתוח 2021 פרקים'!Q127+'תקציב אגף ת.ב.ל 2021 פרקים'!Q75+'תקציב אגף תנוס 2021 פרק'!Q14+'תקציב אגף נכסים וביטוח 2021פרק'!Q20</f>
        <v>0</v>
      </c>
      <c r="P18" s="51">
        <f>'תקציב החברה לפיתוח 2021 פרקים'!R127+'תקציב אגף ת.ב.ל 2021 פרקים'!R75+'תקציב אגף תנוס 2021 פרק'!R14+'תקציב אגף נכסים וביטוח 2021פרק'!R20</f>
        <v>0</v>
      </c>
      <c r="Q18" s="51">
        <f>'תקציב החברה לפיתוח 2021 פרקים'!S127+'תקציב אגף ת.ב.ל 2021 פרקים'!S75+'תקציב אגף תנוס 2021 פרק'!S14+'תקציב אגף נכסים וביטוח 2021פרק'!S20</f>
        <v>0</v>
      </c>
      <c r="R18" s="51">
        <f>'תקציב החברה לפיתוח 2021 פרקים'!T127+'תקציב אגף ת.ב.ל 2021 פרקים'!T75+'תקציב אגף תנוס 2021 פרק'!T14+'תקציב אגף נכסים וביטוח 2021פרק'!T20</f>
        <v>3749000</v>
      </c>
      <c r="S18" s="51">
        <f>'תקציב החברה לפיתוח 2021 פרקים'!U127+'תקציב אגף ת.ב.ל 2021 פרקים'!U75+'תקציב אגף תנוס 2021 פרק'!U14+'תקציב אגף נכסים וביטוח 2021פרק'!U20</f>
        <v>5821000</v>
      </c>
      <c r="T18" s="51">
        <f>'תקציב החברה לפיתוח 2021 פרקים'!V127+'תקציב אגף ת.ב.ל 2021 פרקים'!V75+'תקציב אגף תנוס 2021 פרק'!V14+'תקציב אגף נכסים וביטוח 2021פרק'!V20</f>
        <v>1291000</v>
      </c>
      <c r="U18" s="51">
        <f>'תקציב החברה לפיתוח 2021 פרקים'!W127+'תקציב אגף ת.ב.ל 2021 פרקים'!W75+'תקציב אגף תנוס 2021 פרק'!W14+'תקציב אגף נכסים וביטוח 2021פרק'!W20</f>
        <v>4180000</v>
      </c>
      <c r="V18" s="51">
        <f>'תקציב החברה לפיתוח 2021 פרקים'!X127+'תקציב אגף ת.ב.ל 2021 פרקים'!X75+'תקציב אגף תנוס 2021 פרק'!X14+'תקציב אגף נכסים וביטוח 2021פרק'!X20</f>
        <v>0</v>
      </c>
      <c r="W18" s="51">
        <f>'תקציב החברה לפיתוח 2021 פרקים'!Y127+'תקציב אגף ת.ב.ל 2021 פרקים'!Y75+'תקציב אגף תנוס 2021 פרק'!Y14+'תקציב אגף נכסים וביטוח 2021פרק'!Y20</f>
        <v>0</v>
      </c>
      <c r="X18" s="51">
        <f>'תקציב החברה לפיתוח 2021 פרקים'!Z127+'תקציב אגף ת.ב.ל 2021 פרקים'!Z75+'תקציב אגף תנוס 2021 פרק'!Z14+'תקציב אגף נכסים וביטוח 2021פרק'!Z20</f>
        <v>0</v>
      </c>
      <c r="Y18" s="669">
        <f>'תקציב החברה לפיתוח 2021 פרקים'!AA127+'תקציב אגף ת.ב.ל 2021 פרקים'!AA75+'תקציב אגף תנוס 2021 פרק'!AA14+'תקציב אגף נכסים וביטוח 2021פרק'!AA20</f>
        <v>350000</v>
      </c>
    </row>
    <row r="19" spans="1:27" s="53" customFormat="1" ht="27" customHeight="1">
      <c r="A19" s="668" t="s">
        <v>587</v>
      </c>
      <c r="B19" s="51">
        <f>'תקציב מינהל כללי 2021 פרקים'!D18</f>
        <v>15133000</v>
      </c>
      <c r="C19" s="51">
        <f>'תקציב מינהל כללי 2021 פרקים'!E18</f>
        <v>15133000</v>
      </c>
      <c r="D19" s="51">
        <f>'תקציב מינהל כללי 2021 פרקים'!F18</f>
        <v>0</v>
      </c>
      <c r="E19" s="51">
        <f>'תקציב מינהל כללי 2021 פרקים'!G18</f>
        <v>15133000</v>
      </c>
      <c r="F19" s="51">
        <f>'תקציב מינהל כללי 2021 פרקים'!H18</f>
        <v>15133000</v>
      </c>
      <c r="G19" s="51">
        <f>'תקציב מינהל כללי 2021 פרקים'!I18</f>
        <v>0</v>
      </c>
      <c r="H19" s="51">
        <f>'תקציב מינהל כללי 2021 פרקים'!J18</f>
        <v>0</v>
      </c>
      <c r="I19" s="51">
        <f>'תקציב מינהל כללי 2021 פרקים'!K18</f>
        <v>0</v>
      </c>
      <c r="J19" s="51">
        <f>'תקציב מינהל כללי 2021 פרקים'!L18</f>
        <v>15133000</v>
      </c>
      <c r="K19" s="51">
        <f>'תקציב מינהל כללי 2021 פרקים'!M18</f>
        <v>0</v>
      </c>
      <c r="L19" s="51">
        <f>'תקציב מינהל כללי 2021 פרקים'!N18</f>
        <v>0</v>
      </c>
      <c r="M19" s="51">
        <f>'תקציב מינהל כללי 2021 פרקים'!O18</f>
        <v>0</v>
      </c>
      <c r="N19" s="51">
        <f>'תקציב מינהל כללי 2021 פרקים'!P18</f>
        <v>0</v>
      </c>
      <c r="O19" s="51">
        <f>'תקציב מינהל כללי 2021 פרקים'!Q18</f>
        <v>0</v>
      </c>
      <c r="P19" s="51">
        <f>'תקציב מינהל כללי 2021 פרקים'!R18</f>
        <v>0</v>
      </c>
      <c r="Q19" s="51">
        <f>'תקציב מינהל כללי 2021 פרקים'!S18</f>
        <v>0</v>
      </c>
      <c r="R19" s="51">
        <f>'תקציב מינהל כללי 2021 פרקים'!T18</f>
        <v>0</v>
      </c>
      <c r="S19" s="51">
        <f>'תקציב מינהל כללי 2021 פרקים'!U18</f>
        <v>0</v>
      </c>
      <c r="T19" s="51">
        <f>'תקציב מינהל כללי 2021 פרקים'!V18</f>
        <v>0</v>
      </c>
      <c r="U19" s="51">
        <f>'תקציב מינהל כללי 2021 פרקים'!W18</f>
        <v>0</v>
      </c>
      <c r="V19" s="51">
        <f>'תקציב מינהל כללי 2021 פרקים'!X18</f>
        <v>0</v>
      </c>
      <c r="W19" s="51">
        <f>'תקציב מינהל כללי 2021 פרקים'!Y18</f>
        <v>0</v>
      </c>
      <c r="X19" s="51">
        <f>'תקציב מינהל כללי 2021 פרקים'!Z18</f>
        <v>0</v>
      </c>
      <c r="Y19" s="669">
        <f>'תקציב מינהל כללי 2021 פרקים'!AA18</f>
        <v>0</v>
      </c>
    </row>
    <row r="20" spans="1:27" s="53" customFormat="1" ht="27" customHeight="1">
      <c r="A20" s="666" t="s">
        <v>105</v>
      </c>
      <c r="B20" s="51">
        <f>SUM(B6:B19)</f>
        <v>4758575046</v>
      </c>
      <c r="C20" s="51">
        <f t="shared" ref="C20:Y20" si="0">SUM(C6:C19)</f>
        <v>4397901789</v>
      </c>
      <c r="D20" s="51">
        <f t="shared" si="0"/>
        <v>360673257</v>
      </c>
      <c r="E20" s="51">
        <f t="shared" si="0"/>
        <v>2306058359</v>
      </c>
      <c r="F20" s="51">
        <f t="shared" si="0"/>
        <v>1762217928</v>
      </c>
      <c r="G20" s="51">
        <f t="shared" si="0"/>
        <v>31796374</v>
      </c>
      <c r="H20" s="51">
        <f t="shared" si="0"/>
        <v>109369858</v>
      </c>
      <c r="I20" s="51">
        <f t="shared" si="0"/>
        <v>141166232</v>
      </c>
      <c r="J20" s="51">
        <f t="shared" si="0"/>
        <v>1903384160</v>
      </c>
      <c r="K20" s="51">
        <f t="shared" si="0"/>
        <v>400066723</v>
      </c>
      <c r="L20" s="51">
        <f t="shared" si="0"/>
        <v>533765643</v>
      </c>
      <c r="M20" s="51">
        <f t="shared" si="0"/>
        <v>1921358520</v>
      </c>
      <c r="N20" s="51">
        <f t="shared" si="0"/>
        <v>402674199</v>
      </c>
      <c r="O20" s="51">
        <f t="shared" si="0"/>
        <v>74272096</v>
      </c>
      <c r="P20" s="51">
        <f t="shared" si="0"/>
        <v>1000000</v>
      </c>
      <c r="Q20" s="51">
        <f t="shared" si="0"/>
        <v>75272096</v>
      </c>
      <c r="R20" s="51">
        <f t="shared" si="0"/>
        <v>77879572</v>
      </c>
      <c r="S20" s="51">
        <f t="shared" si="0"/>
        <v>455886071</v>
      </c>
      <c r="T20" s="51">
        <f t="shared" si="0"/>
        <v>250594000</v>
      </c>
      <c r="U20" s="51">
        <f t="shared" si="0"/>
        <v>46000000</v>
      </c>
      <c r="V20" s="51">
        <f t="shared" si="0"/>
        <v>0</v>
      </c>
      <c r="W20" s="51">
        <f t="shared" ref="W20" si="1">SUM(W6:W19)</f>
        <v>18000000</v>
      </c>
      <c r="X20" s="51">
        <f t="shared" si="0"/>
        <v>7100000</v>
      </c>
      <c r="Y20" s="669">
        <f t="shared" si="0"/>
        <v>134192071</v>
      </c>
    </row>
    <row r="21" spans="1:27" s="53" customFormat="1" ht="16" thickBot="1">
      <c r="A21" s="671"/>
      <c r="B21" s="672"/>
      <c r="C21" s="672"/>
      <c r="D21" s="672"/>
      <c r="E21" s="672"/>
      <c r="F21" s="672"/>
      <c r="G21" s="672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3"/>
    </row>
    <row r="22" spans="1:27" s="53" customFormat="1" hidden="1">
      <c r="A22" s="55"/>
      <c r="B22" s="56"/>
      <c r="C22" s="56"/>
      <c r="D22" s="26"/>
      <c r="E22" s="56"/>
      <c r="F22" s="56"/>
      <c r="G22" s="56"/>
      <c r="H22" s="56"/>
      <c r="I22" s="56"/>
      <c r="J22" s="661">
        <f>I20+F20</f>
        <v>1903384160</v>
      </c>
      <c r="K22" s="661">
        <f>N22+Q20-R20</f>
        <v>400066723</v>
      </c>
      <c r="L22" s="26"/>
      <c r="M22" s="26"/>
      <c r="N22" s="661">
        <f>E20-J20</f>
        <v>402674199</v>
      </c>
      <c r="O22" s="26"/>
      <c r="P22" s="26"/>
      <c r="Q22" s="26"/>
      <c r="R22" s="26"/>
      <c r="S22" s="661">
        <f>L20-R20</f>
        <v>455886071</v>
      </c>
      <c r="T22" s="26"/>
      <c r="U22" s="26"/>
      <c r="V22" s="26"/>
      <c r="W22" s="26"/>
      <c r="X22" s="26"/>
      <c r="Y22" s="26"/>
    </row>
    <row r="23" spans="1:27" hidden="1">
      <c r="D23" s="69"/>
      <c r="J23" s="52"/>
      <c r="K23" s="52"/>
      <c r="M23" s="59"/>
      <c r="N23" s="60"/>
      <c r="O23" s="59"/>
      <c r="P23" s="61"/>
      <c r="Q23" s="61"/>
      <c r="R23" s="60"/>
      <c r="S23" s="62" t="s">
        <v>105</v>
      </c>
      <c r="T23" s="62" t="s">
        <v>90</v>
      </c>
      <c r="U23" s="62" t="s">
        <v>106</v>
      </c>
      <c r="V23" s="62" t="s">
        <v>15</v>
      </c>
      <c r="W23" s="62" t="s">
        <v>301</v>
      </c>
      <c r="X23" s="62" t="s">
        <v>1391</v>
      </c>
      <c r="Y23" s="62" t="s">
        <v>91</v>
      </c>
    </row>
    <row r="24" spans="1:27" hidden="1">
      <c r="B24" s="69"/>
      <c r="D24" s="69"/>
      <c r="L24" s="69"/>
      <c r="M24" s="62" t="s">
        <v>107</v>
      </c>
      <c r="N24" s="63"/>
      <c r="O24" s="62" t="s">
        <v>107</v>
      </c>
      <c r="P24" s="64"/>
      <c r="Q24" s="64"/>
      <c r="R24" s="54"/>
      <c r="S24" s="65">
        <f>SUM(T24:Y24)</f>
        <v>455886071</v>
      </c>
      <c r="T24" s="65">
        <f>'תקציב 2021 קרנות הרשות'!C21*1000</f>
        <v>250594000</v>
      </c>
      <c r="U24" s="65">
        <f>'תקציב 2021 קרנות הרשות'!D21*1000</f>
        <v>46000000</v>
      </c>
      <c r="V24" s="65">
        <f>'תקציב 2021  מקורות '!F10*1000</f>
        <v>0</v>
      </c>
      <c r="W24" s="65">
        <f>'תקציב 2021  מקורות '!F11*1000</f>
        <v>18000000</v>
      </c>
      <c r="X24" s="65">
        <f>'תקציב 2021  מקורות '!F12*1000</f>
        <v>7100000</v>
      </c>
      <c r="Y24" s="65">
        <f>'פרוט מקורות אחרים'!O16</f>
        <v>134192071</v>
      </c>
    </row>
    <row r="25" spans="1:27" hidden="1">
      <c r="B25" s="69"/>
      <c r="M25" s="62" t="s">
        <v>108</v>
      </c>
      <c r="N25" s="63"/>
      <c r="O25" s="62" t="s">
        <v>108</v>
      </c>
      <c r="P25" s="64"/>
      <c r="Q25" s="64"/>
      <c r="R25" s="54"/>
      <c r="S25" s="65">
        <f t="shared" ref="S25:Y25" si="2">S24-S20</f>
        <v>0</v>
      </c>
      <c r="T25" s="65">
        <f t="shared" si="2"/>
        <v>0</v>
      </c>
      <c r="U25" s="65">
        <f t="shared" si="2"/>
        <v>0</v>
      </c>
      <c r="V25" s="65">
        <f t="shared" si="2"/>
        <v>0</v>
      </c>
      <c r="W25" s="65">
        <f t="shared" ref="W25" si="3">W24-W20</f>
        <v>0</v>
      </c>
      <c r="X25" s="65">
        <f t="shared" si="2"/>
        <v>0</v>
      </c>
      <c r="Y25" s="65">
        <f t="shared" si="2"/>
        <v>0</v>
      </c>
      <c r="AA25" s="56"/>
    </row>
    <row r="26" spans="1:27" hidden="1">
      <c r="A26" s="67"/>
      <c r="D26" s="67"/>
      <c r="E26" s="67"/>
      <c r="M26" s="68"/>
      <c r="O26" s="68"/>
      <c r="P26" s="68"/>
      <c r="Q26" s="68"/>
      <c r="R26" s="53"/>
      <c r="S26" s="66"/>
      <c r="T26" s="66"/>
      <c r="U26" s="66"/>
      <c r="V26" s="66"/>
      <c r="W26" s="66"/>
      <c r="X26" s="66"/>
      <c r="Y26" s="66"/>
    </row>
    <row r="27" spans="1:27">
      <c r="B27" s="67"/>
      <c r="J27" s="52"/>
      <c r="K27" s="69"/>
      <c r="M27" s="68"/>
      <c r="N27" s="52">
        <f>E20-J20</f>
        <v>402674199</v>
      </c>
      <c r="O27" s="68"/>
      <c r="P27" s="68"/>
      <c r="Q27" s="68"/>
      <c r="R27" s="66"/>
      <c r="S27" s="52"/>
      <c r="T27" s="66"/>
      <c r="U27" s="66"/>
      <c r="V27" s="66"/>
      <c r="W27" s="66"/>
      <c r="X27" s="66"/>
      <c r="Y27" s="66"/>
    </row>
    <row r="28" spans="1:27">
      <c r="A28" s="67"/>
      <c r="B28" s="67"/>
      <c r="C28" s="67"/>
      <c r="D28" s="67"/>
      <c r="M28" s="68"/>
      <c r="O28" s="68"/>
      <c r="P28" s="68"/>
      <c r="Q28" s="68"/>
      <c r="R28" s="53"/>
      <c r="S28" s="66"/>
      <c r="T28" s="66"/>
      <c r="U28" s="66"/>
      <c r="V28" s="66"/>
      <c r="W28" s="66"/>
      <c r="X28" s="66"/>
      <c r="Y28" s="66"/>
    </row>
    <row r="29" spans="1:27">
      <c r="B29" s="67"/>
      <c r="C29" s="67"/>
      <c r="N29" s="58"/>
      <c r="T29" s="66"/>
      <c r="U29" s="66"/>
      <c r="V29" s="66"/>
      <c r="W29" s="66"/>
      <c r="X29" s="66"/>
      <c r="Y29" s="66"/>
    </row>
    <row r="30" spans="1:27">
      <c r="B30" s="67"/>
      <c r="N30" s="58"/>
      <c r="S30" s="69"/>
      <c r="T30" s="66"/>
      <c r="U30" s="66"/>
      <c r="V30" s="66"/>
      <c r="W30" s="66"/>
      <c r="X30" s="66"/>
      <c r="Y30" s="66"/>
    </row>
    <row r="31" spans="1:27">
      <c r="B31" s="67"/>
      <c r="N31" s="58"/>
      <c r="U31" s="66"/>
      <c r="V31" s="66"/>
      <c r="W31" s="66"/>
      <c r="X31" s="66"/>
      <c r="Y31" s="66"/>
    </row>
    <row r="32" spans="1:27">
      <c r="B32" s="67"/>
      <c r="N32" s="58"/>
      <c r="U32" s="66"/>
      <c r="V32" s="66"/>
      <c r="W32" s="66"/>
      <c r="X32" s="66"/>
      <c r="Y32" s="66"/>
    </row>
    <row r="33" spans="1:27" s="58" customFormat="1">
      <c r="A33" s="57"/>
      <c r="B33" s="67"/>
      <c r="J33" s="53"/>
      <c r="U33" s="69"/>
      <c r="V33" s="69"/>
      <c r="Z33" s="55"/>
      <c r="AA33" s="55"/>
    </row>
    <row r="34" spans="1:27" s="58" customFormat="1">
      <c r="A34" s="57"/>
      <c r="B34" s="67"/>
      <c r="J34" s="53"/>
      <c r="U34" s="69"/>
      <c r="Z34" s="55"/>
      <c r="AA34" s="55"/>
    </row>
    <row r="35" spans="1:27" s="58" customFormat="1">
      <c r="A35" s="57"/>
      <c r="B35" s="67"/>
      <c r="J35" s="53"/>
      <c r="U35" s="69"/>
      <c r="Z35" s="55"/>
      <c r="AA35" s="55"/>
    </row>
    <row r="36" spans="1:27" s="58" customFormat="1">
      <c r="A36" s="57"/>
      <c r="B36" s="67"/>
      <c r="J36" s="53"/>
      <c r="U36" s="69"/>
      <c r="Z36" s="55"/>
      <c r="AA36" s="55"/>
    </row>
    <row r="37" spans="1:27" s="58" customFormat="1">
      <c r="A37" s="57"/>
      <c r="B37" s="67"/>
      <c r="J37" s="53"/>
      <c r="U37" s="69"/>
      <c r="Z37" s="55"/>
      <c r="AA37" s="55"/>
    </row>
    <row r="38" spans="1:27" s="58" customFormat="1">
      <c r="A38" s="57"/>
      <c r="B38" s="67"/>
      <c r="J38" s="53"/>
      <c r="U38" s="69"/>
      <c r="Z38" s="55"/>
      <c r="AA38" s="55"/>
    </row>
    <row r="39" spans="1:27" s="58" customFormat="1">
      <c r="A39" s="57"/>
      <c r="B39" s="67"/>
      <c r="J39" s="53"/>
      <c r="U39" s="69"/>
      <c r="Z39" s="55"/>
      <c r="AA39" s="55"/>
    </row>
    <row r="40" spans="1:27" s="58" customFormat="1">
      <c r="A40" s="57"/>
      <c r="B40" s="360"/>
      <c r="J40" s="53"/>
      <c r="U40" s="69"/>
      <c r="Z40" s="55"/>
      <c r="AA40" s="55"/>
    </row>
    <row r="41" spans="1:27" s="58" customFormat="1">
      <c r="A41" s="57"/>
      <c r="J41" s="53"/>
      <c r="M41" s="263"/>
      <c r="N41" s="264"/>
      <c r="O41" s="263"/>
      <c r="P41" s="263"/>
      <c r="Q41" s="263"/>
      <c r="R41" s="263"/>
      <c r="Z41" s="55"/>
      <c r="AA41" s="55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9"/>
  <sheetViews>
    <sheetView showZeros="0" rightToLeft="1" workbookViewId="0">
      <selection activeCell="U40" sqref="U40"/>
    </sheetView>
  </sheetViews>
  <sheetFormatPr defaultRowHeight="15.5"/>
  <cols>
    <col min="1" max="1" width="25.54296875" style="75" customWidth="1"/>
    <col min="2" max="5" width="10.36328125" style="77" customWidth="1"/>
    <col min="6" max="6" width="10.36328125" style="77" hidden="1" customWidth="1"/>
    <col min="7" max="11" width="10.36328125" style="77" customWidth="1"/>
    <col min="12" max="12" width="10.36328125" style="77" hidden="1" customWidth="1"/>
    <col min="13" max="14" width="10.36328125" style="77" customWidth="1"/>
    <col min="15" max="15" width="11.36328125" style="75" customWidth="1"/>
    <col min="16" max="16" width="0" style="75" hidden="1" customWidth="1"/>
    <col min="17" max="17" width="13.36328125" style="150" hidden="1" customWidth="1"/>
    <col min="18" max="18" width="11.90625" style="150" customWidth="1"/>
    <col min="19" max="19" width="12.08984375" style="150" customWidth="1"/>
    <col min="20" max="20" width="2.6328125" style="150" customWidth="1"/>
    <col min="21" max="21" width="10.08984375" style="150" bestFit="1" customWidth="1"/>
    <col min="22" max="22" width="9.08984375" style="75" customWidth="1"/>
    <col min="23" max="257" width="9.08984375" style="75"/>
    <col min="258" max="258" width="4.08984375" style="75" customWidth="1"/>
    <col min="259" max="259" width="25.54296875" style="75" customWidth="1"/>
    <col min="260" max="260" width="0" style="75" hidden="1" customWidth="1"/>
    <col min="261" max="261" width="9.08984375" style="75" bestFit="1" customWidth="1"/>
    <col min="262" max="262" width="9.08984375" style="75" customWidth="1"/>
    <col min="263" max="263" width="8.90625" style="75" customWidth="1"/>
    <col min="264" max="265" width="10.6328125" style="75" customWidth="1"/>
    <col min="266" max="266" width="10" style="75" customWidth="1"/>
    <col min="267" max="267" width="10.453125" style="75" customWidth="1"/>
    <col min="268" max="268" width="8.6328125" style="75" customWidth="1"/>
    <col min="269" max="269" width="0" style="75" hidden="1" customWidth="1"/>
    <col min="270" max="270" width="10.08984375" style="75" bestFit="1" customWidth="1"/>
    <col min="271" max="271" width="10.08984375" style="75" customWidth="1"/>
    <col min="272" max="272" width="0" style="75" hidden="1" customWidth="1"/>
    <col min="273" max="273" width="10" style="75" customWidth="1"/>
    <col min="274" max="274" width="12.90625" style="75" customWidth="1"/>
    <col min="275" max="513" width="9.08984375" style="75"/>
    <col min="514" max="514" width="4.08984375" style="75" customWidth="1"/>
    <col min="515" max="515" width="25.54296875" style="75" customWidth="1"/>
    <col min="516" max="516" width="0" style="75" hidden="1" customWidth="1"/>
    <col min="517" max="517" width="9.08984375" style="75" bestFit="1" customWidth="1"/>
    <col min="518" max="518" width="9.08984375" style="75" customWidth="1"/>
    <col min="519" max="519" width="8.90625" style="75" customWidth="1"/>
    <col min="520" max="521" width="10.6328125" style="75" customWidth="1"/>
    <col min="522" max="522" width="10" style="75" customWidth="1"/>
    <col min="523" max="523" width="10.453125" style="75" customWidth="1"/>
    <col min="524" max="524" width="8.6328125" style="75" customWidth="1"/>
    <col min="525" max="525" width="0" style="75" hidden="1" customWidth="1"/>
    <col min="526" max="526" width="10.08984375" style="75" bestFit="1" customWidth="1"/>
    <col min="527" max="527" width="10.08984375" style="75" customWidth="1"/>
    <col min="528" max="528" width="0" style="75" hidden="1" customWidth="1"/>
    <col min="529" max="529" width="10" style="75" customWidth="1"/>
    <col min="530" max="530" width="12.90625" style="75" customWidth="1"/>
    <col min="531" max="769" width="9.08984375" style="75"/>
    <col min="770" max="770" width="4.08984375" style="75" customWidth="1"/>
    <col min="771" max="771" width="25.54296875" style="75" customWidth="1"/>
    <col min="772" max="772" width="0" style="75" hidden="1" customWidth="1"/>
    <col min="773" max="773" width="9.08984375" style="75" bestFit="1" customWidth="1"/>
    <col min="774" max="774" width="9.08984375" style="75" customWidth="1"/>
    <col min="775" max="775" width="8.90625" style="75" customWidth="1"/>
    <col min="776" max="777" width="10.6328125" style="75" customWidth="1"/>
    <col min="778" max="778" width="10" style="75" customWidth="1"/>
    <col min="779" max="779" width="10.453125" style="75" customWidth="1"/>
    <col min="780" max="780" width="8.6328125" style="75" customWidth="1"/>
    <col min="781" max="781" width="0" style="75" hidden="1" customWidth="1"/>
    <col min="782" max="782" width="10.08984375" style="75" bestFit="1" customWidth="1"/>
    <col min="783" max="783" width="10.08984375" style="75" customWidth="1"/>
    <col min="784" max="784" width="0" style="75" hidden="1" customWidth="1"/>
    <col min="785" max="785" width="10" style="75" customWidth="1"/>
    <col min="786" max="786" width="12.90625" style="75" customWidth="1"/>
    <col min="787" max="1025" width="9.08984375" style="75"/>
    <col min="1026" max="1026" width="4.08984375" style="75" customWidth="1"/>
    <col min="1027" max="1027" width="25.54296875" style="75" customWidth="1"/>
    <col min="1028" max="1028" width="0" style="75" hidden="1" customWidth="1"/>
    <col min="1029" max="1029" width="9.08984375" style="75" bestFit="1" customWidth="1"/>
    <col min="1030" max="1030" width="9.08984375" style="75" customWidth="1"/>
    <col min="1031" max="1031" width="8.90625" style="75" customWidth="1"/>
    <col min="1032" max="1033" width="10.6328125" style="75" customWidth="1"/>
    <col min="1034" max="1034" width="10" style="75" customWidth="1"/>
    <col min="1035" max="1035" width="10.453125" style="75" customWidth="1"/>
    <col min="1036" max="1036" width="8.6328125" style="75" customWidth="1"/>
    <col min="1037" max="1037" width="0" style="75" hidden="1" customWidth="1"/>
    <col min="1038" max="1038" width="10.08984375" style="75" bestFit="1" customWidth="1"/>
    <col min="1039" max="1039" width="10.08984375" style="75" customWidth="1"/>
    <col min="1040" max="1040" width="0" style="75" hidden="1" customWidth="1"/>
    <col min="1041" max="1041" width="10" style="75" customWidth="1"/>
    <col min="1042" max="1042" width="12.90625" style="75" customWidth="1"/>
    <col min="1043" max="1281" width="9.08984375" style="75"/>
    <col min="1282" max="1282" width="4.08984375" style="75" customWidth="1"/>
    <col min="1283" max="1283" width="25.54296875" style="75" customWidth="1"/>
    <col min="1284" max="1284" width="0" style="75" hidden="1" customWidth="1"/>
    <col min="1285" max="1285" width="9.08984375" style="75" bestFit="1" customWidth="1"/>
    <col min="1286" max="1286" width="9.08984375" style="75" customWidth="1"/>
    <col min="1287" max="1287" width="8.90625" style="75" customWidth="1"/>
    <col min="1288" max="1289" width="10.6328125" style="75" customWidth="1"/>
    <col min="1290" max="1290" width="10" style="75" customWidth="1"/>
    <col min="1291" max="1291" width="10.453125" style="75" customWidth="1"/>
    <col min="1292" max="1292" width="8.6328125" style="75" customWidth="1"/>
    <col min="1293" max="1293" width="0" style="75" hidden="1" customWidth="1"/>
    <col min="1294" max="1294" width="10.08984375" style="75" bestFit="1" customWidth="1"/>
    <col min="1295" max="1295" width="10.08984375" style="75" customWidth="1"/>
    <col min="1296" max="1296" width="0" style="75" hidden="1" customWidth="1"/>
    <col min="1297" max="1297" width="10" style="75" customWidth="1"/>
    <col min="1298" max="1298" width="12.90625" style="75" customWidth="1"/>
    <col min="1299" max="1537" width="9.08984375" style="75"/>
    <col min="1538" max="1538" width="4.08984375" style="75" customWidth="1"/>
    <col min="1539" max="1539" width="25.54296875" style="75" customWidth="1"/>
    <col min="1540" max="1540" width="0" style="75" hidden="1" customWidth="1"/>
    <col min="1541" max="1541" width="9.08984375" style="75" bestFit="1" customWidth="1"/>
    <col min="1542" max="1542" width="9.08984375" style="75" customWidth="1"/>
    <col min="1543" max="1543" width="8.90625" style="75" customWidth="1"/>
    <col min="1544" max="1545" width="10.6328125" style="75" customWidth="1"/>
    <col min="1546" max="1546" width="10" style="75" customWidth="1"/>
    <col min="1547" max="1547" width="10.453125" style="75" customWidth="1"/>
    <col min="1548" max="1548" width="8.6328125" style="75" customWidth="1"/>
    <col min="1549" max="1549" width="0" style="75" hidden="1" customWidth="1"/>
    <col min="1550" max="1550" width="10.08984375" style="75" bestFit="1" customWidth="1"/>
    <col min="1551" max="1551" width="10.08984375" style="75" customWidth="1"/>
    <col min="1552" max="1552" width="0" style="75" hidden="1" customWidth="1"/>
    <col min="1553" max="1553" width="10" style="75" customWidth="1"/>
    <col min="1554" max="1554" width="12.90625" style="75" customWidth="1"/>
    <col min="1555" max="1793" width="9.08984375" style="75"/>
    <col min="1794" max="1794" width="4.08984375" style="75" customWidth="1"/>
    <col min="1795" max="1795" width="25.54296875" style="75" customWidth="1"/>
    <col min="1796" max="1796" width="0" style="75" hidden="1" customWidth="1"/>
    <col min="1797" max="1797" width="9.08984375" style="75" bestFit="1" customWidth="1"/>
    <col min="1798" max="1798" width="9.08984375" style="75" customWidth="1"/>
    <col min="1799" max="1799" width="8.90625" style="75" customWidth="1"/>
    <col min="1800" max="1801" width="10.6328125" style="75" customWidth="1"/>
    <col min="1802" max="1802" width="10" style="75" customWidth="1"/>
    <col min="1803" max="1803" width="10.453125" style="75" customWidth="1"/>
    <col min="1804" max="1804" width="8.6328125" style="75" customWidth="1"/>
    <col min="1805" max="1805" width="0" style="75" hidden="1" customWidth="1"/>
    <col min="1806" max="1806" width="10.08984375" style="75" bestFit="1" customWidth="1"/>
    <col min="1807" max="1807" width="10.08984375" style="75" customWidth="1"/>
    <col min="1808" max="1808" width="0" style="75" hidden="1" customWidth="1"/>
    <col min="1809" max="1809" width="10" style="75" customWidth="1"/>
    <col min="1810" max="1810" width="12.90625" style="75" customWidth="1"/>
    <col min="1811" max="2049" width="9.08984375" style="75"/>
    <col min="2050" max="2050" width="4.08984375" style="75" customWidth="1"/>
    <col min="2051" max="2051" width="25.54296875" style="75" customWidth="1"/>
    <col min="2052" max="2052" width="0" style="75" hidden="1" customWidth="1"/>
    <col min="2053" max="2053" width="9.08984375" style="75" bestFit="1" customWidth="1"/>
    <col min="2054" max="2054" width="9.08984375" style="75" customWidth="1"/>
    <col min="2055" max="2055" width="8.90625" style="75" customWidth="1"/>
    <col min="2056" max="2057" width="10.6328125" style="75" customWidth="1"/>
    <col min="2058" max="2058" width="10" style="75" customWidth="1"/>
    <col min="2059" max="2059" width="10.453125" style="75" customWidth="1"/>
    <col min="2060" max="2060" width="8.6328125" style="75" customWidth="1"/>
    <col min="2061" max="2061" width="0" style="75" hidden="1" customWidth="1"/>
    <col min="2062" max="2062" width="10.08984375" style="75" bestFit="1" customWidth="1"/>
    <col min="2063" max="2063" width="10.08984375" style="75" customWidth="1"/>
    <col min="2064" max="2064" width="0" style="75" hidden="1" customWidth="1"/>
    <col min="2065" max="2065" width="10" style="75" customWidth="1"/>
    <col min="2066" max="2066" width="12.90625" style="75" customWidth="1"/>
    <col min="2067" max="2305" width="9.08984375" style="75"/>
    <col min="2306" max="2306" width="4.08984375" style="75" customWidth="1"/>
    <col min="2307" max="2307" width="25.54296875" style="75" customWidth="1"/>
    <col min="2308" max="2308" width="0" style="75" hidden="1" customWidth="1"/>
    <col min="2309" max="2309" width="9.08984375" style="75" bestFit="1" customWidth="1"/>
    <col min="2310" max="2310" width="9.08984375" style="75" customWidth="1"/>
    <col min="2311" max="2311" width="8.90625" style="75" customWidth="1"/>
    <col min="2312" max="2313" width="10.6328125" style="75" customWidth="1"/>
    <col min="2314" max="2314" width="10" style="75" customWidth="1"/>
    <col min="2315" max="2315" width="10.453125" style="75" customWidth="1"/>
    <col min="2316" max="2316" width="8.6328125" style="75" customWidth="1"/>
    <col min="2317" max="2317" width="0" style="75" hidden="1" customWidth="1"/>
    <col min="2318" max="2318" width="10.08984375" style="75" bestFit="1" customWidth="1"/>
    <col min="2319" max="2319" width="10.08984375" style="75" customWidth="1"/>
    <col min="2320" max="2320" width="0" style="75" hidden="1" customWidth="1"/>
    <col min="2321" max="2321" width="10" style="75" customWidth="1"/>
    <col min="2322" max="2322" width="12.90625" style="75" customWidth="1"/>
    <col min="2323" max="2561" width="9.08984375" style="75"/>
    <col min="2562" max="2562" width="4.08984375" style="75" customWidth="1"/>
    <col min="2563" max="2563" width="25.54296875" style="75" customWidth="1"/>
    <col min="2564" max="2564" width="0" style="75" hidden="1" customWidth="1"/>
    <col min="2565" max="2565" width="9.08984375" style="75" bestFit="1" customWidth="1"/>
    <col min="2566" max="2566" width="9.08984375" style="75" customWidth="1"/>
    <col min="2567" max="2567" width="8.90625" style="75" customWidth="1"/>
    <col min="2568" max="2569" width="10.6328125" style="75" customWidth="1"/>
    <col min="2570" max="2570" width="10" style="75" customWidth="1"/>
    <col min="2571" max="2571" width="10.453125" style="75" customWidth="1"/>
    <col min="2572" max="2572" width="8.6328125" style="75" customWidth="1"/>
    <col min="2573" max="2573" width="0" style="75" hidden="1" customWidth="1"/>
    <col min="2574" max="2574" width="10.08984375" style="75" bestFit="1" customWidth="1"/>
    <col min="2575" max="2575" width="10.08984375" style="75" customWidth="1"/>
    <col min="2576" max="2576" width="0" style="75" hidden="1" customWidth="1"/>
    <col min="2577" max="2577" width="10" style="75" customWidth="1"/>
    <col min="2578" max="2578" width="12.90625" style="75" customWidth="1"/>
    <col min="2579" max="2817" width="9.08984375" style="75"/>
    <col min="2818" max="2818" width="4.08984375" style="75" customWidth="1"/>
    <col min="2819" max="2819" width="25.54296875" style="75" customWidth="1"/>
    <col min="2820" max="2820" width="0" style="75" hidden="1" customWidth="1"/>
    <col min="2821" max="2821" width="9.08984375" style="75" bestFit="1" customWidth="1"/>
    <col min="2822" max="2822" width="9.08984375" style="75" customWidth="1"/>
    <col min="2823" max="2823" width="8.90625" style="75" customWidth="1"/>
    <col min="2824" max="2825" width="10.6328125" style="75" customWidth="1"/>
    <col min="2826" max="2826" width="10" style="75" customWidth="1"/>
    <col min="2827" max="2827" width="10.453125" style="75" customWidth="1"/>
    <col min="2828" max="2828" width="8.6328125" style="75" customWidth="1"/>
    <col min="2829" max="2829" width="0" style="75" hidden="1" customWidth="1"/>
    <col min="2830" max="2830" width="10.08984375" style="75" bestFit="1" customWidth="1"/>
    <col min="2831" max="2831" width="10.08984375" style="75" customWidth="1"/>
    <col min="2832" max="2832" width="0" style="75" hidden="1" customWidth="1"/>
    <col min="2833" max="2833" width="10" style="75" customWidth="1"/>
    <col min="2834" max="2834" width="12.90625" style="75" customWidth="1"/>
    <col min="2835" max="3073" width="9.08984375" style="75"/>
    <col min="3074" max="3074" width="4.08984375" style="75" customWidth="1"/>
    <col min="3075" max="3075" width="25.54296875" style="75" customWidth="1"/>
    <col min="3076" max="3076" width="0" style="75" hidden="1" customWidth="1"/>
    <col min="3077" max="3077" width="9.08984375" style="75" bestFit="1" customWidth="1"/>
    <col min="3078" max="3078" width="9.08984375" style="75" customWidth="1"/>
    <col min="3079" max="3079" width="8.90625" style="75" customWidth="1"/>
    <col min="3080" max="3081" width="10.6328125" style="75" customWidth="1"/>
    <col min="3082" max="3082" width="10" style="75" customWidth="1"/>
    <col min="3083" max="3083" width="10.453125" style="75" customWidth="1"/>
    <col min="3084" max="3084" width="8.6328125" style="75" customWidth="1"/>
    <col min="3085" max="3085" width="0" style="75" hidden="1" customWidth="1"/>
    <col min="3086" max="3086" width="10.08984375" style="75" bestFit="1" customWidth="1"/>
    <col min="3087" max="3087" width="10.08984375" style="75" customWidth="1"/>
    <col min="3088" max="3088" width="0" style="75" hidden="1" customWidth="1"/>
    <col min="3089" max="3089" width="10" style="75" customWidth="1"/>
    <col min="3090" max="3090" width="12.90625" style="75" customWidth="1"/>
    <col min="3091" max="3329" width="9.08984375" style="75"/>
    <col min="3330" max="3330" width="4.08984375" style="75" customWidth="1"/>
    <col min="3331" max="3331" width="25.54296875" style="75" customWidth="1"/>
    <col min="3332" max="3332" width="0" style="75" hidden="1" customWidth="1"/>
    <col min="3333" max="3333" width="9.08984375" style="75" bestFit="1" customWidth="1"/>
    <col min="3334" max="3334" width="9.08984375" style="75" customWidth="1"/>
    <col min="3335" max="3335" width="8.90625" style="75" customWidth="1"/>
    <col min="3336" max="3337" width="10.6328125" style="75" customWidth="1"/>
    <col min="3338" max="3338" width="10" style="75" customWidth="1"/>
    <col min="3339" max="3339" width="10.453125" style="75" customWidth="1"/>
    <col min="3340" max="3340" width="8.6328125" style="75" customWidth="1"/>
    <col min="3341" max="3341" width="0" style="75" hidden="1" customWidth="1"/>
    <col min="3342" max="3342" width="10.08984375" style="75" bestFit="1" customWidth="1"/>
    <col min="3343" max="3343" width="10.08984375" style="75" customWidth="1"/>
    <col min="3344" max="3344" width="0" style="75" hidden="1" customWidth="1"/>
    <col min="3345" max="3345" width="10" style="75" customWidth="1"/>
    <col min="3346" max="3346" width="12.90625" style="75" customWidth="1"/>
    <col min="3347" max="3585" width="9.08984375" style="75"/>
    <col min="3586" max="3586" width="4.08984375" style="75" customWidth="1"/>
    <col min="3587" max="3587" width="25.54296875" style="75" customWidth="1"/>
    <col min="3588" max="3588" width="0" style="75" hidden="1" customWidth="1"/>
    <col min="3589" max="3589" width="9.08984375" style="75" bestFit="1" customWidth="1"/>
    <col min="3590" max="3590" width="9.08984375" style="75" customWidth="1"/>
    <col min="3591" max="3591" width="8.90625" style="75" customWidth="1"/>
    <col min="3592" max="3593" width="10.6328125" style="75" customWidth="1"/>
    <col min="3594" max="3594" width="10" style="75" customWidth="1"/>
    <col min="3595" max="3595" width="10.453125" style="75" customWidth="1"/>
    <col min="3596" max="3596" width="8.6328125" style="75" customWidth="1"/>
    <col min="3597" max="3597" width="0" style="75" hidden="1" customWidth="1"/>
    <col min="3598" max="3598" width="10.08984375" style="75" bestFit="1" customWidth="1"/>
    <col min="3599" max="3599" width="10.08984375" style="75" customWidth="1"/>
    <col min="3600" max="3600" width="0" style="75" hidden="1" customWidth="1"/>
    <col min="3601" max="3601" width="10" style="75" customWidth="1"/>
    <col min="3602" max="3602" width="12.90625" style="75" customWidth="1"/>
    <col min="3603" max="3841" width="9.08984375" style="75"/>
    <col min="3842" max="3842" width="4.08984375" style="75" customWidth="1"/>
    <col min="3843" max="3843" width="25.54296875" style="75" customWidth="1"/>
    <col min="3844" max="3844" width="0" style="75" hidden="1" customWidth="1"/>
    <col min="3845" max="3845" width="9.08984375" style="75" bestFit="1" customWidth="1"/>
    <col min="3846" max="3846" width="9.08984375" style="75" customWidth="1"/>
    <col min="3847" max="3847" width="8.90625" style="75" customWidth="1"/>
    <col min="3848" max="3849" width="10.6328125" style="75" customWidth="1"/>
    <col min="3850" max="3850" width="10" style="75" customWidth="1"/>
    <col min="3851" max="3851" width="10.453125" style="75" customWidth="1"/>
    <col min="3852" max="3852" width="8.6328125" style="75" customWidth="1"/>
    <col min="3853" max="3853" width="0" style="75" hidden="1" customWidth="1"/>
    <col min="3854" max="3854" width="10.08984375" style="75" bestFit="1" customWidth="1"/>
    <col min="3855" max="3855" width="10.08984375" style="75" customWidth="1"/>
    <col min="3856" max="3856" width="0" style="75" hidden="1" customWidth="1"/>
    <col min="3857" max="3857" width="10" style="75" customWidth="1"/>
    <col min="3858" max="3858" width="12.90625" style="75" customWidth="1"/>
    <col min="3859" max="4097" width="9.08984375" style="75"/>
    <col min="4098" max="4098" width="4.08984375" style="75" customWidth="1"/>
    <col min="4099" max="4099" width="25.54296875" style="75" customWidth="1"/>
    <col min="4100" max="4100" width="0" style="75" hidden="1" customWidth="1"/>
    <col min="4101" max="4101" width="9.08984375" style="75" bestFit="1" customWidth="1"/>
    <col min="4102" max="4102" width="9.08984375" style="75" customWidth="1"/>
    <col min="4103" max="4103" width="8.90625" style="75" customWidth="1"/>
    <col min="4104" max="4105" width="10.6328125" style="75" customWidth="1"/>
    <col min="4106" max="4106" width="10" style="75" customWidth="1"/>
    <col min="4107" max="4107" width="10.453125" style="75" customWidth="1"/>
    <col min="4108" max="4108" width="8.6328125" style="75" customWidth="1"/>
    <col min="4109" max="4109" width="0" style="75" hidden="1" customWidth="1"/>
    <col min="4110" max="4110" width="10.08984375" style="75" bestFit="1" customWidth="1"/>
    <col min="4111" max="4111" width="10.08984375" style="75" customWidth="1"/>
    <col min="4112" max="4112" width="0" style="75" hidden="1" customWidth="1"/>
    <col min="4113" max="4113" width="10" style="75" customWidth="1"/>
    <col min="4114" max="4114" width="12.90625" style="75" customWidth="1"/>
    <col min="4115" max="4353" width="9.08984375" style="75"/>
    <col min="4354" max="4354" width="4.08984375" style="75" customWidth="1"/>
    <col min="4355" max="4355" width="25.54296875" style="75" customWidth="1"/>
    <col min="4356" max="4356" width="0" style="75" hidden="1" customWidth="1"/>
    <col min="4357" max="4357" width="9.08984375" style="75" bestFit="1" customWidth="1"/>
    <col min="4358" max="4358" width="9.08984375" style="75" customWidth="1"/>
    <col min="4359" max="4359" width="8.90625" style="75" customWidth="1"/>
    <col min="4360" max="4361" width="10.6328125" style="75" customWidth="1"/>
    <col min="4362" max="4362" width="10" style="75" customWidth="1"/>
    <col min="4363" max="4363" width="10.453125" style="75" customWidth="1"/>
    <col min="4364" max="4364" width="8.6328125" style="75" customWidth="1"/>
    <col min="4365" max="4365" width="0" style="75" hidden="1" customWidth="1"/>
    <col min="4366" max="4366" width="10.08984375" style="75" bestFit="1" customWidth="1"/>
    <col min="4367" max="4367" width="10.08984375" style="75" customWidth="1"/>
    <col min="4368" max="4368" width="0" style="75" hidden="1" customWidth="1"/>
    <col min="4369" max="4369" width="10" style="75" customWidth="1"/>
    <col min="4370" max="4370" width="12.90625" style="75" customWidth="1"/>
    <col min="4371" max="4609" width="9.08984375" style="75"/>
    <col min="4610" max="4610" width="4.08984375" style="75" customWidth="1"/>
    <col min="4611" max="4611" width="25.54296875" style="75" customWidth="1"/>
    <col min="4612" max="4612" width="0" style="75" hidden="1" customWidth="1"/>
    <col min="4613" max="4613" width="9.08984375" style="75" bestFit="1" customWidth="1"/>
    <col min="4614" max="4614" width="9.08984375" style="75" customWidth="1"/>
    <col min="4615" max="4615" width="8.90625" style="75" customWidth="1"/>
    <col min="4616" max="4617" width="10.6328125" style="75" customWidth="1"/>
    <col min="4618" max="4618" width="10" style="75" customWidth="1"/>
    <col min="4619" max="4619" width="10.453125" style="75" customWidth="1"/>
    <col min="4620" max="4620" width="8.6328125" style="75" customWidth="1"/>
    <col min="4621" max="4621" width="0" style="75" hidden="1" customWidth="1"/>
    <col min="4622" max="4622" width="10.08984375" style="75" bestFit="1" customWidth="1"/>
    <col min="4623" max="4623" width="10.08984375" style="75" customWidth="1"/>
    <col min="4624" max="4624" width="0" style="75" hidden="1" customWidth="1"/>
    <col min="4625" max="4625" width="10" style="75" customWidth="1"/>
    <col min="4626" max="4626" width="12.90625" style="75" customWidth="1"/>
    <col min="4627" max="4865" width="9.08984375" style="75"/>
    <col min="4866" max="4866" width="4.08984375" style="75" customWidth="1"/>
    <col min="4867" max="4867" width="25.54296875" style="75" customWidth="1"/>
    <col min="4868" max="4868" width="0" style="75" hidden="1" customWidth="1"/>
    <col min="4869" max="4869" width="9.08984375" style="75" bestFit="1" customWidth="1"/>
    <col min="4870" max="4870" width="9.08984375" style="75" customWidth="1"/>
    <col min="4871" max="4871" width="8.90625" style="75" customWidth="1"/>
    <col min="4872" max="4873" width="10.6328125" style="75" customWidth="1"/>
    <col min="4874" max="4874" width="10" style="75" customWidth="1"/>
    <col min="4875" max="4875" width="10.453125" style="75" customWidth="1"/>
    <col min="4876" max="4876" width="8.6328125" style="75" customWidth="1"/>
    <col min="4877" max="4877" width="0" style="75" hidden="1" customWidth="1"/>
    <col min="4878" max="4878" width="10.08984375" style="75" bestFit="1" customWidth="1"/>
    <col min="4879" max="4879" width="10.08984375" style="75" customWidth="1"/>
    <col min="4880" max="4880" width="0" style="75" hidden="1" customWidth="1"/>
    <col min="4881" max="4881" width="10" style="75" customWidth="1"/>
    <col min="4882" max="4882" width="12.90625" style="75" customWidth="1"/>
    <col min="4883" max="5121" width="9.08984375" style="75"/>
    <col min="5122" max="5122" width="4.08984375" style="75" customWidth="1"/>
    <col min="5123" max="5123" width="25.54296875" style="75" customWidth="1"/>
    <col min="5124" max="5124" width="0" style="75" hidden="1" customWidth="1"/>
    <col min="5125" max="5125" width="9.08984375" style="75" bestFit="1" customWidth="1"/>
    <col min="5126" max="5126" width="9.08984375" style="75" customWidth="1"/>
    <col min="5127" max="5127" width="8.90625" style="75" customWidth="1"/>
    <col min="5128" max="5129" width="10.6328125" style="75" customWidth="1"/>
    <col min="5130" max="5130" width="10" style="75" customWidth="1"/>
    <col min="5131" max="5131" width="10.453125" style="75" customWidth="1"/>
    <col min="5132" max="5132" width="8.6328125" style="75" customWidth="1"/>
    <col min="5133" max="5133" width="0" style="75" hidden="1" customWidth="1"/>
    <col min="5134" max="5134" width="10.08984375" style="75" bestFit="1" customWidth="1"/>
    <col min="5135" max="5135" width="10.08984375" style="75" customWidth="1"/>
    <col min="5136" max="5136" width="0" style="75" hidden="1" customWidth="1"/>
    <col min="5137" max="5137" width="10" style="75" customWidth="1"/>
    <col min="5138" max="5138" width="12.90625" style="75" customWidth="1"/>
    <col min="5139" max="5377" width="9.08984375" style="75"/>
    <col min="5378" max="5378" width="4.08984375" style="75" customWidth="1"/>
    <col min="5379" max="5379" width="25.54296875" style="75" customWidth="1"/>
    <col min="5380" max="5380" width="0" style="75" hidden="1" customWidth="1"/>
    <col min="5381" max="5381" width="9.08984375" style="75" bestFit="1" customWidth="1"/>
    <col min="5382" max="5382" width="9.08984375" style="75" customWidth="1"/>
    <col min="5383" max="5383" width="8.90625" style="75" customWidth="1"/>
    <col min="5384" max="5385" width="10.6328125" style="75" customWidth="1"/>
    <col min="5386" max="5386" width="10" style="75" customWidth="1"/>
    <col min="5387" max="5387" width="10.453125" style="75" customWidth="1"/>
    <col min="5388" max="5388" width="8.6328125" style="75" customWidth="1"/>
    <col min="5389" max="5389" width="0" style="75" hidden="1" customWidth="1"/>
    <col min="5390" max="5390" width="10.08984375" style="75" bestFit="1" customWidth="1"/>
    <col min="5391" max="5391" width="10.08984375" style="75" customWidth="1"/>
    <col min="5392" max="5392" width="0" style="75" hidden="1" customWidth="1"/>
    <col min="5393" max="5393" width="10" style="75" customWidth="1"/>
    <col min="5394" max="5394" width="12.90625" style="75" customWidth="1"/>
    <col min="5395" max="5633" width="9.08984375" style="75"/>
    <col min="5634" max="5634" width="4.08984375" style="75" customWidth="1"/>
    <col min="5635" max="5635" width="25.54296875" style="75" customWidth="1"/>
    <col min="5636" max="5636" width="0" style="75" hidden="1" customWidth="1"/>
    <col min="5637" max="5637" width="9.08984375" style="75" bestFit="1" customWidth="1"/>
    <col min="5638" max="5638" width="9.08984375" style="75" customWidth="1"/>
    <col min="5639" max="5639" width="8.90625" style="75" customWidth="1"/>
    <col min="5640" max="5641" width="10.6328125" style="75" customWidth="1"/>
    <col min="5642" max="5642" width="10" style="75" customWidth="1"/>
    <col min="5643" max="5643" width="10.453125" style="75" customWidth="1"/>
    <col min="5644" max="5644" width="8.6328125" style="75" customWidth="1"/>
    <col min="5645" max="5645" width="0" style="75" hidden="1" customWidth="1"/>
    <col min="5646" max="5646" width="10.08984375" style="75" bestFit="1" customWidth="1"/>
    <col min="5647" max="5647" width="10.08984375" style="75" customWidth="1"/>
    <col min="5648" max="5648" width="0" style="75" hidden="1" customWidth="1"/>
    <col min="5649" max="5649" width="10" style="75" customWidth="1"/>
    <col min="5650" max="5650" width="12.90625" style="75" customWidth="1"/>
    <col min="5651" max="5889" width="9.08984375" style="75"/>
    <col min="5890" max="5890" width="4.08984375" style="75" customWidth="1"/>
    <col min="5891" max="5891" width="25.54296875" style="75" customWidth="1"/>
    <col min="5892" max="5892" width="0" style="75" hidden="1" customWidth="1"/>
    <col min="5893" max="5893" width="9.08984375" style="75" bestFit="1" customWidth="1"/>
    <col min="5894" max="5894" width="9.08984375" style="75" customWidth="1"/>
    <col min="5895" max="5895" width="8.90625" style="75" customWidth="1"/>
    <col min="5896" max="5897" width="10.6328125" style="75" customWidth="1"/>
    <col min="5898" max="5898" width="10" style="75" customWidth="1"/>
    <col min="5899" max="5899" width="10.453125" style="75" customWidth="1"/>
    <col min="5900" max="5900" width="8.6328125" style="75" customWidth="1"/>
    <col min="5901" max="5901" width="0" style="75" hidden="1" customWidth="1"/>
    <col min="5902" max="5902" width="10.08984375" style="75" bestFit="1" customWidth="1"/>
    <col min="5903" max="5903" width="10.08984375" style="75" customWidth="1"/>
    <col min="5904" max="5904" width="0" style="75" hidden="1" customWidth="1"/>
    <col min="5905" max="5905" width="10" style="75" customWidth="1"/>
    <col min="5906" max="5906" width="12.90625" style="75" customWidth="1"/>
    <col min="5907" max="6145" width="9.08984375" style="75"/>
    <col min="6146" max="6146" width="4.08984375" style="75" customWidth="1"/>
    <col min="6147" max="6147" width="25.54296875" style="75" customWidth="1"/>
    <col min="6148" max="6148" width="0" style="75" hidden="1" customWidth="1"/>
    <col min="6149" max="6149" width="9.08984375" style="75" bestFit="1" customWidth="1"/>
    <col min="6150" max="6150" width="9.08984375" style="75" customWidth="1"/>
    <col min="6151" max="6151" width="8.90625" style="75" customWidth="1"/>
    <col min="6152" max="6153" width="10.6328125" style="75" customWidth="1"/>
    <col min="6154" max="6154" width="10" style="75" customWidth="1"/>
    <col min="6155" max="6155" width="10.453125" style="75" customWidth="1"/>
    <col min="6156" max="6156" width="8.6328125" style="75" customWidth="1"/>
    <col min="6157" max="6157" width="0" style="75" hidden="1" customWidth="1"/>
    <col min="6158" max="6158" width="10.08984375" style="75" bestFit="1" customWidth="1"/>
    <col min="6159" max="6159" width="10.08984375" style="75" customWidth="1"/>
    <col min="6160" max="6160" width="0" style="75" hidden="1" customWidth="1"/>
    <col min="6161" max="6161" width="10" style="75" customWidth="1"/>
    <col min="6162" max="6162" width="12.90625" style="75" customWidth="1"/>
    <col min="6163" max="6401" width="9.08984375" style="75"/>
    <col min="6402" max="6402" width="4.08984375" style="75" customWidth="1"/>
    <col min="6403" max="6403" width="25.54296875" style="75" customWidth="1"/>
    <col min="6404" max="6404" width="0" style="75" hidden="1" customWidth="1"/>
    <col min="6405" max="6405" width="9.08984375" style="75" bestFit="1" customWidth="1"/>
    <col min="6406" max="6406" width="9.08984375" style="75" customWidth="1"/>
    <col min="6407" max="6407" width="8.90625" style="75" customWidth="1"/>
    <col min="6408" max="6409" width="10.6328125" style="75" customWidth="1"/>
    <col min="6410" max="6410" width="10" style="75" customWidth="1"/>
    <col min="6411" max="6411" width="10.453125" style="75" customWidth="1"/>
    <col min="6412" max="6412" width="8.6328125" style="75" customWidth="1"/>
    <col min="6413" max="6413" width="0" style="75" hidden="1" customWidth="1"/>
    <col min="6414" max="6414" width="10.08984375" style="75" bestFit="1" customWidth="1"/>
    <col min="6415" max="6415" width="10.08984375" style="75" customWidth="1"/>
    <col min="6416" max="6416" width="0" style="75" hidden="1" customWidth="1"/>
    <col min="6417" max="6417" width="10" style="75" customWidth="1"/>
    <col min="6418" max="6418" width="12.90625" style="75" customWidth="1"/>
    <col min="6419" max="6657" width="9.08984375" style="75"/>
    <col min="6658" max="6658" width="4.08984375" style="75" customWidth="1"/>
    <col min="6659" max="6659" width="25.54296875" style="75" customWidth="1"/>
    <col min="6660" max="6660" width="0" style="75" hidden="1" customWidth="1"/>
    <col min="6661" max="6661" width="9.08984375" style="75" bestFit="1" customWidth="1"/>
    <col min="6662" max="6662" width="9.08984375" style="75" customWidth="1"/>
    <col min="6663" max="6663" width="8.90625" style="75" customWidth="1"/>
    <col min="6664" max="6665" width="10.6328125" style="75" customWidth="1"/>
    <col min="6666" max="6666" width="10" style="75" customWidth="1"/>
    <col min="6667" max="6667" width="10.453125" style="75" customWidth="1"/>
    <col min="6668" max="6668" width="8.6328125" style="75" customWidth="1"/>
    <col min="6669" max="6669" width="0" style="75" hidden="1" customWidth="1"/>
    <col min="6670" max="6670" width="10.08984375" style="75" bestFit="1" customWidth="1"/>
    <col min="6671" max="6671" width="10.08984375" style="75" customWidth="1"/>
    <col min="6672" max="6672" width="0" style="75" hidden="1" customWidth="1"/>
    <col min="6673" max="6673" width="10" style="75" customWidth="1"/>
    <col min="6674" max="6674" width="12.90625" style="75" customWidth="1"/>
    <col min="6675" max="6913" width="9.08984375" style="75"/>
    <col min="6914" max="6914" width="4.08984375" style="75" customWidth="1"/>
    <col min="6915" max="6915" width="25.54296875" style="75" customWidth="1"/>
    <col min="6916" max="6916" width="0" style="75" hidden="1" customWidth="1"/>
    <col min="6917" max="6917" width="9.08984375" style="75" bestFit="1" customWidth="1"/>
    <col min="6918" max="6918" width="9.08984375" style="75" customWidth="1"/>
    <col min="6919" max="6919" width="8.90625" style="75" customWidth="1"/>
    <col min="6920" max="6921" width="10.6328125" style="75" customWidth="1"/>
    <col min="6922" max="6922" width="10" style="75" customWidth="1"/>
    <col min="6923" max="6923" width="10.453125" style="75" customWidth="1"/>
    <col min="6924" max="6924" width="8.6328125" style="75" customWidth="1"/>
    <col min="6925" max="6925" width="0" style="75" hidden="1" customWidth="1"/>
    <col min="6926" max="6926" width="10.08984375" style="75" bestFit="1" customWidth="1"/>
    <col min="6927" max="6927" width="10.08984375" style="75" customWidth="1"/>
    <col min="6928" max="6928" width="0" style="75" hidden="1" customWidth="1"/>
    <col min="6929" max="6929" width="10" style="75" customWidth="1"/>
    <col min="6930" max="6930" width="12.90625" style="75" customWidth="1"/>
    <col min="6931" max="7169" width="9.08984375" style="75"/>
    <col min="7170" max="7170" width="4.08984375" style="75" customWidth="1"/>
    <col min="7171" max="7171" width="25.54296875" style="75" customWidth="1"/>
    <col min="7172" max="7172" width="0" style="75" hidden="1" customWidth="1"/>
    <col min="7173" max="7173" width="9.08984375" style="75" bestFit="1" customWidth="1"/>
    <col min="7174" max="7174" width="9.08984375" style="75" customWidth="1"/>
    <col min="7175" max="7175" width="8.90625" style="75" customWidth="1"/>
    <col min="7176" max="7177" width="10.6328125" style="75" customWidth="1"/>
    <col min="7178" max="7178" width="10" style="75" customWidth="1"/>
    <col min="7179" max="7179" width="10.453125" style="75" customWidth="1"/>
    <col min="7180" max="7180" width="8.6328125" style="75" customWidth="1"/>
    <col min="7181" max="7181" width="0" style="75" hidden="1" customWidth="1"/>
    <col min="7182" max="7182" width="10.08984375" style="75" bestFit="1" customWidth="1"/>
    <col min="7183" max="7183" width="10.08984375" style="75" customWidth="1"/>
    <col min="7184" max="7184" width="0" style="75" hidden="1" customWidth="1"/>
    <col min="7185" max="7185" width="10" style="75" customWidth="1"/>
    <col min="7186" max="7186" width="12.90625" style="75" customWidth="1"/>
    <col min="7187" max="7425" width="9.08984375" style="75"/>
    <col min="7426" max="7426" width="4.08984375" style="75" customWidth="1"/>
    <col min="7427" max="7427" width="25.54296875" style="75" customWidth="1"/>
    <col min="7428" max="7428" width="0" style="75" hidden="1" customWidth="1"/>
    <col min="7429" max="7429" width="9.08984375" style="75" bestFit="1" customWidth="1"/>
    <col min="7430" max="7430" width="9.08984375" style="75" customWidth="1"/>
    <col min="7431" max="7431" width="8.90625" style="75" customWidth="1"/>
    <col min="7432" max="7433" width="10.6328125" style="75" customWidth="1"/>
    <col min="7434" max="7434" width="10" style="75" customWidth="1"/>
    <col min="7435" max="7435" width="10.453125" style="75" customWidth="1"/>
    <col min="7436" max="7436" width="8.6328125" style="75" customWidth="1"/>
    <col min="7437" max="7437" width="0" style="75" hidden="1" customWidth="1"/>
    <col min="7438" max="7438" width="10.08984375" style="75" bestFit="1" customWidth="1"/>
    <col min="7439" max="7439" width="10.08984375" style="75" customWidth="1"/>
    <col min="7440" max="7440" width="0" style="75" hidden="1" customWidth="1"/>
    <col min="7441" max="7441" width="10" style="75" customWidth="1"/>
    <col min="7442" max="7442" width="12.90625" style="75" customWidth="1"/>
    <col min="7443" max="7681" width="9.08984375" style="75"/>
    <col min="7682" max="7682" width="4.08984375" style="75" customWidth="1"/>
    <col min="7683" max="7683" width="25.54296875" style="75" customWidth="1"/>
    <col min="7684" max="7684" width="0" style="75" hidden="1" customWidth="1"/>
    <col min="7685" max="7685" width="9.08984375" style="75" bestFit="1" customWidth="1"/>
    <col min="7686" max="7686" width="9.08984375" style="75" customWidth="1"/>
    <col min="7687" max="7687" width="8.90625" style="75" customWidth="1"/>
    <col min="7688" max="7689" width="10.6328125" style="75" customWidth="1"/>
    <col min="7690" max="7690" width="10" style="75" customWidth="1"/>
    <col min="7691" max="7691" width="10.453125" style="75" customWidth="1"/>
    <col min="7692" max="7692" width="8.6328125" style="75" customWidth="1"/>
    <col min="7693" max="7693" width="0" style="75" hidden="1" customWidth="1"/>
    <col min="7694" max="7694" width="10.08984375" style="75" bestFit="1" customWidth="1"/>
    <col min="7695" max="7695" width="10.08984375" style="75" customWidth="1"/>
    <col min="7696" max="7696" width="0" style="75" hidden="1" customWidth="1"/>
    <col min="7697" max="7697" width="10" style="75" customWidth="1"/>
    <col min="7698" max="7698" width="12.90625" style="75" customWidth="1"/>
    <col min="7699" max="7937" width="9.08984375" style="75"/>
    <col min="7938" max="7938" width="4.08984375" style="75" customWidth="1"/>
    <col min="7939" max="7939" width="25.54296875" style="75" customWidth="1"/>
    <col min="7940" max="7940" width="0" style="75" hidden="1" customWidth="1"/>
    <col min="7941" max="7941" width="9.08984375" style="75" bestFit="1" customWidth="1"/>
    <col min="7942" max="7942" width="9.08984375" style="75" customWidth="1"/>
    <col min="7943" max="7943" width="8.90625" style="75" customWidth="1"/>
    <col min="7944" max="7945" width="10.6328125" style="75" customWidth="1"/>
    <col min="7946" max="7946" width="10" style="75" customWidth="1"/>
    <col min="7947" max="7947" width="10.453125" style="75" customWidth="1"/>
    <col min="7948" max="7948" width="8.6328125" style="75" customWidth="1"/>
    <col min="7949" max="7949" width="0" style="75" hidden="1" customWidth="1"/>
    <col min="7950" max="7950" width="10.08984375" style="75" bestFit="1" customWidth="1"/>
    <col min="7951" max="7951" width="10.08984375" style="75" customWidth="1"/>
    <col min="7952" max="7952" width="0" style="75" hidden="1" customWidth="1"/>
    <col min="7953" max="7953" width="10" style="75" customWidth="1"/>
    <col min="7954" max="7954" width="12.90625" style="75" customWidth="1"/>
    <col min="7955" max="8193" width="9.08984375" style="75"/>
    <col min="8194" max="8194" width="4.08984375" style="75" customWidth="1"/>
    <col min="8195" max="8195" width="25.54296875" style="75" customWidth="1"/>
    <col min="8196" max="8196" width="0" style="75" hidden="1" customWidth="1"/>
    <col min="8197" max="8197" width="9.08984375" style="75" bestFit="1" customWidth="1"/>
    <col min="8198" max="8198" width="9.08984375" style="75" customWidth="1"/>
    <col min="8199" max="8199" width="8.90625" style="75" customWidth="1"/>
    <col min="8200" max="8201" width="10.6328125" style="75" customWidth="1"/>
    <col min="8202" max="8202" width="10" style="75" customWidth="1"/>
    <col min="8203" max="8203" width="10.453125" style="75" customWidth="1"/>
    <col min="8204" max="8204" width="8.6328125" style="75" customWidth="1"/>
    <col min="8205" max="8205" width="0" style="75" hidden="1" customWidth="1"/>
    <col min="8206" max="8206" width="10.08984375" style="75" bestFit="1" customWidth="1"/>
    <col min="8207" max="8207" width="10.08984375" style="75" customWidth="1"/>
    <col min="8208" max="8208" width="0" style="75" hidden="1" customWidth="1"/>
    <col min="8209" max="8209" width="10" style="75" customWidth="1"/>
    <col min="8210" max="8210" width="12.90625" style="75" customWidth="1"/>
    <col min="8211" max="8449" width="9.08984375" style="75"/>
    <col min="8450" max="8450" width="4.08984375" style="75" customWidth="1"/>
    <col min="8451" max="8451" width="25.54296875" style="75" customWidth="1"/>
    <col min="8452" max="8452" width="0" style="75" hidden="1" customWidth="1"/>
    <col min="8453" max="8453" width="9.08984375" style="75" bestFit="1" customWidth="1"/>
    <col min="8454" max="8454" width="9.08984375" style="75" customWidth="1"/>
    <col min="8455" max="8455" width="8.90625" style="75" customWidth="1"/>
    <col min="8456" max="8457" width="10.6328125" style="75" customWidth="1"/>
    <col min="8458" max="8458" width="10" style="75" customWidth="1"/>
    <col min="8459" max="8459" width="10.453125" style="75" customWidth="1"/>
    <col min="8460" max="8460" width="8.6328125" style="75" customWidth="1"/>
    <col min="8461" max="8461" width="0" style="75" hidden="1" customWidth="1"/>
    <col min="8462" max="8462" width="10.08984375" style="75" bestFit="1" customWidth="1"/>
    <col min="8463" max="8463" width="10.08984375" style="75" customWidth="1"/>
    <col min="8464" max="8464" width="0" style="75" hidden="1" customWidth="1"/>
    <col min="8465" max="8465" width="10" style="75" customWidth="1"/>
    <col min="8466" max="8466" width="12.90625" style="75" customWidth="1"/>
    <col min="8467" max="8705" width="9.08984375" style="75"/>
    <col min="8706" max="8706" width="4.08984375" style="75" customWidth="1"/>
    <col min="8707" max="8707" width="25.54296875" style="75" customWidth="1"/>
    <col min="8708" max="8708" width="0" style="75" hidden="1" customWidth="1"/>
    <col min="8709" max="8709" width="9.08984375" style="75" bestFit="1" customWidth="1"/>
    <col min="8710" max="8710" width="9.08984375" style="75" customWidth="1"/>
    <col min="8711" max="8711" width="8.90625" style="75" customWidth="1"/>
    <col min="8712" max="8713" width="10.6328125" style="75" customWidth="1"/>
    <col min="8714" max="8714" width="10" style="75" customWidth="1"/>
    <col min="8715" max="8715" width="10.453125" style="75" customWidth="1"/>
    <col min="8716" max="8716" width="8.6328125" style="75" customWidth="1"/>
    <col min="8717" max="8717" width="0" style="75" hidden="1" customWidth="1"/>
    <col min="8718" max="8718" width="10.08984375" style="75" bestFit="1" customWidth="1"/>
    <col min="8719" max="8719" width="10.08984375" style="75" customWidth="1"/>
    <col min="8720" max="8720" width="0" style="75" hidden="1" customWidth="1"/>
    <col min="8721" max="8721" width="10" style="75" customWidth="1"/>
    <col min="8722" max="8722" width="12.90625" style="75" customWidth="1"/>
    <col min="8723" max="8961" width="9.08984375" style="75"/>
    <col min="8962" max="8962" width="4.08984375" style="75" customWidth="1"/>
    <col min="8963" max="8963" width="25.54296875" style="75" customWidth="1"/>
    <col min="8964" max="8964" width="0" style="75" hidden="1" customWidth="1"/>
    <col min="8965" max="8965" width="9.08984375" style="75" bestFit="1" customWidth="1"/>
    <col min="8966" max="8966" width="9.08984375" style="75" customWidth="1"/>
    <col min="8967" max="8967" width="8.90625" style="75" customWidth="1"/>
    <col min="8968" max="8969" width="10.6328125" style="75" customWidth="1"/>
    <col min="8970" max="8970" width="10" style="75" customWidth="1"/>
    <col min="8971" max="8971" width="10.453125" style="75" customWidth="1"/>
    <col min="8972" max="8972" width="8.6328125" style="75" customWidth="1"/>
    <col min="8973" max="8973" width="0" style="75" hidden="1" customWidth="1"/>
    <col min="8974" max="8974" width="10.08984375" style="75" bestFit="1" customWidth="1"/>
    <col min="8975" max="8975" width="10.08984375" style="75" customWidth="1"/>
    <col min="8976" max="8976" width="0" style="75" hidden="1" customWidth="1"/>
    <col min="8977" max="8977" width="10" style="75" customWidth="1"/>
    <col min="8978" max="8978" width="12.90625" style="75" customWidth="1"/>
    <col min="8979" max="9217" width="9.08984375" style="75"/>
    <col min="9218" max="9218" width="4.08984375" style="75" customWidth="1"/>
    <col min="9219" max="9219" width="25.54296875" style="75" customWidth="1"/>
    <col min="9220" max="9220" width="0" style="75" hidden="1" customWidth="1"/>
    <col min="9221" max="9221" width="9.08984375" style="75" bestFit="1" customWidth="1"/>
    <col min="9222" max="9222" width="9.08984375" style="75" customWidth="1"/>
    <col min="9223" max="9223" width="8.90625" style="75" customWidth="1"/>
    <col min="9224" max="9225" width="10.6328125" style="75" customWidth="1"/>
    <col min="9226" max="9226" width="10" style="75" customWidth="1"/>
    <col min="9227" max="9227" width="10.453125" style="75" customWidth="1"/>
    <col min="9228" max="9228" width="8.6328125" style="75" customWidth="1"/>
    <col min="9229" max="9229" width="0" style="75" hidden="1" customWidth="1"/>
    <col min="9230" max="9230" width="10.08984375" style="75" bestFit="1" customWidth="1"/>
    <col min="9231" max="9231" width="10.08984375" style="75" customWidth="1"/>
    <col min="9232" max="9232" width="0" style="75" hidden="1" customWidth="1"/>
    <col min="9233" max="9233" width="10" style="75" customWidth="1"/>
    <col min="9234" max="9234" width="12.90625" style="75" customWidth="1"/>
    <col min="9235" max="9473" width="9.08984375" style="75"/>
    <col min="9474" max="9474" width="4.08984375" style="75" customWidth="1"/>
    <col min="9475" max="9475" width="25.54296875" style="75" customWidth="1"/>
    <col min="9476" max="9476" width="0" style="75" hidden="1" customWidth="1"/>
    <col min="9477" max="9477" width="9.08984375" style="75" bestFit="1" customWidth="1"/>
    <col min="9478" max="9478" width="9.08984375" style="75" customWidth="1"/>
    <col min="9479" max="9479" width="8.90625" style="75" customWidth="1"/>
    <col min="9480" max="9481" width="10.6328125" style="75" customWidth="1"/>
    <col min="9482" max="9482" width="10" style="75" customWidth="1"/>
    <col min="9483" max="9483" width="10.453125" style="75" customWidth="1"/>
    <col min="9484" max="9484" width="8.6328125" style="75" customWidth="1"/>
    <col min="9485" max="9485" width="0" style="75" hidden="1" customWidth="1"/>
    <col min="9486" max="9486" width="10.08984375" style="75" bestFit="1" customWidth="1"/>
    <col min="9487" max="9487" width="10.08984375" style="75" customWidth="1"/>
    <col min="9488" max="9488" width="0" style="75" hidden="1" customWidth="1"/>
    <col min="9489" max="9489" width="10" style="75" customWidth="1"/>
    <col min="9490" max="9490" width="12.90625" style="75" customWidth="1"/>
    <col min="9491" max="9729" width="9.08984375" style="75"/>
    <col min="9730" max="9730" width="4.08984375" style="75" customWidth="1"/>
    <col min="9731" max="9731" width="25.54296875" style="75" customWidth="1"/>
    <col min="9732" max="9732" width="0" style="75" hidden="1" customWidth="1"/>
    <col min="9733" max="9733" width="9.08984375" style="75" bestFit="1" customWidth="1"/>
    <col min="9734" max="9734" width="9.08984375" style="75" customWidth="1"/>
    <col min="9735" max="9735" width="8.90625" style="75" customWidth="1"/>
    <col min="9736" max="9737" width="10.6328125" style="75" customWidth="1"/>
    <col min="9738" max="9738" width="10" style="75" customWidth="1"/>
    <col min="9739" max="9739" width="10.453125" style="75" customWidth="1"/>
    <col min="9740" max="9740" width="8.6328125" style="75" customWidth="1"/>
    <col min="9741" max="9741" width="0" style="75" hidden="1" customWidth="1"/>
    <col min="9742" max="9742" width="10.08984375" style="75" bestFit="1" customWidth="1"/>
    <col min="9743" max="9743" width="10.08984375" style="75" customWidth="1"/>
    <col min="9744" max="9744" width="0" style="75" hidden="1" customWidth="1"/>
    <col min="9745" max="9745" width="10" style="75" customWidth="1"/>
    <col min="9746" max="9746" width="12.90625" style="75" customWidth="1"/>
    <col min="9747" max="9985" width="9.08984375" style="75"/>
    <col min="9986" max="9986" width="4.08984375" style="75" customWidth="1"/>
    <col min="9987" max="9987" width="25.54296875" style="75" customWidth="1"/>
    <col min="9988" max="9988" width="0" style="75" hidden="1" customWidth="1"/>
    <col min="9989" max="9989" width="9.08984375" style="75" bestFit="1" customWidth="1"/>
    <col min="9990" max="9990" width="9.08984375" style="75" customWidth="1"/>
    <col min="9991" max="9991" width="8.90625" style="75" customWidth="1"/>
    <col min="9992" max="9993" width="10.6328125" style="75" customWidth="1"/>
    <col min="9994" max="9994" width="10" style="75" customWidth="1"/>
    <col min="9995" max="9995" width="10.453125" style="75" customWidth="1"/>
    <col min="9996" max="9996" width="8.6328125" style="75" customWidth="1"/>
    <col min="9997" max="9997" width="0" style="75" hidden="1" customWidth="1"/>
    <col min="9998" max="9998" width="10.08984375" style="75" bestFit="1" customWidth="1"/>
    <col min="9999" max="9999" width="10.08984375" style="75" customWidth="1"/>
    <col min="10000" max="10000" width="0" style="75" hidden="1" customWidth="1"/>
    <col min="10001" max="10001" width="10" style="75" customWidth="1"/>
    <col min="10002" max="10002" width="12.90625" style="75" customWidth="1"/>
    <col min="10003" max="10241" width="9.08984375" style="75"/>
    <col min="10242" max="10242" width="4.08984375" style="75" customWidth="1"/>
    <col min="10243" max="10243" width="25.54296875" style="75" customWidth="1"/>
    <col min="10244" max="10244" width="0" style="75" hidden="1" customWidth="1"/>
    <col min="10245" max="10245" width="9.08984375" style="75" bestFit="1" customWidth="1"/>
    <col min="10246" max="10246" width="9.08984375" style="75" customWidth="1"/>
    <col min="10247" max="10247" width="8.90625" style="75" customWidth="1"/>
    <col min="10248" max="10249" width="10.6328125" style="75" customWidth="1"/>
    <col min="10250" max="10250" width="10" style="75" customWidth="1"/>
    <col min="10251" max="10251" width="10.453125" style="75" customWidth="1"/>
    <col min="10252" max="10252" width="8.6328125" style="75" customWidth="1"/>
    <col min="10253" max="10253" width="0" style="75" hidden="1" customWidth="1"/>
    <col min="10254" max="10254" width="10.08984375" style="75" bestFit="1" customWidth="1"/>
    <col min="10255" max="10255" width="10.08984375" style="75" customWidth="1"/>
    <col min="10256" max="10256" width="0" style="75" hidden="1" customWidth="1"/>
    <col min="10257" max="10257" width="10" style="75" customWidth="1"/>
    <col min="10258" max="10258" width="12.90625" style="75" customWidth="1"/>
    <col min="10259" max="10497" width="9.08984375" style="75"/>
    <col min="10498" max="10498" width="4.08984375" style="75" customWidth="1"/>
    <col min="10499" max="10499" width="25.54296875" style="75" customWidth="1"/>
    <col min="10500" max="10500" width="0" style="75" hidden="1" customWidth="1"/>
    <col min="10501" max="10501" width="9.08984375" style="75" bestFit="1" customWidth="1"/>
    <col min="10502" max="10502" width="9.08984375" style="75" customWidth="1"/>
    <col min="10503" max="10503" width="8.90625" style="75" customWidth="1"/>
    <col min="10504" max="10505" width="10.6328125" style="75" customWidth="1"/>
    <col min="10506" max="10506" width="10" style="75" customWidth="1"/>
    <col min="10507" max="10507" width="10.453125" style="75" customWidth="1"/>
    <col min="10508" max="10508" width="8.6328125" style="75" customWidth="1"/>
    <col min="10509" max="10509" width="0" style="75" hidden="1" customWidth="1"/>
    <col min="10510" max="10510" width="10.08984375" style="75" bestFit="1" customWidth="1"/>
    <col min="10511" max="10511" width="10.08984375" style="75" customWidth="1"/>
    <col min="10512" max="10512" width="0" style="75" hidden="1" customWidth="1"/>
    <col min="10513" max="10513" width="10" style="75" customWidth="1"/>
    <col min="10514" max="10514" width="12.90625" style="75" customWidth="1"/>
    <col min="10515" max="10753" width="9.08984375" style="75"/>
    <col min="10754" max="10754" width="4.08984375" style="75" customWidth="1"/>
    <col min="10755" max="10755" width="25.54296875" style="75" customWidth="1"/>
    <col min="10756" max="10756" width="0" style="75" hidden="1" customWidth="1"/>
    <col min="10757" max="10757" width="9.08984375" style="75" bestFit="1" customWidth="1"/>
    <col min="10758" max="10758" width="9.08984375" style="75" customWidth="1"/>
    <col min="10759" max="10759" width="8.90625" style="75" customWidth="1"/>
    <col min="10760" max="10761" width="10.6328125" style="75" customWidth="1"/>
    <col min="10762" max="10762" width="10" style="75" customWidth="1"/>
    <col min="10763" max="10763" width="10.453125" style="75" customWidth="1"/>
    <col min="10764" max="10764" width="8.6328125" style="75" customWidth="1"/>
    <col min="10765" max="10765" width="0" style="75" hidden="1" customWidth="1"/>
    <col min="10766" max="10766" width="10.08984375" style="75" bestFit="1" customWidth="1"/>
    <col min="10767" max="10767" width="10.08984375" style="75" customWidth="1"/>
    <col min="10768" max="10768" width="0" style="75" hidden="1" customWidth="1"/>
    <col min="10769" max="10769" width="10" style="75" customWidth="1"/>
    <col min="10770" max="10770" width="12.90625" style="75" customWidth="1"/>
    <col min="10771" max="11009" width="9.08984375" style="75"/>
    <col min="11010" max="11010" width="4.08984375" style="75" customWidth="1"/>
    <col min="11011" max="11011" width="25.54296875" style="75" customWidth="1"/>
    <col min="11012" max="11012" width="0" style="75" hidden="1" customWidth="1"/>
    <col min="11013" max="11013" width="9.08984375" style="75" bestFit="1" customWidth="1"/>
    <col min="11014" max="11014" width="9.08984375" style="75" customWidth="1"/>
    <col min="11015" max="11015" width="8.90625" style="75" customWidth="1"/>
    <col min="11016" max="11017" width="10.6328125" style="75" customWidth="1"/>
    <col min="11018" max="11018" width="10" style="75" customWidth="1"/>
    <col min="11019" max="11019" width="10.453125" style="75" customWidth="1"/>
    <col min="11020" max="11020" width="8.6328125" style="75" customWidth="1"/>
    <col min="11021" max="11021" width="0" style="75" hidden="1" customWidth="1"/>
    <col min="11022" max="11022" width="10.08984375" style="75" bestFit="1" customWidth="1"/>
    <col min="11023" max="11023" width="10.08984375" style="75" customWidth="1"/>
    <col min="11024" max="11024" width="0" style="75" hidden="1" customWidth="1"/>
    <col min="11025" max="11025" width="10" style="75" customWidth="1"/>
    <col min="11026" max="11026" width="12.90625" style="75" customWidth="1"/>
    <col min="11027" max="11265" width="9.08984375" style="75"/>
    <col min="11266" max="11266" width="4.08984375" style="75" customWidth="1"/>
    <col min="11267" max="11267" width="25.54296875" style="75" customWidth="1"/>
    <col min="11268" max="11268" width="0" style="75" hidden="1" customWidth="1"/>
    <col min="11269" max="11269" width="9.08984375" style="75" bestFit="1" customWidth="1"/>
    <col min="11270" max="11270" width="9.08984375" style="75" customWidth="1"/>
    <col min="11271" max="11271" width="8.90625" style="75" customWidth="1"/>
    <col min="11272" max="11273" width="10.6328125" style="75" customWidth="1"/>
    <col min="11274" max="11274" width="10" style="75" customWidth="1"/>
    <col min="11275" max="11275" width="10.453125" style="75" customWidth="1"/>
    <col min="11276" max="11276" width="8.6328125" style="75" customWidth="1"/>
    <col min="11277" max="11277" width="0" style="75" hidden="1" customWidth="1"/>
    <col min="11278" max="11278" width="10.08984375" style="75" bestFit="1" customWidth="1"/>
    <col min="11279" max="11279" width="10.08984375" style="75" customWidth="1"/>
    <col min="11280" max="11280" width="0" style="75" hidden="1" customWidth="1"/>
    <col min="11281" max="11281" width="10" style="75" customWidth="1"/>
    <col min="11282" max="11282" width="12.90625" style="75" customWidth="1"/>
    <col min="11283" max="11521" width="9.08984375" style="75"/>
    <col min="11522" max="11522" width="4.08984375" style="75" customWidth="1"/>
    <col min="11523" max="11523" width="25.54296875" style="75" customWidth="1"/>
    <col min="11524" max="11524" width="0" style="75" hidden="1" customWidth="1"/>
    <col min="11525" max="11525" width="9.08984375" style="75" bestFit="1" customWidth="1"/>
    <col min="11526" max="11526" width="9.08984375" style="75" customWidth="1"/>
    <col min="11527" max="11527" width="8.90625" style="75" customWidth="1"/>
    <col min="11528" max="11529" width="10.6328125" style="75" customWidth="1"/>
    <col min="11530" max="11530" width="10" style="75" customWidth="1"/>
    <col min="11531" max="11531" width="10.453125" style="75" customWidth="1"/>
    <col min="11532" max="11532" width="8.6328125" style="75" customWidth="1"/>
    <col min="11533" max="11533" width="0" style="75" hidden="1" customWidth="1"/>
    <col min="11534" max="11534" width="10.08984375" style="75" bestFit="1" customWidth="1"/>
    <col min="11535" max="11535" width="10.08984375" style="75" customWidth="1"/>
    <col min="11536" max="11536" width="0" style="75" hidden="1" customWidth="1"/>
    <col min="11537" max="11537" width="10" style="75" customWidth="1"/>
    <col min="11538" max="11538" width="12.90625" style="75" customWidth="1"/>
    <col min="11539" max="11777" width="9.08984375" style="75"/>
    <col min="11778" max="11778" width="4.08984375" style="75" customWidth="1"/>
    <col min="11779" max="11779" width="25.54296875" style="75" customWidth="1"/>
    <col min="11780" max="11780" width="0" style="75" hidden="1" customWidth="1"/>
    <col min="11781" max="11781" width="9.08984375" style="75" bestFit="1" customWidth="1"/>
    <col min="11782" max="11782" width="9.08984375" style="75" customWidth="1"/>
    <col min="11783" max="11783" width="8.90625" style="75" customWidth="1"/>
    <col min="11784" max="11785" width="10.6328125" style="75" customWidth="1"/>
    <col min="11786" max="11786" width="10" style="75" customWidth="1"/>
    <col min="11787" max="11787" width="10.453125" style="75" customWidth="1"/>
    <col min="11788" max="11788" width="8.6328125" style="75" customWidth="1"/>
    <col min="11789" max="11789" width="0" style="75" hidden="1" customWidth="1"/>
    <col min="11790" max="11790" width="10.08984375" style="75" bestFit="1" customWidth="1"/>
    <col min="11791" max="11791" width="10.08984375" style="75" customWidth="1"/>
    <col min="11792" max="11792" width="0" style="75" hidden="1" customWidth="1"/>
    <col min="11793" max="11793" width="10" style="75" customWidth="1"/>
    <col min="11794" max="11794" width="12.90625" style="75" customWidth="1"/>
    <col min="11795" max="12033" width="9.08984375" style="75"/>
    <col min="12034" max="12034" width="4.08984375" style="75" customWidth="1"/>
    <col min="12035" max="12035" width="25.54296875" style="75" customWidth="1"/>
    <col min="12036" max="12036" width="0" style="75" hidden="1" customWidth="1"/>
    <col min="12037" max="12037" width="9.08984375" style="75" bestFit="1" customWidth="1"/>
    <col min="12038" max="12038" width="9.08984375" style="75" customWidth="1"/>
    <col min="12039" max="12039" width="8.90625" style="75" customWidth="1"/>
    <col min="12040" max="12041" width="10.6328125" style="75" customWidth="1"/>
    <col min="12042" max="12042" width="10" style="75" customWidth="1"/>
    <col min="12043" max="12043" width="10.453125" style="75" customWidth="1"/>
    <col min="12044" max="12044" width="8.6328125" style="75" customWidth="1"/>
    <col min="12045" max="12045" width="0" style="75" hidden="1" customWidth="1"/>
    <col min="12046" max="12046" width="10.08984375" style="75" bestFit="1" customWidth="1"/>
    <col min="12047" max="12047" width="10.08984375" style="75" customWidth="1"/>
    <col min="12048" max="12048" width="0" style="75" hidden="1" customWidth="1"/>
    <col min="12049" max="12049" width="10" style="75" customWidth="1"/>
    <col min="12050" max="12050" width="12.90625" style="75" customWidth="1"/>
    <col min="12051" max="12289" width="9.08984375" style="75"/>
    <col min="12290" max="12290" width="4.08984375" style="75" customWidth="1"/>
    <col min="12291" max="12291" width="25.54296875" style="75" customWidth="1"/>
    <col min="12292" max="12292" width="0" style="75" hidden="1" customWidth="1"/>
    <col min="12293" max="12293" width="9.08984375" style="75" bestFit="1" customWidth="1"/>
    <col min="12294" max="12294" width="9.08984375" style="75" customWidth="1"/>
    <col min="12295" max="12295" width="8.90625" style="75" customWidth="1"/>
    <col min="12296" max="12297" width="10.6328125" style="75" customWidth="1"/>
    <col min="12298" max="12298" width="10" style="75" customWidth="1"/>
    <col min="12299" max="12299" width="10.453125" style="75" customWidth="1"/>
    <col min="12300" max="12300" width="8.6328125" style="75" customWidth="1"/>
    <col min="12301" max="12301" width="0" style="75" hidden="1" customWidth="1"/>
    <col min="12302" max="12302" width="10.08984375" style="75" bestFit="1" customWidth="1"/>
    <col min="12303" max="12303" width="10.08984375" style="75" customWidth="1"/>
    <col min="12304" max="12304" width="0" style="75" hidden="1" customWidth="1"/>
    <col min="12305" max="12305" width="10" style="75" customWidth="1"/>
    <col min="12306" max="12306" width="12.90625" style="75" customWidth="1"/>
    <col min="12307" max="12545" width="9.08984375" style="75"/>
    <col min="12546" max="12546" width="4.08984375" style="75" customWidth="1"/>
    <col min="12547" max="12547" width="25.54296875" style="75" customWidth="1"/>
    <col min="12548" max="12548" width="0" style="75" hidden="1" customWidth="1"/>
    <col min="12549" max="12549" width="9.08984375" style="75" bestFit="1" customWidth="1"/>
    <col min="12550" max="12550" width="9.08984375" style="75" customWidth="1"/>
    <col min="12551" max="12551" width="8.90625" style="75" customWidth="1"/>
    <col min="12552" max="12553" width="10.6328125" style="75" customWidth="1"/>
    <col min="12554" max="12554" width="10" style="75" customWidth="1"/>
    <col min="12555" max="12555" width="10.453125" style="75" customWidth="1"/>
    <col min="12556" max="12556" width="8.6328125" style="75" customWidth="1"/>
    <col min="12557" max="12557" width="0" style="75" hidden="1" customWidth="1"/>
    <col min="12558" max="12558" width="10.08984375" style="75" bestFit="1" customWidth="1"/>
    <col min="12559" max="12559" width="10.08984375" style="75" customWidth="1"/>
    <col min="12560" max="12560" width="0" style="75" hidden="1" customWidth="1"/>
    <col min="12561" max="12561" width="10" style="75" customWidth="1"/>
    <col min="12562" max="12562" width="12.90625" style="75" customWidth="1"/>
    <col min="12563" max="12801" width="9.08984375" style="75"/>
    <col min="12802" max="12802" width="4.08984375" style="75" customWidth="1"/>
    <col min="12803" max="12803" width="25.54296875" style="75" customWidth="1"/>
    <col min="12804" max="12804" width="0" style="75" hidden="1" customWidth="1"/>
    <col min="12805" max="12805" width="9.08984375" style="75" bestFit="1" customWidth="1"/>
    <col min="12806" max="12806" width="9.08984375" style="75" customWidth="1"/>
    <col min="12807" max="12807" width="8.90625" style="75" customWidth="1"/>
    <col min="12808" max="12809" width="10.6328125" style="75" customWidth="1"/>
    <col min="12810" max="12810" width="10" style="75" customWidth="1"/>
    <col min="12811" max="12811" width="10.453125" style="75" customWidth="1"/>
    <col min="12812" max="12812" width="8.6328125" style="75" customWidth="1"/>
    <col min="12813" max="12813" width="0" style="75" hidden="1" customWidth="1"/>
    <col min="12814" max="12814" width="10.08984375" style="75" bestFit="1" customWidth="1"/>
    <col min="12815" max="12815" width="10.08984375" style="75" customWidth="1"/>
    <col min="12816" max="12816" width="0" style="75" hidden="1" customWidth="1"/>
    <col min="12817" max="12817" width="10" style="75" customWidth="1"/>
    <col min="12818" max="12818" width="12.90625" style="75" customWidth="1"/>
    <col min="12819" max="13057" width="9.08984375" style="75"/>
    <col min="13058" max="13058" width="4.08984375" style="75" customWidth="1"/>
    <col min="13059" max="13059" width="25.54296875" style="75" customWidth="1"/>
    <col min="13060" max="13060" width="0" style="75" hidden="1" customWidth="1"/>
    <col min="13061" max="13061" width="9.08984375" style="75" bestFit="1" customWidth="1"/>
    <col min="13062" max="13062" width="9.08984375" style="75" customWidth="1"/>
    <col min="13063" max="13063" width="8.90625" style="75" customWidth="1"/>
    <col min="13064" max="13065" width="10.6328125" style="75" customWidth="1"/>
    <col min="13066" max="13066" width="10" style="75" customWidth="1"/>
    <col min="13067" max="13067" width="10.453125" style="75" customWidth="1"/>
    <col min="13068" max="13068" width="8.6328125" style="75" customWidth="1"/>
    <col min="13069" max="13069" width="0" style="75" hidden="1" customWidth="1"/>
    <col min="13070" max="13070" width="10.08984375" style="75" bestFit="1" customWidth="1"/>
    <col min="13071" max="13071" width="10.08984375" style="75" customWidth="1"/>
    <col min="13072" max="13072" width="0" style="75" hidden="1" customWidth="1"/>
    <col min="13073" max="13073" width="10" style="75" customWidth="1"/>
    <col min="13074" max="13074" width="12.90625" style="75" customWidth="1"/>
    <col min="13075" max="13313" width="9.08984375" style="75"/>
    <col min="13314" max="13314" width="4.08984375" style="75" customWidth="1"/>
    <col min="13315" max="13315" width="25.54296875" style="75" customWidth="1"/>
    <col min="13316" max="13316" width="0" style="75" hidden="1" customWidth="1"/>
    <col min="13317" max="13317" width="9.08984375" style="75" bestFit="1" customWidth="1"/>
    <col min="13318" max="13318" width="9.08984375" style="75" customWidth="1"/>
    <col min="13319" max="13319" width="8.90625" style="75" customWidth="1"/>
    <col min="13320" max="13321" width="10.6328125" style="75" customWidth="1"/>
    <col min="13322" max="13322" width="10" style="75" customWidth="1"/>
    <col min="13323" max="13323" width="10.453125" style="75" customWidth="1"/>
    <col min="13324" max="13324" width="8.6328125" style="75" customWidth="1"/>
    <col min="13325" max="13325" width="0" style="75" hidden="1" customWidth="1"/>
    <col min="13326" max="13326" width="10.08984375" style="75" bestFit="1" customWidth="1"/>
    <col min="13327" max="13327" width="10.08984375" style="75" customWidth="1"/>
    <col min="13328" max="13328" width="0" style="75" hidden="1" customWidth="1"/>
    <col min="13329" max="13329" width="10" style="75" customWidth="1"/>
    <col min="13330" max="13330" width="12.90625" style="75" customWidth="1"/>
    <col min="13331" max="13569" width="9.08984375" style="75"/>
    <col min="13570" max="13570" width="4.08984375" style="75" customWidth="1"/>
    <col min="13571" max="13571" width="25.54296875" style="75" customWidth="1"/>
    <col min="13572" max="13572" width="0" style="75" hidden="1" customWidth="1"/>
    <col min="13573" max="13573" width="9.08984375" style="75" bestFit="1" customWidth="1"/>
    <col min="13574" max="13574" width="9.08984375" style="75" customWidth="1"/>
    <col min="13575" max="13575" width="8.90625" style="75" customWidth="1"/>
    <col min="13576" max="13577" width="10.6328125" style="75" customWidth="1"/>
    <col min="13578" max="13578" width="10" style="75" customWidth="1"/>
    <col min="13579" max="13579" width="10.453125" style="75" customWidth="1"/>
    <col min="13580" max="13580" width="8.6328125" style="75" customWidth="1"/>
    <col min="13581" max="13581" width="0" style="75" hidden="1" customWidth="1"/>
    <col min="13582" max="13582" width="10.08984375" style="75" bestFit="1" customWidth="1"/>
    <col min="13583" max="13583" width="10.08984375" style="75" customWidth="1"/>
    <col min="13584" max="13584" width="0" style="75" hidden="1" customWidth="1"/>
    <col min="13585" max="13585" width="10" style="75" customWidth="1"/>
    <col min="13586" max="13586" width="12.90625" style="75" customWidth="1"/>
    <col min="13587" max="13825" width="9.08984375" style="75"/>
    <col min="13826" max="13826" width="4.08984375" style="75" customWidth="1"/>
    <col min="13827" max="13827" width="25.54296875" style="75" customWidth="1"/>
    <col min="13828" max="13828" width="0" style="75" hidden="1" customWidth="1"/>
    <col min="13829" max="13829" width="9.08984375" style="75" bestFit="1" customWidth="1"/>
    <col min="13830" max="13830" width="9.08984375" style="75" customWidth="1"/>
    <col min="13831" max="13831" width="8.90625" style="75" customWidth="1"/>
    <col min="13832" max="13833" width="10.6328125" style="75" customWidth="1"/>
    <col min="13834" max="13834" width="10" style="75" customWidth="1"/>
    <col min="13835" max="13835" width="10.453125" style="75" customWidth="1"/>
    <col min="13836" max="13836" width="8.6328125" style="75" customWidth="1"/>
    <col min="13837" max="13837" width="0" style="75" hidden="1" customWidth="1"/>
    <col min="13838" max="13838" width="10.08984375" style="75" bestFit="1" customWidth="1"/>
    <col min="13839" max="13839" width="10.08984375" style="75" customWidth="1"/>
    <col min="13840" max="13840" width="0" style="75" hidden="1" customWidth="1"/>
    <col min="13841" max="13841" width="10" style="75" customWidth="1"/>
    <col min="13842" max="13842" width="12.90625" style="75" customWidth="1"/>
    <col min="13843" max="14081" width="9.08984375" style="75"/>
    <col min="14082" max="14082" width="4.08984375" style="75" customWidth="1"/>
    <col min="14083" max="14083" width="25.54296875" style="75" customWidth="1"/>
    <col min="14084" max="14084" width="0" style="75" hidden="1" customWidth="1"/>
    <col min="14085" max="14085" width="9.08984375" style="75" bestFit="1" customWidth="1"/>
    <col min="14086" max="14086" width="9.08984375" style="75" customWidth="1"/>
    <col min="14087" max="14087" width="8.90625" style="75" customWidth="1"/>
    <col min="14088" max="14089" width="10.6328125" style="75" customWidth="1"/>
    <col min="14090" max="14090" width="10" style="75" customWidth="1"/>
    <col min="14091" max="14091" width="10.453125" style="75" customWidth="1"/>
    <col min="14092" max="14092" width="8.6328125" style="75" customWidth="1"/>
    <col min="14093" max="14093" width="0" style="75" hidden="1" customWidth="1"/>
    <col min="14094" max="14094" width="10.08984375" style="75" bestFit="1" customWidth="1"/>
    <col min="14095" max="14095" width="10.08984375" style="75" customWidth="1"/>
    <col min="14096" max="14096" width="0" style="75" hidden="1" customWidth="1"/>
    <col min="14097" max="14097" width="10" style="75" customWidth="1"/>
    <col min="14098" max="14098" width="12.90625" style="75" customWidth="1"/>
    <col min="14099" max="14337" width="9.08984375" style="75"/>
    <col min="14338" max="14338" width="4.08984375" style="75" customWidth="1"/>
    <col min="14339" max="14339" width="25.54296875" style="75" customWidth="1"/>
    <col min="14340" max="14340" width="0" style="75" hidden="1" customWidth="1"/>
    <col min="14341" max="14341" width="9.08984375" style="75" bestFit="1" customWidth="1"/>
    <col min="14342" max="14342" width="9.08984375" style="75" customWidth="1"/>
    <col min="14343" max="14343" width="8.90625" style="75" customWidth="1"/>
    <col min="14344" max="14345" width="10.6328125" style="75" customWidth="1"/>
    <col min="14346" max="14346" width="10" style="75" customWidth="1"/>
    <col min="14347" max="14347" width="10.453125" style="75" customWidth="1"/>
    <col min="14348" max="14348" width="8.6328125" style="75" customWidth="1"/>
    <col min="14349" max="14349" width="0" style="75" hidden="1" customWidth="1"/>
    <col min="14350" max="14350" width="10.08984375" style="75" bestFit="1" customWidth="1"/>
    <col min="14351" max="14351" width="10.08984375" style="75" customWidth="1"/>
    <col min="14352" max="14352" width="0" style="75" hidden="1" customWidth="1"/>
    <col min="14353" max="14353" width="10" style="75" customWidth="1"/>
    <col min="14354" max="14354" width="12.90625" style="75" customWidth="1"/>
    <col min="14355" max="14593" width="9.08984375" style="75"/>
    <col min="14594" max="14594" width="4.08984375" style="75" customWidth="1"/>
    <col min="14595" max="14595" width="25.54296875" style="75" customWidth="1"/>
    <col min="14596" max="14596" width="0" style="75" hidden="1" customWidth="1"/>
    <col min="14597" max="14597" width="9.08984375" style="75" bestFit="1" customWidth="1"/>
    <col min="14598" max="14598" width="9.08984375" style="75" customWidth="1"/>
    <col min="14599" max="14599" width="8.90625" style="75" customWidth="1"/>
    <col min="14600" max="14601" width="10.6328125" style="75" customWidth="1"/>
    <col min="14602" max="14602" width="10" style="75" customWidth="1"/>
    <col min="14603" max="14603" width="10.453125" style="75" customWidth="1"/>
    <col min="14604" max="14604" width="8.6328125" style="75" customWidth="1"/>
    <col min="14605" max="14605" width="0" style="75" hidden="1" customWidth="1"/>
    <col min="14606" max="14606" width="10.08984375" style="75" bestFit="1" customWidth="1"/>
    <col min="14607" max="14607" width="10.08984375" style="75" customWidth="1"/>
    <col min="14608" max="14608" width="0" style="75" hidden="1" customWidth="1"/>
    <col min="14609" max="14609" width="10" style="75" customWidth="1"/>
    <col min="14610" max="14610" width="12.90625" style="75" customWidth="1"/>
    <col min="14611" max="14849" width="9.08984375" style="75"/>
    <col min="14850" max="14850" width="4.08984375" style="75" customWidth="1"/>
    <col min="14851" max="14851" width="25.54296875" style="75" customWidth="1"/>
    <col min="14852" max="14852" width="0" style="75" hidden="1" customWidth="1"/>
    <col min="14853" max="14853" width="9.08984375" style="75" bestFit="1" customWidth="1"/>
    <col min="14854" max="14854" width="9.08984375" style="75" customWidth="1"/>
    <col min="14855" max="14855" width="8.90625" style="75" customWidth="1"/>
    <col min="14856" max="14857" width="10.6328125" style="75" customWidth="1"/>
    <col min="14858" max="14858" width="10" style="75" customWidth="1"/>
    <col min="14859" max="14859" width="10.453125" style="75" customWidth="1"/>
    <col min="14860" max="14860" width="8.6328125" style="75" customWidth="1"/>
    <col min="14861" max="14861" width="0" style="75" hidden="1" customWidth="1"/>
    <col min="14862" max="14862" width="10.08984375" style="75" bestFit="1" customWidth="1"/>
    <col min="14863" max="14863" width="10.08984375" style="75" customWidth="1"/>
    <col min="14864" max="14864" width="0" style="75" hidden="1" customWidth="1"/>
    <col min="14865" max="14865" width="10" style="75" customWidth="1"/>
    <col min="14866" max="14866" width="12.90625" style="75" customWidth="1"/>
    <col min="14867" max="15105" width="9.08984375" style="75"/>
    <col min="15106" max="15106" width="4.08984375" style="75" customWidth="1"/>
    <col min="15107" max="15107" width="25.54296875" style="75" customWidth="1"/>
    <col min="15108" max="15108" width="0" style="75" hidden="1" customWidth="1"/>
    <col min="15109" max="15109" width="9.08984375" style="75" bestFit="1" customWidth="1"/>
    <col min="15110" max="15110" width="9.08984375" style="75" customWidth="1"/>
    <col min="15111" max="15111" width="8.90625" style="75" customWidth="1"/>
    <col min="15112" max="15113" width="10.6328125" style="75" customWidth="1"/>
    <col min="15114" max="15114" width="10" style="75" customWidth="1"/>
    <col min="15115" max="15115" width="10.453125" style="75" customWidth="1"/>
    <col min="15116" max="15116" width="8.6328125" style="75" customWidth="1"/>
    <col min="15117" max="15117" width="0" style="75" hidden="1" customWidth="1"/>
    <col min="15118" max="15118" width="10.08984375" style="75" bestFit="1" customWidth="1"/>
    <col min="15119" max="15119" width="10.08984375" style="75" customWidth="1"/>
    <col min="15120" max="15120" width="0" style="75" hidden="1" customWidth="1"/>
    <col min="15121" max="15121" width="10" style="75" customWidth="1"/>
    <col min="15122" max="15122" width="12.90625" style="75" customWidth="1"/>
    <col min="15123" max="15361" width="9.08984375" style="75"/>
    <col min="15362" max="15362" width="4.08984375" style="75" customWidth="1"/>
    <col min="15363" max="15363" width="25.54296875" style="75" customWidth="1"/>
    <col min="15364" max="15364" width="0" style="75" hidden="1" customWidth="1"/>
    <col min="15365" max="15365" width="9.08984375" style="75" bestFit="1" customWidth="1"/>
    <col min="15366" max="15366" width="9.08984375" style="75" customWidth="1"/>
    <col min="15367" max="15367" width="8.90625" style="75" customWidth="1"/>
    <col min="15368" max="15369" width="10.6328125" style="75" customWidth="1"/>
    <col min="15370" max="15370" width="10" style="75" customWidth="1"/>
    <col min="15371" max="15371" width="10.453125" style="75" customWidth="1"/>
    <col min="15372" max="15372" width="8.6328125" style="75" customWidth="1"/>
    <col min="15373" max="15373" width="0" style="75" hidden="1" customWidth="1"/>
    <col min="15374" max="15374" width="10.08984375" style="75" bestFit="1" customWidth="1"/>
    <col min="15375" max="15375" width="10.08984375" style="75" customWidth="1"/>
    <col min="15376" max="15376" width="0" style="75" hidden="1" customWidth="1"/>
    <col min="15377" max="15377" width="10" style="75" customWidth="1"/>
    <col min="15378" max="15378" width="12.90625" style="75" customWidth="1"/>
    <col min="15379" max="15617" width="9.08984375" style="75"/>
    <col min="15618" max="15618" width="4.08984375" style="75" customWidth="1"/>
    <col min="15619" max="15619" width="25.54296875" style="75" customWidth="1"/>
    <col min="15620" max="15620" width="0" style="75" hidden="1" customWidth="1"/>
    <col min="15621" max="15621" width="9.08984375" style="75" bestFit="1" customWidth="1"/>
    <col min="15622" max="15622" width="9.08984375" style="75" customWidth="1"/>
    <col min="15623" max="15623" width="8.90625" style="75" customWidth="1"/>
    <col min="15624" max="15625" width="10.6328125" style="75" customWidth="1"/>
    <col min="15626" max="15626" width="10" style="75" customWidth="1"/>
    <col min="15627" max="15627" width="10.453125" style="75" customWidth="1"/>
    <col min="15628" max="15628" width="8.6328125" style="75" customWidth="1"/>
    <col min="15629" max="15629" width="0" style="75" hidden="1" customWidth="1"/>
    <col min="15630" max="15630" width="10.08984375" style="75" bestFit="1" customWidth="1"/>
    <col min="15631" max="15631" width="10.08984375" style="75" customWidth="1"/>
    <col min="15632" max="15632" width="0" style="75" hidden="1" customWidth="1"/>
    <col min="15633" max="15633" width="10" style="75" customWidth="1"/>
    <col min="15634" max="15634" width="12.90625" style="75" customWidth="1"/>
    <col min="15635" max="15873" width="9.08984375" style="75"/>
    <col min="15874" max="15874" width="4.08984375" style="75" customWidth="1"/>
    <col min="15875" max="15875" width="25.54296875" style="75" customWidth="1"/>
    <col min="15876" max="15876" width="0" style="75" hidden="1" customWidth="1"/>
    <col min="15877" max="15877" width="9.08984375" style="75" bestFit="1" customWidth="1"/>
    <col min="15878" max="15878" width="9.08984375" style="75" customWidth="1"/>
    <col min="15879" max="15879" width="8.90625" style="75" customWidth="1"/>
    <col min="15880" max="15881" width="10.6328125" style="75" customWidth="1"/>
    <col min="15882" max="15882" width="10" style="75" customWidth="1"/>
    <col min="15883" max="15883" width="10.453125" style="75" customWidth="1"/>
    <col min="15884" max="15884" width="8.6328125" style="75" customWidth="1"/>
    <col min="15885" max="15885" width="0" style="75" hidden="1" customWidth="1"/>
    <col min="15886" max="15886" width="10.08984375" style="75" bestFit="1" customWidth="1"/>
    <col min="15887" max="15887" width="10.08984375" style="75" customWidth="1"/>
    <col min="15888" max="15888" width="0" style="75" hidden="1" customWidth="1"/>
    <col min="15889" max="15889" width="10" style="75" customWidth="1"/>
    <col min="15890" max="15890" width="12.90625" style="75" customWidth="1"/>
    <col min="15891" max="16129" width="9.08984375" style="75"/>
    <col min="16130" max="16130" width="4.08984375" style="75" customWidth="1"/>
    <col min="16131" max="16131" width="25.54296875" style="75" customWidth="1"/>
    <col min="16132" max="16132" width="0" style="75" hidden="1" customWidth="1"/>
    <col min="16133" max="16133" width="9.08984375" style="75" bestFit="1" customWidth="1"/>
    <col min="16134" max="16134" width="9.08984375" style="75" customWidth="1"/>
    <col min="16135" max="16135" width="8.90625" style="75" customWidth="1"/>
    <col min="16136" max="16137" width="10.6328125" style="75" customWidth="1"/>
    <col min="16138" max="16138" width="10" style="75" customWidth="1"/>
    <col min="16139" max="16139" width="10.453125" style="75" customWidth="1"/>
    <col min="16140" max="16140" width="8.6328125" style="75" customWidth="1"/>
    <col min="16141" max="16141" width="0" style="75" hidden="1" customWidth="1"/>
    <col min="16142" max="16142" width="10.08984375" style="75" bestFit="1" customWidth="1"/>
    <col min="16143" max="16143" width="10.08984375" style="75" customWidth="1"/>
    <col min="16144" max="16144" width="0" style="75" hidden="1" customWidth="1"/>
    <col min="16145" max="16145" width="10" style="75" customWidth="1"/>
    <col min="16146" max="16146" width="12.90625" style="75" customWidth="1"/>
    <col min="16147" max="16383" width="9.08984375" style="75"/>
    <col min="16384" max="16384" width="9.08984375" style="75" customWidth="1"/>
  </cols>
  <sheetData>
    <row r="1" spans="1:22" ht="20.5">
      <c r="A1" s="208" t="s">
        <v>270</v>
      </c>
      <c r="B1" s="271"/>
      <c r="C1" s="271"/>
      <c r="D1" s="271"/>
      <c r="E1" s="271"/>
      <c r="F1" s="271"/>
      <c r="G1" s="271"/>
      <c r="H1" s="271"/>
      <c r="J1" s="271"/>
      <c r="K1" s="271"/>
      <c r="L1" s="271"/>
      <c r="M1" s="271"/>
      <c r="N1" s="271"/>
      <c r="O1" s="271"/>
    </row>
    <row r="2" spans="1:22" ht="16" thickBot="1"/>
    <row r="3" spans="1:22" s="150" customFormat="1" ht="62">
      <c r="A3" s="654" t="s">
        <v>271</v>
      </c>
      <c r="B3" s="655" t="s">
        <v>276</v>
      </c>
      <c r="C3" s="655" t="s">
        <v>272</v>
      </c>
      <c r="D3" s="655" t="s">
        <v>250</v>
      </c>
      <c r="E3" s="655" t="s">
        <v>1689</v>
      </c>
      <c r="F3" s="655" t="s">
        <v>477</v>
      </c>
      <c r="G3" s="655" t="s">
        <v>1385</v>
      </c>
      <c r="H3" s="655" t="s">
        <v>253</v>
      </c>
      <c r="I3" s="655" t="s">
        <v>1690</v>
      </c>
      <c r="J3" s="655" t="s">
        <v>251</v>
      </c>
      <c r="K3" s="655" t="s">
        <v>91</v>
      </c>
      <c r="L3" s="655" t="s">
        <v>775</v>
      </c>
      <c r="M3" s="655" t="s">
        <v>249</v>
      </c>
      <c r="N3" s="655" t="s">
        <v>273</v>
      </c>
      <c r="O3" s="656" t="s">
        <v>105</v>
      </c>
    </row>
    <row r="4" spans="1:22" s="154" customFormat="1" ht="32.15" customHeight="1">
      <c r="A4" s="651" t="s">
        <v>501</v>
      </c>
      <c r="B4" s="151"/>
      <c r="C4" s="151"/>
      <c r="D4" s="151"/>
      <c r="E4" s="151"/>
      <c r="F4" s="151"/>
      <c r="G4" s="151"/>
      <c r="H4" s="151">
        <f>'תקציב הנדסה 2021'!AA11</f>
        <v>2000000</v>
      </c>
      <c r="I4" s="151"/>
      <c r="J4" s="151">
        <f>'תקציב הנדסה 2021'!AA70</f>
        <v>1811250</v>
      </c>
      <c r="K4" s="151"/>
      <c r="L4" s="151"/>
      <c r="M4" s="151">
        <f>'תקציב הנדסה 2021'!AA71+'תקציב הנדסה 2021'!AA72</f>
        <v>350000</v>
      </c>
      <c r="N4" s="151"/>
      <c r="O4" s="652">
        <f t="shared" ref="O4:O15" si="0">SUM(B4:N4)</f>
        <v>4161250</v>
      </c>
      <c r="Q4" s="405">
        <f>'ריכוז אגפים'!Y7</f>
        <v>4161250</v>
      </c>
      <c r="R4" s="405">
        <f>Q4-O4</f>
        <v>0</v>
      </c>
      <c r="S4" s="271"/>
      <c r="T4" s="150"/>
      <c r="U4" s="150"/>
      <c r="V4" s="155"/>
    </row>
    <row r="5" spans="1:22" s="154" customFormat="1" ht="32.15" customHeight="1">
      <c r="A5" s="651" t="s">
        <v>274</v>
      </c>
      <c r="B5" s="151">
        <f>'תקציב החברה לפיתוח 2021 '!AA109</f>
        <v>16228371</v>
      </c>
      <c r="C5" s="151">
        <f>'תקציב החברה לפיתוח 2021 '!AA44</f>
        <v>1000000</v>
      </c>
      <c r="D5" s="151">
        <f>'תקציב החברה לפיתוח 2021 '!AA66+'תקציב החברה לפיתוח 2021 '!AA89+'תקציב החברה לפיתוח 2021 '!AA90+'תקציב החברה לפיתוח 2021 '!AA111+'תקציב החברה לפיתוח 2021 '!AA112+'תקציב החברה לפיתוח 2021 '!AA113+'תקציב החברה לפיתוח 2021 '!AA114+'תקציב החברה לפיתוח 2021 '!AA117+'תקציב החברה לפיתוח 2021 '!AA120-K5</f>
        <v>52407918</v>
      </c>
      <c r="E5" s="151"/>
      <c r="F5" s="151"/>
      <c r="G5" s="151">
        <f>'תקציב החברה לפיתוח 2021 '!AA80</f>
        <v>1259000</v>
      </c>
      <c r="H5" s="151">
        <f>'תקציב החברה לפיתוח 2021 '!AA67</f>
        <v>2000000</v>
      </c>
      <c r="I5" s="151">
        <f>'תקציב החברה לפיתוח 2021 '!AA7</f>
        <v>12000000</v>
      </c>
      <c r="J5" s="151"/>
      <c r="K5" s="151">
        <f>13080239-850000-4382096</f>
        <v>7848143</v>
      </c>
      <c r="L5" s="151"/>
      <c r="M5" s="151"/>
      <c r="N5" s="151"/>
      <c r="O5" s="652">
        <f t="shared" si="0"/>
        <v>92743432</v>
      </c>
      <c r="Q5" s="405">
        <f>'ריכוז אגפים'!Y8</f>
        <v>92743432</v>
      </c>
      <c r="R5" s="405">
        <f t="shared" ref="R5:R15" si="1">Q5-O5</f>
        <v>0</v>
      </c>
      <c r="S5" s="405"/>
      <c r="T5" s="150"/>
      <c r="U5" s="150"/>
      <c r="V5" s="156"/>
    </row>
    <row r="6" spans="1:22" s="154" customFormat="1" ht="32.15" customHeight="1">
      <c r="A6" s="651" t="s">
        <v>189</v>
      </c>
      <c r="B6" s="151"/>
      <c r="C6" s="151"/>
      <c r="D6" s="151">
        <f>'תקציב אגף ת.ב.ל 2021  '!AA33+'תקציב אגף ת.ב.ל 2021  '!AA63</f>
        <v>9980000</v>
      </c>
      <c r="E6" s="151">
        <f>'תקציב אגף ת.ב.ל 2021  '!AA49</f>
        <v>1235887</v>
      </c>
      <c r="F6" s="151"/>
      <c r="G6" s="151">
        <f>'תקציב אגף ת.ב.ל 2021  '!AA42</f>
        <v>350000</v>
      </c>
      <c r="H6" s="151">
        <f>'תקציב אגף ת.ב.ל 2021  '!AA37</f>
        <v>2000000</v>
      </c>
      <c r="I6" s="151"/>
      <c r="J6" s="151"/>
      <c r="K6" s="151"/>
      <c r="L6" s="151"/>
      <c r="M6" s="151"/>
      <c r="N6" s="151"/>
      <c r="O6" s="652">
        <f t="shared" si="0"/>
        <v>13565887</v>
      </c>
      <c r="Q6" s="405">
        <f>'ריכוז אגפים'!Y9</f>
        <v>13565887</v>
      </c>
      <c r="R6" s="405">
        <f t="shared" si="1"/>
        <v>0</v>
      </c>
      <c r="S6" s="405"/>
      <c r="T6" s="150"/>
      <c r="U6" s="150"/>
      <c r="V6" s="156"/>
    </row>
    <row r="7" spans="1:22" s="154" customFormat="1" ht="32.15" customHeight="1">
      <c r="A7" s="657" t="s">
        <v>152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652">
        <f t="shared" si="0"/>
        <v>0</v>
      </c>
      <c r="Q7" s="405">
        <f>'ריכוז אגפים'!Y10</f>
        <v>0</v>
      </c>
      <c r="R7" s="405">
        <f t="shared" si="1"/>
        <v>0</v>
      </c>
      <c r="S7" s="150"/>
      <c r="T7" s="150"/>
      <c r="U7" s="150"/>
    </row>
    <row r="8" spans="1:22" s="154" customFormat="1" ht="32.15" customHeight="1">
      <c r="A8" s="651" t="s">
        <v>277</v>
      </c>
      <c r="B8" s="151"/>
      <c r="C8" s="151"/>
      <c r="D8" s="151">
        <f>'תקציב אגף חינוך 2021 '!AA7+'תקציב אגף חינוך 2021 '!AA23+'תקציב אגף חינוך 2021 '!AA16</f>
        <v>1824000</v>
      </c>
      <c r="E8" s="151"/>
      <c r="F8" s="151"/>
      <c r="G8" s="151"/>
      <c r="H8" s="151">
        <f>'תקציב אגף חינוך 2021 '!AA13+'תקציב אגף חינוך 2021 '!AA24</f>
        <v>1000000</v>
      </c>
      <c r="I8" s="151"/>
      <c r="J8" s="151"/>
      <c r="K8" s="151"/>
      <c r="L8" s="151"/>
      <c r="M8" s="151"/>
      <c r="N8" s="151"/>
      <c r="O8" s="652">
        <f t="shared" si="0"/>
        <v>2824000</v>
      </c>
      <c r="Q8" s="405">
        <f>'ריכוז אגפים'!Y11</f>
        <v>2824000</v>
      </c>
      <c r="R8" s="405">
        <f t="shared" si="1"/>
        <v>0</v>
      </c>
      <c r="S8" s="150"/>
      <c r="T8" s="150"/>
      <c r="U8" s="150"/>
      <c r="V8" s="156"/>
    </row>
    <row r="9" spans="1:22" s="154" customFormat="1" ht="32.15" customHeight="1">
      <c r="A9" s="651" t="s">
        <v>457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652">
        <f t="shared" si="0"/>
        <v>0</v>
      </c>
      <c r="Q9" s="405">
        <f>'ריכוז אגפים'!Y12</f>
        <v>0</v>
      </c>
      <c r="R9" s="405">
        <f t="shared" si="1"/>
        <v>0</v>
      </c>
      <c r="S9" s="150"/>
      <c r="T9" s="150"/>
      <c r="U9" s="150"/>
    </row>
    <row r="10" spans="1:22" s="154" customFormat="1" ht="32.15" customHeight="1">
      <c r="A10" s="651" t="s">
        <v>190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>
        <f>'תקציב אגף שאיפה  2021 '!AA18</f>
        <v>82000</v>
      </c>
      <c r="L10" s="151"/>
      <c r="M10" s="151"/>
      <c r="N10" s="151">
        <f>'תקציב אגף שאיפה  2021 '!AA7</f>
        <v>19300000</v>
      </c>
      <c r="O10" s="652">
        <f t="shared" si="0"/>
        <v>19382000</v>
      </c>
      <c r="Q10" s="405">
        <f>'ריכוז אגפים'!Y13</f>
        <v>19382000</v>
      </c>
      <c r="R10" s="405">
        <f>Q10-O10</f>
        <v>0</v>
      </c>
      <c r="S10" s="150"/>
      <c r="T10" s="150"/>
      <c r="U10" s="150"/>
      <c r="V10" s="156"/>
    </row>
    <row r="11" spans="1:22" s="154" customFormat="1" ht="32.15" customHeight="1">
      <c r="A11" s="651" t="s">
        <v>193</v>
      </c>
      <c r="B11" s="151"/>
      <c r="C11" s="151">
        <f>'תקציב רשות החופים 2021 '!AA5</f>
        <v>-15029</v>
      </c>
      <c r="D11" s="151"/>
      <c r="E11" s="151"/>
      <c r="F11" s="151"/>
      <c r="G11" s="151">
        <f>'תקציב רשות החופים 2021 '!AA18</f>
        <v>91304</v>
      </c>
      <c r="H11" s="151"/>
      <c r="I11" s="151"/>
      <c r="J11" s="151"/>
      <c r="K11" s="151"/>
      <c r="L11" s="151"/>
      <c r="M11" s="151"/>
      <c r="N11" s="151"/>
      <c r="O11" s="652">
        <f t="shared" si="0"/>
        <v>76275</v>
      </c>
      <c r="Q11" s="405">
        <f>'ריכוז אגפים'!Y14</f>
        <v>76275</v>
      </c>
      <c r="R11" s="405">
        <f t="shared" si="1"/>
        <v>0</v>
      </c>
      <c r="S11" s="150"/>
      <c r="T11" s="150"/>
      <c r="U11" s="150"/>
      <c r="V11" s="155"/>
    </row>
    <row r="12" spans="1:22" s="154" customFormat="1" ht="32.15" customHeight="1">
      <c r="A12" s="651" t="s">
        <v>275</v>
      </c>
      <c r="B12" s="151">
        <f>'תקציב החברה לתירות 2021 '!AA5</f>
        <v>228932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652">
        <f t="shared" si="0"/>
        <v>228932</v>
      </c>
      <c r="Q12" s="405">
        <f>'ריכוז אגפים'!Y15</f>
        <v>228932</v>
      </c>
      <c r="R12" s="405">
        <f t="shared" si="1"/>
        <v>0</v>
      </c>
      <c r="S12" s="150"/>
      <c r="T12" s="150"/>
      <c r="U12" s="150"/>
    </row>
    <row r="13" spans="1:22" s="154" customFormat="1" ht="32.15" customHeight="1">
      <c r="A13" s="651" t="s">
        <v>472</v>
      </c>
      <c r="B13" s="151"/>
      <c r="C13" s="151"/>
      <c r="D13" s="151">
        <f>'תקציב אגף תקשוב 2021 '!AA14</f>
        <v>500000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652">
        <f t="shared" si="0"/>
        <v>500000</v>
      </c>
      <c r="Q13" s="405">
        <f>'ריכוז אגפים'!Y16</f>
        <v>500000</v>
      </c>
      <c r="R13" s="405">
        <f t="shared" si="1"/>
        <v>0</v>
      </c>
      <c r="S13" s="150"/>
      <c r="T13" s="150"/>
      <c r="U13" s="150"/>
    </row>
    <row r="14" spans="1:22" s="154" customFormat="1" ht="32.15" customHeight="1">
      <c r="A14" s="651" t="s">
        <v>474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652">
        <f t="shared" si="0"/>
        <v>0</v>
      </c>
      <c r="Q14" s="405">
        <f>'ריכוז אגפים'!Y17</f>
        <v>0</v>
      </c>
      <c r="R14" s="405">
        <f t="shared" si="1"/>
        <v>0</v>
      </c>
      <c r="S14" s="150"/>
      <c r="T14" s="150"/>
      <c r="U14" s="150"/>
    </row>
    <row r="15" spans="1:22" s="154" customFormat="1" ht="32.15" customHeight="1">
      <c r="A15" s="651" t="s">
        <v>288</v>
      </c>
      <c r="B15" s="151"/>
      <c r="C15" s="151"/>
      <c r="D15" s="151">
        <f>'תקציב מינהל כללי 2021  '!AA6</f>
        <v>710295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652">
        <f t="shared" si="0"/>
        <v>710295</v>
      </c>
      <c r="Q15" s="405">
        <f>'ריכוז אגפים'!Y18</f>
        <v>710295</v>
      </c>
      <c r="R15" s="405">
        <f t="shared" si="1"/>
        <v>0</v>
      </c>
      <c r="S15" s="150"/>
      <c r="T15" s="150"/>
      <c r="U15" s="150"/>
    </row>
    <row r="16" spans="1:22" s="154" customFormat="1" ht="32.15" customHeight="1" thickBot="1">
      <c r="A16" s="658" t="s">
        <v>105</v>
      </c>
      <c r="B16" s="659">
        <f t="shared" ref="B16:R16" si="2">SUM(B4:B15)</f>
        <v>16457303</v>
      </c>
      <c r="C16" s="659">
        <f t="shared" si="2"/>
        <v>984971</v>
      </c>
      <c r="D16" s="659">
        <f t="shared" si="2"/>
        <v>65422213</v>
      </c>
      <c r="E16" s="659">
        <f t="shared" si="2"/>
        <v>1235887</v>
      </c>
      <c r="F16" s="659">
        <f t="shared" si="2"/>
        <v>0</v>
      </c>
      <c r="G16" s="659">
        <f>SUM(G4:G15)</f>
        <v>1700304</v>
      </c>
      <c r="H16" s="659">
        <f t="shared" si="2"/>
        <v>7000000</v>
      </c>
      <c r="I16" s="659">
        <f t="shared" si="2"/>
        <v>12000000</v>
      </c>
      <c r="J16" s="659">
        <f t="shared" si="2"/>
        <v>1811250</v>
      </c>
      <c r="K16" s="659">
        <f t="shared" si="2"/>
        <v>7930143</v>
      </c>
      <c r="L16" s="659">
        <f t="shared" si="2"/>
        <v>0</v>
      </c>
      <c r="M16" s="659">
        <f t="shared" si="2"/>
        <v>350000</v>
      </c>
      <c r="N16" s="659">
        <f t="shared" si="2"/>
        <v>19300000</v>
      </c>
      <c r="O16" s="660">
        <f t="shared" si="2"/>
        <v>134192071</v>
      </c>
      <c r="Q16" s="153">
        <f t="shared" si="2"/>
        <v>134192071</v>
      </c>
      <c r="R16" s="150">
        <f t="shared" si="2"/>
        <v>0</v>
      </c>
      <c r="S16" s="150"/>
      <c r="T16" s="150"/>
      <c r="U16" s="150"/>
    </row>
    <row r="17" spans="1:22" s="77" customFormat="1">
      <c r="A17" s="75"/>
      <c r="O17" s="75"/>
      <c r="P17" s="75"/>
      <c r="Q17" s="150"/>
      <c r="R17" s="150"/>
      <c r="S17" s="150"/>
      <c r="T17" s="150"/>
      <c r="U17" s="150"/>
      <c r="V17" s="75"/>
    </row>
    <row r="18" spans="1:22" s="77" customFormat="1">
      <c r="O18" s="75"/>
      <c r="P18" s="75"/>
      <c r="Q18" s="150"/>
      <c r="R18" s="150"/>
      <c r="S18" s="150"/>
      <c r="T18" s="150"/>
      <c r="U18" s="150"/>
      <c r="V18" s="75"/>
    </row>
    <row r="19" spans="1:22" s="77" customFormat="1" ht="15.75" hidden="1" customHeight="1">
      <c r="A19" s="75"/>
      <c r="J19" s="77" t="e">
        <f>J16+D16+#REF!+Q16+H16+E16</f>
        <v>#REF!</v>
      </c>
      <c r="K19" s="77">
        <f>K16+E16+C16+B16+I16+F16</f>
        <v>38608304</v>
      </c>
      <c r="O19" s="75"/>
      <c r="P19" s="75"/>
      <c r="Q19" s="150"/>
      <c r="R19" s="150"/>
      <c r="S19" s="150"/>
      <c r="T19" s="150"/>
      <c r="U19" s="150"/>
      <c r="V19" s="7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4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U40" sqref="U40"/>
    </sheetView>
  </sheetViews>
  <sheetFormatPr defaultColWidth="9.08984375" defaultRowHeight="12.5"/>
  <cols>
    <col min="1" max="16384" width="9.08984375" style="214"/>
  </cols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6"/>
  <sheetViews>
    <sheetView showZeros="0" rightToLeft="1" topLeftCell="A7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24.08984375" style="233" customWidth="1"/>
    <col min="5" max="5" width="34.54296875" style="233" customWidth="1"/>
    <col min="6" max="6" width="5.63281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501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1177</v>
      </c>
      <c r="D5" s="232"/>
      <c r="E5" s="232"/>
      <c r="F5" s="232"/>
      <c r="H5" s="236">
        <f>'תקציב הנדסה 2021'!U83</f>
        <v>18930000</v>
      </c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309</v>
      </c>
      <c r="D7" s="232"/>
      <c r="F7" s="232"/>
      <c r="H7" s="236">
        <f>'תקציב הנדסה 2021'!A83</f>
        <v>78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310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6" thickBot="1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C11" s="759" t="s">
        <v>311</v>
      </c>
      <c r="D11" s="760"/>
      <c r="E11" s="765" t="s">
        <v>312</v>
      </c>
      <c r="F11" s="766"/>
      <c r="G11" s="767"/>
      <c r="H11" s="275" t="s">
        <v>314</v>
      </c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761" t="s">
        <v>13</v>
      </c>
      <c r="D12" s="762"/>
      <c r="E12" s="753">
        <f>'תקציב הנדסה 2021'!V83</f>
        <v>14768750</v>
      </c>
      <c r="F12" s="754"/>
      <c r="G12" s="755"/>
      <c r="H12" s="276">
        <f>E12/$E$14</f>
        <v>0.78017696777601686</v>
      </c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761" t="s">
        <v>91</v>
      </c>
      <c r="D13" s="762"/>
      <c r="E13" s="753">
        <f>'תקציב הנדסה 2021'!AA83</f>
        <v>4161250</v>
      </c>
      <c r="F13" s="754"/>
      <c r="G13" s="755"/>
      <c r="H13" s="276">
        <f>E13/$E$14</f>
        <v>0.21982303222398308</v>
      </c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6" thickBot="1">
      <c r="C14" s="763" t="s">
        <v>105</v>
      </c>
      <c r="D14" s="764"/>
      <c r="E14" s="756">
        <f>SUM(E12:E13)</f>
        <v>18930000</v>
      </c>
      <c r="F14" s="757"/>
      <c r="G14" s="758"/>
      <c r="H14" s="366">
        <f>E14/$E$14</f>
        <v>1</v>
      </c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B15" s="235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s="338" customFormat="1" ht="15.5">
      <c r="C16" s="340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</row>
    <row r="17" spans="1:17" s="338" customFormat="1" ht="15.5">
      <c r="C17" s="340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</row>
    <row r="18" spans="1:17" s="338" customFormat="1" ht="15.5">
      <c r="A18" s="337"/>
      <c r="B18" s="337"/>
      <c r="C18" s="337"/>
      <c r="D18" s="415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</row>
    <row r="19" spans="1:17" s="338" customFormat="1" ht="15.5">
      <c r="A19" s="337"/>
      <c r="B19" s="337"/>
      <c r="C19" s="337"/>
      <c r="D19" s="414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</row>
    <row r="20" spans="1:17" s="338" customFormat="1" ht="15.5">
      <c r="A20" s="337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</row>
    <row r="21" spans="1:17" s="338" customFormat="1" ht="15.5">
      <c r="A21" s="337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17" s="338" customFormat="1" ht="15.5">
      <c r="A22" s="337"/>
      <c r="B22" s="337"/>
      <c r="C22" s="337"/>
      <c r="D22" s="362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</row>
    <row r="23" spans="1:17" s="338" customFormat="1" ht="15.5">
      <c r="A23" s="337"/>
      <c r="B23" s="337"/>
      <c r="C23" s="337"/>
      <c r="D23" s="362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  <row r="24" spans="1:17" s="338" customFormat="1" ht="15.5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</row>
    <row r="26" spans="1:17" s="363" customFormat="1" ht="15.5">
      <c r="C26" s="364" t="s">
        <v>187</v>
      </c>
      <c r="D26" s="365" t="s">
        <v>1657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</row>
  </sheetData>
  <mergeCells count="8">
    <mergeCell ref="E12:G12"/>
    <mergeCell ref="E13:G13"/>
    <mergeCell ref="E14:G14"/>
    <mergeCell ref="C11:D11"/>
    <mergeCell ref="C12:D12"/>
    <mergeCell ref="C13:D13"/>
    <mergeCell ref="C14:D14"/>
    <mergeCell ref="E11:G11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showZeros="0" rightToLeft="1" topLeftCell="A7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" style="233" customWidth="1"/>
    <col min="5" max="5" width="34.54296875" style="233" customWidth="1"/>
    <col min="6" max="6" width="5.63281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501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B5" s="235" t="s">
        <v>187</v>
      </c>
      <c r="C5" s="232" t="s">
        <v>1178</v>
      </c>
      <c r="D5" s="232"/>
      <c r="E5" s="416"/>
      <c r="F5" s="232"/>
      <c r="H5" s="241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6" thickBot="1">
      <c r="C6" s="232"/>
      <c r="D6" s="232"/>
      <c r="E6" s="232"/>
      <c r="F6" s="232"/>
      <c r="H6" s="232"/>
      <c r="I6" s="232"/>
      <c r="J6" s="232"/>
      <c r="K6" s="232"/>
      <c r="L6" s="232"/>
    </row>
    <row r="7" spans="1:17" ht="15.5">
      <c r="D7" s="245" t="s">
        <v>315</v>
      </c>
      <c r="E7" s="237" t="s">
        <v>312</v>
      </c>
      <c r="F7" s="238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C8" s="235"/>
      <c r="D8" s="239" t="s">
        <v>883</v>
      </c>
      <c r="E8" s="240">
        <f>'תקציב הנדסה 2021'!U11</f>
        <v>4500000</v>
      </c>
      <c r="F8" s="241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C9" s="235"/>
      <c r="D9" s="239" t="s">
        <v>303</v>
      </c>
      <c r="E9" s="240">
        <f>'תקציב הנדסה 2021'!U54</f>
        <v>3200000</v>
      </c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C10" s="235"/>
      <c r="D10" s="239" t="s">
        <v>944</v>
      </c>
      <c r="E10" s="240">
        <f>'תקציב הנדסה 2021'!U70</f>
        <v>1950000</v>
      </c>
      <c r="F10" s="24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C11" s="235"/>
      <c r="D11" s="239" t="s">
        <v>605</v>
      </c>
      <c r="E11" s="240">
        <f>'תקציב הנדסה 2021'!U12</f>
        <v>1500000</v>
      </c>
      <c r="F11" s="24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235"/>
      <c r="D12" s="239" t="s">
        <v>778</v>
      </c>
      <c r="E12" s="240">
        <f>'תקציב הנדסה 2021'!U66</f>
        <v>1300000</v>
      </c>
      <c r="F12" s="241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235"/>
      <c r="D13" s="241"/>
      <c r="E13" s="269"/>
      <c r="F13" s="241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C14" s="235"/>
      <c r="D14" s="241" t="s">
        <v>1509</v>
      </c>
      <c r="E14" s="269"/>
      <c r="F14" s="241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41" t="s">
        <v>1510</v>
      </c>
      <c r="E15" s="269"/>
      <c r="F15" s="241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7" spans="4:4" ht="15.5">
      <c r="D17" s="356" t="s">
        <v>873</v>
      </c>
    </row>
    <row r="38" spans="4:4" ht="15.5">
      <c r="D38" s="232"/>
    </row>
  </sheetData>
  <sortState ref="A8:Q12">
    <sortCondition descending="1" ref="E8:E12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4"/>
  <sheetViews>
    <sheetView showZeros="0" rightToLeft="1" zoomScaleNormal="100" workbookViewId="0">
      <pane xSplit="3" ySplit="4" topLeftCell="D77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4.1796875" style="12" customWidth="1"/>
    <col min="2" max="2" width="4.6328125" style="12" customWidth="1"/>
    <col min="3" max="3" width="22.1796875" style="18" customWidth="1"/>
    <col min="4" max="6" width="10.81640625" style="14" customWidth="1"/>
    <col min="7" max="11" width="10.81640625" style="14" hidden="1" customWidth="1"/>
    <col min="12" max="15" width="10.81640625" style="14" customWidth="1"/>
    <col min="16" max="19" width="10.81640625" style="14" hidden="1" customWidth="1"/>
    <col min="20" max="20" width="10.81640625" style="14" customWidth="1"/>
    <col min="21" max="23" width="10.81640625" style="12" customWidth="1"/>
    <col min="24" max="26" width="10.81640625" style="12" hidden="1" customWidth="1"/>
    <col min="27" max="27" width="10.81640625" style="12" customWidth="1"/>
    <col min="28" max="28" width="30.453125" style="18" hidden="1" customWidth="1"/>
    <col min="29" max="29" width="9.08984375" style="12" hidden="1" customWidth="1"/>
    <col min="30" max="30" width="11.453125" style="387" customWidth="1"/>
    <col min="31" max="31" width="14.6328125" style="387" customWidth="1"/>
    <col min="32" max="32" width="46" style="387" customWidth="1"/>
    <col min="33" max="16384" width="9.08984375" style="12"/>
  </cols>
  <sheetData>
    <row r="1" spans="1:32" s="28" customFormat="1" ht="18">
      <c r="A1" s="27"/>
      <c r="B1" s="27"/>
      <c r="C1" s="71"/>
      <c r="J1" s="14"/>
      <c r="K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410"/>
      <c r="X1" s="410"/>
      <c r="Y1" s="410"/>
      <c r="Z1" s="410"/>
      <c r="AA1" s="410"/>
      <c r="AB1" s="410"/>
      <c r="AD1" s="387"/>
      <c r="AE1" s="387"/>
      <c r="AF1" s="387"/>
    </row>
    <row r="2" spans="1:32" ht="18">
      <c r="A2" s="71" t="s">
        <v>501</v>
      </c>
      <c r="B2" s="27"/>
      <c r="C2" s="277"/>
      <c r="D2" s="28"/>
      <c r="E2" s="28"/>
      <c r="F2" s="28"/>
      <c r="K2" s="27"/>
      <c r="M2" s="408"/>
      <c r="N2" s="408"/>
      <c r="O2" s="408"/>
      <c r="P2" s="408"/>
      <c r="Q2" s="408"/>
      <c r="R2" s="408"/>
      <c r="S2" s="408"/>
      <c r="T2" s="408"/>
      <c r="U2" s="410"/>
      <c r="V2" s="410"/>
      <c r="W2" s="410"/>
      <c r="X2" s="410"/>
      <c r="Y2" s="410"/>
      <c r="Z2" s="410"/>
      <c r="AA2" s="410"/>
      <c r="AB2" s="410"/>
    </row>
    <row r="3" spans="1:32" ht="24.65" customHeight="1">
      <c r="D3" s="409"/>
      <c r="E3" s="13"/>
      <c r="F3" s="13"/>
      <c r="G3" s="618"/>
      <c r="H3" s="13"/>
      <c r="I3" s="13"/>
      <c r="J3" s="13"/>
      <c r="K3" s="13"/>
      <c r="L3" s="409"/>
      <c r="M3" s="616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</row>
    <row r="4" spans="1:32" s="30" customFormat="1" ht="86.25" customHeight="1">
      <c r="A4" s="9" t="s">
        <v>0</v>
      </c>
      <c r="B4" s="9" t="s">
        <v>1</v>
      </c>
      <c r="C4" s="9" t="s">
        <v>2</v>
      </c>
      <c r="D4" s="9" t="s">
        <v>98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178</v>
      </c>
      <c r="K4" s="9" t="s">
        <v>10</v>
      </c>
      <c r="L4" s="9" t="s">
        <v>11</v>
      </c>
      <c r="M4" s="9" t="s">
        <v>936</v>
      </c>
      <c r="N4" s="9" t="s">
        <v>1349</v>
      </c>
      <c r="O4" s="9" t="s">
        <v>938</v>
      </c>
      <c r="P4" s="9" t="s">
        <v>12</v>
      </c>
      <c r="Q4" s="169" t="s">
        <v>939</v>
      </c>
      <c r="R4" s="9" t="s">
        <v>940</v>
      </c>
      <c r="S4" s="9" t="s">
        <v>941</v>
      </c>
      <c r="T4" s="9" t="s">
        <v>942</v>
      </c>
      <c r="U4" s="9" t="s">
        <v>943</v>
      </c>
      <c r="V4" s="9" t="s">
        <v>13</v>
      </c>
      <c r="W4" s="9" t="s">
        <v>14</v>
      </c>
      <c r="X4" s="9" t="s">
        <v>15</v>
      </c>
      <c r="Y4" s="9" t="s">
        <v>301</v>
      </c>
      <c r="Z4" s="9" t="s">
        <v>1391</v>
      </c>
      <c r="AA4" s="9" t="s">
        <v>91</v>
      </c>
      <c r="AB4" s="16" t="s">
        <v>344</v>
      </c>
      <c r="AC4" s="9" t="s">
        <v>16</v>
      </c>
      <c r="AD4" s="387"/>
      <c r="AE4" s="387"/>
      <c r="AF4" s="387"/>
    </row>
    <row r="5" spans="1:32" s="5" customFormat="1" ht="30" customHeight="1">
      <c r="A5" s="3">
        <v>1</v>
      </c>
      <c r="B5" s="3">
        <v>179</v>
      </c>
      <c r="C5" s="3" t="s">
        <v>29</v>
      </c>
      <c r="D5" s="4">
        <v>3170250</v>
      </c>
      <c r="E5" s="4">
        <v>3170250</v>
      </c>
      <c r="F5" s="4">
        <f t="shared" ref="F5:F36" si="0">D5-E5</f>
        <v>0</v>
      </c>
      <c r="G5" s="4">
        <v>3100250</v>
      </c>
      <c r="H5" s="4">
        <v>2882694</v>
      </c>
      <c r="I5" s="4">
        <v>0</v>
      </c>
      <c r="J5" s="4">
        <v>52913</v>
      </c>
      <c r="K5" s="4">
        <f t="shared" ref="K5:K36" si="1">SUM(I5:J5)</f>
        <v>52913</v>
      </c>
      <c r="L5" s="4">
        <f t="shared" ref="L5:L36" si="2">H5+K5</f>
        <v>2935607</v>
      </c>
      <c r="M5" s="4">
        <f>P5+S5-160000</f>
        <v>4643</v>
      </c>
      <c r="N5" s="4">
        <v>160000</v>
      </c>
      <c r="O5" s="4">
        <f t="shared" ref="O5:O36" si="3">D5-L5-M5-N5</f>
        <v>70000</v>
      </c>
      <c r="P5" s="4">
        <f t="shared" ref="P5:P36" si="4">G5-L5</f>
        <v>164643</v>
      </c>
      <c r="Q5" s="4"/>
      <c r="R5" s="4"/>
      <c r="S5" s="4">
        <f t="shared" ref="S5:S36" si="5">SUM(Q5:R5)</f>
        <v>0</v>
      </c>
      <c r="T5" s="4">
        <f t="shared" ref="T5:T36" si="6">P5-M5+S5</f>
        <v>160000</v>
      </c>
      <c r="U5" s="4">
        <f t="shared" ref="U5:U36" si="7">N5-T5</f>
        <v>0</v>
      </c>
      <c r="V5" s="4">
        <f t="shared" ref="V5:V36" si="8">U5-AA5-W5-Z5</f>
        <v>0</v>
      </c>
      <c r="W5" s="4"/>
      <c r="X5" s="4"/>
      <c r="Y5" s="4"/>
      <c r="Z5" s="4"/>
      <c r="AA5" s="3"/>
      <c r="AB5" s="3" t="s">
        <v>345</v>
      </c>
      <c r="AC5" s="3">
        <v>732000</v>
      </c>
      <c r="AD5" s="387"/>
      <c r="AE5" s="387"/>
      <c r="AF5" s="387"/>
    </row>
    <row r="6" spans="1:32" s="5" customFormat="1" ht="30" customHeight="1">
      <c r="A6" s="3">
        <f>A5+1</f>
        <v>2</v>
      </c>
      <c r="B6" s="3">
        <v>304</v>
      </c>
      <c r="C6" s="3" t="s">
        <v>51</v>
      </c>
      <c r="D6" s="4">
        <v>54930000</v>
      </c>
      <c r="E6" s="4">
        <v>54930000</v>
      </c>
      <c r="F6" s="4">
        <f t="shared" si="0"/>
        <v>0</v>
      </c>
      <c r="G6" s="4">
        <v>54930000</v>
      </c>
      <c r="H6" s="4">
        <v>54780523</v>
      </c>
      <c r="I6" s="4">
        <v>149074</v>
      </c>
      <c r="J6" s="4">
        <v>0</v>
      </c>
      <c r="K6" s="4">
        <f t="shared" si="1"/>
        <v>149074</v>
      </c>
      <c r="L6" s="4">
        <f t="shared" si="2"/>
        <v>54929597</v>
      </c>
      <c r="M6" s="4">
        <f>P6+S6</f>
        <v>403</v>
      </c>
      <c r="N6" s="4"/>
      <c r="O6" s="4">
        <f t="shared" si="3"/>
        <v>0</v>
      </c>
      <c r="P6" s="4">
        <f t="shared" si="4"/>
        <v>403</v>
      </c>
      <c r="Q6" s="4"/>
      <c r="R6" s="4"/>
      <c r="S6" s="4">
        <f t="shared" si="5"/>
        <v>0</v>
      </c>
      <c r="T6" s="4">
        <f t="shared" si="6"/>
        <v>0</v>
      </c>
      <c r="U6" s="4">
        <f t="shared" si="7"/>
        <v>0</v>
      </c>
      <c r="V6" s="4">
        <f t="shared" si="8"/>
        <v>0</v>
      </c>
      <c r="W6" s="4"/>
      <c r="X6" s="4"/>
      <c r="Y6" s="4"/>
      <c r="Z6" s="4"/>
      <c r="AA6" s="3"/>
      <c r="AB6" s="3" t="s">
        <v>1292</v>
      </c>
      <c r="AC6" s="3">
        <v>746000</v>
      </c>
      <c r="AD6" s="387"/>
      <c r="AE6" s="387"/>
      <c r="AF6" s="387"/>
    </row>
    <row r="7" spans="1:32" s="5" customFormat="1" ht="30" customHeight="1">
      <c r="A7" s="3">
        <f t="shared" ref="A7:A70" si="9">A6+1</f>
        <v>3</v>
      </c>
      <c r="B7" s="3">
        <v>507</v>
      </c>
      <c r="C7" s="3" t="s">
        <v>43</v>
      </c>
      <c r="D7" s="4">
        <f>2310000-345000</f>
        <v>1965000</v>
      </c>
      <c r="E7" s="4">
        <v>2310000</v>
      </c>
      <c r="F7" s="4">
        <f t="shared" si="0"/>
        <v>-345000</v>
      </c>
      <c r="G7" s="4">
        <v>1965000</v>
      </c>
      <c r="H7" s="4">
        <v>1653104</v>
      </c>
      <c r="I7" s="4">
        <v>0</v>
      </c>
      <c r="J7" s="4">
        <v>18103</v>
      </c>
      <c r="K7" s="4">
        <f t="shared" si="1"/>
        <v>18103</v>
      </c>
      <c r="L7" s="4">
        <f t="shared" si="2"/>
        <v>1671207</v>
      </c>
      <c r="M7" s="4">
        <f>P7+S7-200000</f>
        <v>93793</v>
      </c>
      <c r="N7" s="4">
        <v>200000</v>
      </c>
      <c r="O7" s="4">
        <f t="shared" si="3"/>
        <v>0</v>
      </c>
      <c r="P7" s="4">
        <f t="shared" si="4"/>
        <v>293793</v>
      </c>
      <c r="Q7" s="4"/>
      <c r="R7" s="4"/>
      <c r="S7" s="4">
        <f t="shared" si="5"/>
        <v>0</v>
      </c>
      <c r="T7" s="4">
        <f t="shared" si="6"/>
        <v>200000</v>
      </c>
      <c r="U7" s="4">
        <f t="shared" si="7"/>
        <v>0</v>
      </c>
      <c r="V7" s="4">
        <f t="shared" si="8"/>
        <v>0</v>
      </c>
      <c r="W7" s="4"/>
      <c r="X7" s="4"/>
      <c r="Y7" s="4"/>
      <c r="Z7" s="4"/>
      <c r="AA7" s="3"/>
      <c r="AB7" s="3" t="s">
        <v>665</v>
      </c>
      <c r="AC7" s="3">
        <v>742000</v>
      </c>
      <c r="AD7" s="387"/>
      <c r="AE7" s="387"/>
      <c r="AF7" s="387"/>
    </row>
    <row r="8" spans="1:32" s="5" customFormat="1" ht="30" customHeight="1">
      <c r="A8" s="3">
        <f t="shared" si="9"/>
        <v>4</v>
      </c>
      <c r="B8" s="3">
        <v>546</v>
      </c>
      <c r="C8" s="3" t="s">
        <v>44</v>
      </c>
      <c r="D8" s="4">
        <v>2920000</v>
      </c>
      <c r="E8" s="4">
        <v>2920000</v>
      </c>
      <c r="F8" s="4">
        <f t="shared" si="0"/>
        <v>0</v>
      </c>
      <c r="G8" s="4">
        <v>2920000</v>
      </c>
      <c r="H8" s="4">
        <v>2895703</v>
      </c>
      <c r="I8" s="4">
        <v>0</v>
      </c>
      <c r="J8" s="4">
        <v>18053</v>
      </c>
      <c r="K8" s="4">
        <f t="shared" si="1"/>
        <v>18053</v>
      </c>
      <c r="L8" s="4">
        <f t="shared" si="2"/>
        <v>2913756</v>
      </c>
      <c r="M8" s="4">
        <f>P8+S8</f>
        <v>6244</v>
      </c>
      <c r="N8" s="4"/>
      <c r="O8" s="4">
        <f t="shared" si="3"/>
        <v>0</v>
      </c>
      <c r="P8" s="4">
        <f t="shared" si="4"/>
        <v>6244</v>
      </c>
      <c r="Q8" s="4"/>
      <c r="R8" s="4"/>
      <c r="S8" s="4">
        <f t="shared" si="5"/>
        <v>0</v>
      </c>
      <c r="T8" s="4">
        <f t="shared" si="6"/>
        <v>0</v>
      </c>
      <c r="U8" s="4">
        <f t="shared" si="7"/>
        <v>0</v>
      </c>
      <c r="V8" s="4">
        <f t="shared" si="8"/>
        <v>0</v>
      </c>
      <c r="W8" s="4"/>
      <c r="X8" s="4"/>
      <c r="Y8" s="4"/>
      <c r="Z8" s="4"/>
      <c r="AA8" s="3"/>
      <c r="AB8" s="3" t="s">
        <v>1292</v>
      </c>
      <c r="AC8" s="3">
        <v>742000</v>
      </c>
      <c r="AD8" s="387"/>
      <c r="AE8" s="387"/>
      <c r="AF8" s="387"/>
    </row>
    <row r="9" spans="1:32" s="5" customFormat="1" ht="30" customHeight="1">
      <c r="A9" s="3">
        <f t="shared" si="9"/>
        <v>5</v>
      </c>
      <c r="B9" s="3">
        <v>592</v>
      </c>
      <c r="C9" s="3" t="s">
        <v>23</v>
      </c>
      <c r="D9" s="4">
        <v>54893000</v>
      </c>
      <c r="E9" s="4">
        <v>54893000</v>
      </c>
      <c r="F9" s="4">
        <f t="shared" si="0"/>
        <v>0</v>
      </c>
      <c r="G9" s="4">
        <v>22020000</v>
      </c>
      <c r="H9" s="4">
        <v>19123122</v>
      </c>
      <c r="I9" s="4">
        <v>149112</v>
      </c>
      <c r="J9" s="4">
        <v>1050364</v>
      </c>
      <c r="K9" s="4">
        <f t="shared" si="1"/>
        <v>1199476</v>
      </c>
      <c r="L9" s="4">
        <f t="shared" si="2"/>
        <v>20322598</v>
      </c>
      <c r="M9" s="4">
        <f>P9+S9-1600000</f>
        <v>97402</v>
      </c>
      <c r="N9" s="4">
        <v>1000000</v>
      </c>
      <c r="O9" s="4">
        <f t="shared" si="3"/>
        <v>33473000</v>
      </c>
      <c r="P9" s="4">
        <f t="shared" si="4"/>
        <v>1697402</v>
      </c>
      <c r="Q9" s="4"/>
      <c r="R9" s="4"/>
      <c r="S9" s="4">
        <f t="shared" si="5"/>
        <v>0</v>
      </c>
      <c r="T9" s="4">
        <f t="shared" si="6"/>
        <v>1600000</v>
      </c>
      <c r="U9" s="4">
        <f t="shared" si="7"/>
        <v>-600000</v>
      </c>
      <c r="V9" s="4">
        <f t="shared" si="8"/>
        <v>-600000</v>
      </c>
      <c r="W9" s="4"/>
      <c r="X9" s="4"/>
      <c r="Y9" s="4"/>
      <c r="Z9" s="4"/>
      <c r="AA9" s="3"/>
      <c r="AB9" s="3" t="s">
        <v>1361</v>
      </c>
      <c r="AC9" s="3">
        <v>742000</v>
      </c>
      <c r="AD9" s="387"/>
      <c r="AE9" s="387"/>
      <c r="AF9" s="387"/>
    </row>
    <row r="10" spans="1:32" s="5" customFormat="1" ht="30" customHeight="1">
      <c r="A10" s="3">
        <f t="shared" si="9"/>
        <v>6</v>
      </c>
      <c r="B10" s="3">
        <v>608</v>
      </c>
      <c r="C10" s="3" t="s">
        <v>30</v>
      </c>
      <c r="D10" s="4">
        <v>8300000</v>
      </c>
      <c r="E10" s="4">
        <v>8300000</v>
      </c>
      <c r="F10" s="4">
        <f t="shared" si="0"/>
        <v>0</v>
      </c>
      <c r="G10" s="4">
        <v>6200000</v>
      </c>
      <c r="H10" s="4">
        <v>5671797</v>
      </c>
      <c r="I10" s="4">
        <v>0</v>
      </c>
      <c r="J10" s="4">
        <v>110351</v>
      </c>
      <c r="K10" s="4">
        <f t="shared" si="1"/>
        <v>110351</v>
      </c>
      <c r="L10" s="4">
        <f t="shared" si="2"/>
        <v>5782148</v>
      </c>
      <c r="M10" s="4">
        <f>P10+S10-400000</f>
        <v>17852</v>
      </c>
      <c r="N10" s="4">
        <v>400000</v>
      </c>
      <c r="O10" s="4">
        <f t="shared" si="3"/>
        <v>2100000</v>
      </c>
      <c r="P10" s="4">
        <f t="shared" si="4"/>
        <v>417852</v>
      </c>
      <c r="Q10" s="4"/>
      <c r="R10" s="4"/>
      <c r="S10" s="4">
        <f t="shared" si="5"/>
        <v>0</v>
      </c>
      <c r="T10" s="4">
        <f t="shared" si="6"/>
        <v>400000</v>
      </c>
      <c r="U10" s="4">
        <f t="shared" si="7"/>
        <v>0</v>
      </c>
      <c r="V10" s="4">
        <f t="shared" si="8"/>
        <v>0</v>
      </c>
      <c r="W10" s="4"/>
      <c r="X10" s="4"/>
      <c r="Y10" s="4"/>
      <c r="Z10" s="4"/>
      <c r="AA10" s="3"/>
      <c r="AB10" s="3" t="s">
        <v>346</v>
      </c>
      <c r="AC10" s="3">
        <v>745000</v>
      </c>
      <c r="AD10" s="387"/>
      <c r="AE10" s="387"/>
      <c r="AF10" s="387"/>
    </row>
    <row r="11" spans="1:32" s="6" customFormat="1" ht="30" customHeight="1">
      <c r="A11" s="3">
        <f t="shared" si="9"/>
        <v>7</v>
      </c>
      <c r="B11" s="3">
        <v>626</v>
      </c>
      <c r="C11" s="3" t="s">
        <v>635</v>
      </c>
      <c r="D11" s="4">
        <f>25195000+12580000-3000000</f>
        <v>34775000</v>
      </c>
      <c r="E11" s="4">
        <v>25195000</v>
      </c>
      <c r="F11" s="4">
        <f t="shared" si="0"/>
        <v>9580000</v>
      </c>
      <c r="G11" s="4">
        <v>17775000</v>
      </c>
      <c r="H11" s="4">
        <v>13581452</v>
      </c>
      <c r="I11" s="4">
        <v>0</v>
      </c>
      <c r="J11" s="4">
        <v>378075</v>
      </c>
      <c r="K11" s="4">
        <f t="shared" si="1"/>
        <v>378075</v>
      </c>
      <c r="L11" s="4">
        <f t="shared" si="2"/>
        <v>13959527</v>
      </c>
      <c r="M11" s="4">
        <f>P11+S11-3500000</f>
        <v>315473</v>
      </c>
      <c r="N11" s="4">
        <f>20000000+500000-5000000-5500000-2000000</f>
        <v>8000000</v>
      </c>
      <c r="O11" s="4">
        <f t="shared" si="3"/>
        <v>12500000</v>
      </c>
      <c r="P11" s="4">
        <f t="shared" si="4"/>
        <v>3815473</v>
      </c>
      <c r="Q11" s="4"/>
      <c r="R11" s="4"/>
      <c r="S11" s="4">
        <f t="shared" si="5"/>
        <v>0</v>
      </c>
      <c r="T11" s="4">
        <f t="shared" si="6"/>
        <v>3500000</v>
      </c>
      <c r="U11" s="4">
        <f t="shared" si="7"/>
        <v>4500000</v>
      </c>
      <c r="V11" s="4">
        <f t="shared" si="8"/>
        <v>2500000</v>
      </c>
      <c r="W11" s="4"/>
      <c r="X11" s="4"/>
      <c r="Y11" s="4"/>
      <c r="Z11" s="4"/>
      <c r="AA11" s="4">
        <v>2000000</v>
      </c>
      <c r="AB11" s="3" t="s">
        <v>1511</v>
      </c>
      <c r="AC11" s="3">
        <v>732000</v>
      </c>
      <c r="AD11" s="387"/>
      <c r="AE11" s="387"/>
      <c r="AF11" s="387"/>
    </row>
    <row r="12" spans="1:32" s="5" customFormat="1" ht="30" customHeight="1">
      <c r="A12" s="3">
        <f t="shared" si="9"/>
        <v>8</v>
      </c>
      <c r="B12" s="3">
        <v>638</v>
      </c>
      <c r="C12" s="3" t="s">
        <v>605</v>
      </c>
      <c r="D12" s="4">
        <v>7000000</v>
      </c>
      <c r="E12" s="4">
        <v>7000000</v>
      </c>
      <c r="F12" s="4">
        <f t="shared" si="0"/>
        <v>0</v>
      </c>
      <c r="G12" s="4">
        <v>3936000</v>
      </c>
      <c r="H12" s="4">
        <v>3713997</v>
      </c>
      <c r="I12" s="4">
        <v>0</v>
      </c>
      <c r="J12" s="4">
        <v>221161</v>
      </c>
      <c r="K12" s="4">
        <f t="shared" si="1"/>
        <v>221161</v>
      </c>
      <c r="L12" s="4">
        <f t="shared" si="2"/>
        <v>3935158</v>
      </c>
      <c r="M12" s="4">
        <f>P12+S12</f>
        <v>842</v>
      </c>
      <c r="N12" s="4">
        <v>1500000</v>
      </c>
      <c r="O12" s="4">
        <f t="shared" si="3"/>
        <v>1564000</v>
      </c>
      <c r="P12" s="4">
        <f t="shared" si="4"/>
        <v>842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1500000</v>
      </c>
      <c r="V12" s="4">
        <f t="shared" si="8"/>
        <v>1500000</v>
      </c>
      <c r="W12" s="4"/>
      <c r="X12" s="4"/>
      <c r="Y12" s="4"/>
      <c r="Z12" s="4"/>
      <c r="AA12" s="3"/>
      <c r="AB12" s="3" t="s">
        <v>1350</v>
      </c>
      <c r="AC12" s="3">
        <v>742000</v>
      </c>
      <c r="AD12" s="387"/>
      <c r="AE12" s="387"/>
      <c r="AF12" s="387"/>
    </row>
    <row r="13" spans="1:32" s="5" customFormat="1" ht="30" customHeight="1">
      <c r="A13" s="3">
        <f t="shared" si="9"/>
        <v>9</v>
      </c>
      <c r="B13" s="3">
        <v>1018</v>
      </c>
      <c r="C13" s="3" t="s">
        <v>24</v>
      </c>
      <c r="D13" s="4">
        <v>31900000</v>
      </c>
      <c r="E13" s="4">
        <v>31900000</v>
      </c>
      <c r="F13" s="4">
        <f t="shared" si="0"/>
        <v>0</v>
      </c>
      <c r="G13" s="4">
        <v>3150000</v>
      </c>
      <c r="H13" s="4">
        <v>3059671</v>
      </c>
      <c r="I13" s="4">
        <v>84193</v>
      </c>
      <c r="J13" s="4">
        <v>0</v>
      </c>
      <c r="K13" s="4">
        <f t="shared" si="1"/>
        <v>84193</v>
      </c>
      <c r="L13" s="4">
        <f t="shared" si="2"/>
        <v>3143864</v>
      </c>
      <c r="M13" s="4">
        <f>P13+S13</f>
        <v>6136</v>
      </c>
      <c r="N13" s="4"/>
      <c r="O13" s="4">
        <f t="shared" si="3"/>
        <v>28750000</v>
      </c>
      <c r="P13" s="4">
        <f t="shared" si="4"/>
        <v>6136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0</v>
      </c>
      <c r="V13" s="4">
        <f t="shared" si="8"/>
        <v>0</v>
      </c>
      <c r="W13" s="4"/>
      <c r="X13" s="4"/>
      <c r="Y13" s="4"/>
      <c r="Z13" s="4"/>
      <c r="AA13" s="3"/>
      <c r="AB13" s="3" t="s">
        <v>666</v>
      </c>
      <c r="AC13" s="3">
        <v>742000</v>
      </c>
      <c r="AD13" s="387"/>
      <c r="AE13" s="387"/>
      <c r="AF13" s="387"/>
    </row>
    <row r="14" spans="1:32" s="5" customFormat="1" ht="30" customHeight="1">
      <c r="A14" s="3">
        <f t="shared" si="9"/>
        <v>10</v>
      </c>
      <c r="B14" s="3">
        <v>1100</v>
      </c>
      <c r="C14" s="3" t="s">
        <v>17</v>
      </c>
      <c r="D14" s="4">
        <v>7000000</v>
      </c>
      <c r="E14" s="4">
        <v>7000000</v>
      </c>
      <c r="F14" s="4">
        <f t="shared" si="0"/>
        <v>0</v>
      </c>
      <c r="G14" s="4">
        <v>6100000</v>
      </c>
      <c r="H14" s="4">
        <v>4426878</v>
      </c>
      <c r="I14" s="4">
        <v>1304715</v>
      </c>
      <c r="J14" s="4">
        <v>240825</v>
      </c>
      <c r="K14" s="4">
        <f t="shared" si="1"/>
        <v>1545540</v>
      </c>
      <c r="L14" s="4">
        <f t="shared" si="2"/>
        <v>5972418</v>
      </c>
      <c r="M14" s="4">
        <f>P14+S14</f>
        <v>127582</v>
      </c>
      <c r="N14" s="4">
        <v>800000</v>
      </c>
      <c r="O14" s="4">
        <f t="shared" si="3"/>
        <v>100000</v>
      </c>
      <c r="P14" s="4">
        <f t="shared" si="4"/>
        <v>127582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800000</v>
      </c>
      <c r="V14" s="4">
        <f t="shared" si="8"/>
        <v>800000</v>
      </c>
      <c r="W14" s="4"/>
      <c r="X14" s="4"/>
      <c r="Y14" s="4"/>
      <c r="Z14" s="4"/>
      <c r="AA14" s="3"/>
      <c r="AB14" s="3" t="s">
        <v>864</v>
      </c>
      <c r="AC14" s="3">
        <v>732000</v>
      </c>
      <c r="AD14" s="387"/>
      <c r="AE14" s="387"/>
      <c r="AF14" s="387"/>
    </row>
    <row r="15" spans="1:32" s="6" customFormat="1" ht="30" customHeight="1">
      <c r="A15" s="3">
        <f t="shared" si="9"/>
        <v>11</v>
      </c>
      <c r="B15" s="3">
        <v>1129</v>
      </c>
      <c r="C15" s="3" t="s">
        <v>31</v>
      </c>
      <c r="D15" s="4">
        <v>7000000</v>
      </c>
      <c r="E15" s="4">
        <v>7000000</v>
      </c>
      <c r="F15" s="4">
        <f t="shared" si="0"/>
        <v>0</v>
      </c>
      <c r="G15" s="4">
        <v>6191771</v>
      </c>
      <c r="H15" s="4">
        <v>5147258</v>
      </c>
      <c r="I15" s="4">
        <v>0</v>
      </c>
      <c r="J15" s="4">
        <v>665793</v>
      </c>
      <c r="K15" s="4">
        <f t="shared" si="1"/>
        <v>665793</v>
      </c>
      <c r="L15" s="4">
        <f t="shared" si="2"/>
        <v>5813051</v>
      </c>
      <c r="M15" s="4">
        <f>P15+S15-300000</f>
        <v>78720</v>
      </c>
      <c r="N15" s="4">
        <v>600000</v>
      </c>
      <c r="O15" s="4">
        <f t="shared" si="3"/>
        <v>508229</v>
      </c>
      <c r="P15" s="4">
        <f t="shared" si="4"/>
        <v>378720</v>
      </c>
      <c r="Q15" s="4"/>
      <c r="R15" s="4"/>
      <c r="S15" s="4">
        <f t="shared" si="5"/>
        <v>0</v>
      </c>
      <c r="T15" s="4">
        <f t="shared" si="6"/>
        <v>300000</v>
      </c>
      <c r="U15" s="4">
        <f t="shared" si="7"/>
        <v>300000</v>
      </c>
      <c r="V15" s="4">
        <f t="shared" si="8"/>
        <v>300000</v>
      </c>
      <c r="W15" s="4"/>
      <c r="X15" s="4"/>
      <c r="Y15" s="4"/>
      <c r="Z15" s="4"/>
      <c r="AA15" s="3"/>
      <c r="AB15" s="3" t="s">
        <v>502</v>
      </c>
      <c r="AC15" s="3">
        <v>742000</v>
      </c>
      <c r="AD15" s="387"/>
      <c r="AE15" s="387"/>
      <c r="AF15" s="387"/>
    </row>
    <row r="16" spans="1:32" s="5" customFormat="1" ht="30" customHeight="1">
      <c r="A16" s="3">
        <f t="shared" si="9"/>
        <v>12</v>
      </c>
      <c r="B16" s="3">
        <v>1220</v>
      </c>
      <c r="C16" s="3" t="s">
        <v>33</v>
      </c>
      <c r="D16" s="4">
        <v>7000000</v>
      </c>
      <c r="E16" s="4">
        <v>7000000</v>
      </c>
      <c r="F16" s="4">
        <f t="shared" si="0"/>
        <v>0</v>
      </c>
      <c r="G16" s="4">
        <v>5950000</v>
      </c>
      <c r="H16" s="4">
        <v>5018962</v>
      </c>
      <c r="I16" s="4">
        <v>113993</v>
      </c>
      <c r="J16" s="4">
        <v>401881</v>
      </c>
      <c r="K16" s="4">
        <f t="shared" si="1"/>
        <v>515874</v>
      </c>
      <c r="L16" s="4">
        <f t="shared" si="2"/>
        <v>5534836</v>
      </c>
      <c r="M16" s="4">
        <f>P16+S16-400000</f>
        <v>15164</v>
      </c>
      <c r="N16" s="4">
        <f>700000+700000</f>
        <v>1400000</v>
      </c>
      <c r="O16" s="4">
        <f t="shared" si="3"/>
        <v>50000</v>
      </c>
      <c r="P16" s="4">
        <f t="shared" si="4"/>
        <v>415164</v>
      </c>
      <c r="Q16" s="4"/>
      <c r="R16" s="4"/>
      <c r="S16" s="4">
        <f t="shared" si="5"/>
        <v>0</v>
      </c>
      <c r="T16" s="4">
        <f t="shared" si="6"/>
        <v>400000</v>
      </c>
      <c r="U16" s="4">
        <f t="shared" si="7"/>
        <v>1000000</v>
      </c>
      <c r="V16" s="4">
        <f t="shared" si="8"/>
        <v>1000000</v>
      </c>
      <c r="W16" s="4"/>
      <c r="X16" s="4"/>
      <c r="Y16" s="4"/>
      <c r="Z16" s="4"/>
      <c r="AA16" s="3"/>
      <c r="AB16" s="3" t="s">
        <v>1393</v>
      </c>
      <c r="AC16" s="3">
        <v>732000</v>
      </c>
      <c r="AD16" s="387"/>
      <c r="AE16" s="387"/>
      <c r="AF16" s="387"/>
    </row>
    <row r="17" spans="1:32" s="5" customFormat="1" ht="30" customHeight="1">
      <c r="A17" s="3">
        <f t="shared" si="9"/>
        <v>13</v>
      </c>
      <c r="B17" s="3">
        <v>1320</v>
      </c>
      <c r="C17" s="3" t="s">
        <v>46</v>
      </c>
      <c r="D17" s="4">
        <f>23500000-1950000</f>
        <v>21550000</v>
      </c>
      <c r="E17" s="4">
        <v>23500000</v>
      </c>
      <c r="F17" s="4">
        <f t="shared" si="0"/>
        <v>-1950000</v>
      </c>
      <c r="G17" s="4">
        <v>21550000</v>
      </c>
      <c r="H17" s="4">
        <v>21339439</v>
      </c>
      <c r="I17" s="4">
        <v>204226</v>
      </c>
      <c r="J17" s="4">
        <v>0</v>
      </c>
      <c r="K17" s="4">
        <f t="shared" si="1"/>
        <v>204226</v>
      </c>
      <c r="L17" s="4">
        <f t="shared" si="2"/>
        <v>21543665</v>
      </c>
      <c r="M17" s="4">
        <f>P17+S17</f>
        <v>6335</v>
      </c>
      <c r="N17" s="4"/>
      <c r="O17" s="4">
        <f t="shared" si="3"/>
        <v>0</v>
      </c>
      <c r="P17" s="4">
        <f t="shared" si="4"/>
        <v>6335</v>
      </c>
      <c r="Q17" s="4"/>
      <c r="R17" s="4"/>
      <c r="S17" s="4">
        <f t="shared" si="5"/>
        <v>0</v>
      </c>
      <c r="T17" s="4">
        <f t="shared" si="6"/>
        <v>0</v>
      </c>
      <c r="U17" s="4">
        <f t="shared" si="7"/>
        <v>0</v>
      </c>
      <c r="V17" s="4">
        <f t="shared" si="8"/>
        <v>0</v>
      </c>
      <c r="W17" s="4"/>
      <c r="X17" s="4"/>
      <c r="Y17" s="4"/>
      <c r="Z17" s="4"/>
      <c r="AA17" s="3"/>
      <c r="AB17" s="3" t="s">
        <v>1292</v>
      </c>
      <c r="AC17" s="3">
        <v>746000</v>
      </c>
      <c r="AD17" s="387"/>
      <c r="AE17" s="387"/>
      <c r="AF17" s="387"/>
    </row>
    <row r="18" spans="1:32" s="5" customFormat="1" ht="30" customHeight="1">
      <c r="A18" s="3">
        <f t="shared" si="9"/>
        <v>14</v>
      </c>
      <c r="B18" s="3">
        <v>1363</v>
      </c>
      <c r="C18" s="3" t="s">
        <v>36</v>
      </c>
      <c r="D18" s="4">
        <f>15500000-7950000</f>
        <v>7550000</v>
      </c>
      <c r="E18" s="4">
        <v>15500000</v>
      </c>
      <c r="F18" s="4">
        <f t="shared" si="0"/>
        <v>-7950000</v>
      </c>
      <c r="G18" s="4">
        <v>8050000</v>
      </c>
      <c r="H18" s="4">
        <v>5873469</v>
      </c>
      <c r="I18" s="4">
        <v>72510</v>
      </c>
      <c r="J18" s="4">
        <v>1132586</v>
      </c>
      <c r="K18" s="4">
        <f t="shared" si="1"/>
        <v>1205096</v>
      </c>
      <c r="L18" s="4">
        <f t="shared" si="2"/>
        <v>7078565</v>
      </c>
      <c r="M18" s="4">
        <f>P18+S18-500000</f>
        <v>471435</v>
      </c>
      <c r="N18" s="4"/>
      <c r="O18" s="4">
        <f t="shared" si="3"/>
        <v>0</v>
      </c>
      <c r="P18" s="4">
        <f t="shared" si="4"/>
        <v>971435</v>
      </c>
      <c r="Q18" s="4"/>
      <c r="R18" s="4"/>
      <c r="S18" s="4">
        <f t="shared" si="5"/>
        <v>0</v>
      </c>
      <c r="T18" s="4">
        <f t="shared" si="6"/>
        <v>500000</v>
      </c>
      <c r="U18" s="4">
        <f t="shared" si="7"/>
        <v>-500000</v>
      </c>
      <c r="V18" s="4">
        <f t="shared" si="8"/>
        <v>-500000</v>
      </c>
      <c r="W18" s="4"/>
      <c r="X18" s="4"/>
      <c r="Y18" s="4"/>
      <c r="Z18" s="4"/>
      <c r="AA18" s="3"/>
      <c r="AB18" s="3" t="s">
        <v>1691</v>
      </c>
      <c r="AC18" s="3">
        <v>742000</v>
      </c>
      <c r="AD18" s="387"/>
      <c r="AE18" s="387"/>
      <c r="AF18" s="387"/>
    </row>
    <row r="19" spans="1:32" s="6" customFormat="1" ht="30" customHeight="1">
      <c r="A19" s="3">
        <f t="shared" si="9"/>
        <v>15</v>
      </c>
      <c r="B19" s="3">
        <v>1366</v>
      </c>
      <c r="C19" s="3" t="s">
        <v>37</v>
      </c>
      <c r="D19" s="4">
        <v>1500000</v>
      </c>
      <c r="E19" s="4">
        <v>1500000</v>
      </c>
      <c r="F19" s="4">
        <f t="shared" si="0"/>
        <v>0</v>
      </c>
      <c r="G19" s="4">
        <v>846000</v>
      </c>
      <c r="H19" s="4">
        <v>742521</v>
      </c>
      <c r="I19" s="4">
        <v>0</v>
      </c>
      <c r="J19" s="4"/>
      <c r="K19" s="4">
        <f t="shared" si="1"/>
        <v>0</v>
      </c>
      <c r="L19" s="4">
        <f t="shared" si="2"/>
        <v>742521</v>
      </c>
      <c r="M19" s="4">
        <f>P19+S19-100000</f>
        <v>3479</v>
      </c>
      <c r="N19" s="4">
        <f>600000-200000</f>
        <v>400000</v>
      </c>
      <c r="O19" s="4">
        <f t="shared" si="3"/>
        <v>354000</v>
      </c>
      <c r="P19" s="4">
        <f t="shared" si="4"/>
        <v>103479</v>
      </c>
      <c r="Q19" s="4"/>
      <c r="R19" s="4"/>
      <c r="S19" s="4">
        <f t="shared" si="5"/>
        <v>0</v>
      </c>
      <c r="T19" s="4">
        <f t="shared" si="6"/>
        <v>100000</v>
      </c>
      <c r="U19" s="4">
        <f t="shared" si="7"/>
        <v>300000</v>
      </c>
      <c r="V19" s="4">
        <f t="shared" si="8"/>
        <v>300000</v>
      </c>
      <c r="W19" s="4"/>
      <c r="X19" s="4"/>
      <c r="Y19" s="4"/>
      <c r="Z19" s="4"/>
      <c r="AA19" s="3"/>
      <c r="AB19" s="3" t="s">
        <v>1351</v>
      </c>
      <c r="AC19" s="3">
        <v>742000</v>
      </c>
      <c r="AD19" s="387"/>
      <c r="AE19" s="387"/>
      <c r="AF19" s="387"/>
    </row>
    <row r="20" spans="1:32" s="6" customFormat="1" ht="30" customHeight="1">
      <c r="A20" s="3">
        <f t="shared" si="9"/>
        <v>16</v>
      </c>
      <c r="B20" s="3">
        <v>1406</v>
      </c>
      <c r="C20" s="3" t="s">
        <v>129</v>
      </c>
      <c r="D20" s="4">
        <f>1400000-500000+300000</f>
        <v>1200000</v>
      </c>
      <c r="E20" s="4">
        <v>1400000</v>
      </c>
      <c r="F20" s="4">
        <f t="shared" si="0"/>
        <v>-200000</v>
      </c>
      <c r="G20" s="4">
        <v>1300000</v>
      </c>
      <c r="H20" s="4">
        <v>852000</v>
      </c>
      <c r="I20" s="4">
        <v>35528</v>
      </c>
      <c r="J20" s="4">
        <v>0</v>
      </c>
      <c r="K20" s="4">
        <f t="shared" si="1"/>
        <v>35528</v>
      </c>
      <c r="L20" s="4">
        <f t="shared" si="2"/>
        <v>887528</v>
      </c>
      <c r="M20" s="4">
        <f>P20+S20-400000</f>
        <v>12472</v>
      </c>
      <c r="N20" s="4">
        <v>300000</v>
      </c>
      <c r="O20" s="4">
        <f t="shared" si="3"/>
        <v>0</v>
      </c>
      <c r="P20" s="4">
        <f t="shared" si="4"/>
        <v>412472</v>
      </c>
      <c r="Q20" s="4"/>
      <c r="R20" s="4"/>
      <c r="S20" s="4">
        <f t="shared" si="5"/>
        <v>0</v>
      </c>
      <c r="T20" s="4">
        <f t="shared" si="6"/>
        <v>400000</v>
      </c>
      <c r="U20" s="4">
        <f t="shared" si="7"/>
        <v>-100000</v>
      </c>
      <c r="V20" s="4">
        <f t="shared" si="8"/>
        <v>-100000</v>
      </c>
      <c r="W20" s="4"/>
      <c r="X20" s="4"/>
      <c r="Y20" s="4"/>
      <c r="Z20" s="4"/>
      <c r="AA20" s="3"/>
      <c r="AB20" s="3" t="s">
        <v>1352</v>
      </c>
      <c r="AC20" s="3">
        <v>732000</v>
      </c>
      <c r="AD20" s="387"/>
      <c r="AE20" s="387"/>
      <c r="AF20" s="387"/>
    </row>
    <row r="21" spans="1:32" s="6" customFormat="1" ht="30" customHeight="1">
      <c r="A21" s="3">
        <f t="shared" si="9"/>
        <v>17</v>
      </c>
      <c r="B21" s="3">
        <v>1407</v>
      </c>
      <c r="C21" s="3" t="s">
        <v>18</v>
      </c>
      <c r="D21" s="4">
        <f>4895000+400000</f>
        <v>5295000</v>
      </c>
      <c r="E21" s="4">
        <v>4895000</v>
      </c>
      <c r="F21" s="4">
        <f t="shared" si="0"/>
        <v>400000</v>
      </c>
      <c r="G21" s="4">
        <v>4095000</v>
      </c>
      <c r="H21" s="4">
        <v>2650861</v>
      </c>
      <c r="I21" s="4">
        <v>292816</v>
      </c>
      <c r="J21" s="4">
        <v>308343</v>
      </c>
      <c r="K21" s="4">
        <f t="shared" si="1"/>
        <v>601159</v>
      </c>
      <c r="L21" s="4">
        <f t="shared" si="2"/>
        <v>3252020</v>
      </c>
      <c r="M21" s="4">
        <f>P21+S21-800000</f>
        <v>42980</v>
      </c>
      <c r="N21" s="4">
        <f>2000000-1000000+1000000</f>
        <v>2000000</v>
      </c>
      <c r="O21" s="4">
        <f t="shared" si="3"/>
        <v>0</v>
      </c>
      <c r="P21" s="4">
        <f t="shared" si="4"/>
        <v>842980</v>
      </c>
      <c r="Q21" s="4"/>
      <c r="R21" s="4"/>
      <c r="S21" s="4">
        <f t="shared" si="5"/>
        <v>0</v>
      </c>
      <c r="T21" s="4">
        <f t="shared" si="6"/>
        <v>800000</v>
      </c>
      <c r="U21" s="4">
        <f t="shared" si="7"/>
        <v>1200000</v>
      </c>
      <c r="V21" s="4">
        <f t="shared" si="8"/>
        <v>1200000</v>
      </c>
      <c r="W21" s="4"/>
      <c r="X21" s="4"/>
      <c r="Y21" s="4"/>
      <c r="Z21" s="4"/>
      <c r="AA21" s="3"/>
      <c r="AB21" s="3" t="s">
        <v>1392</v>
      </c>
      <c r="AC21" s="3">
        <v>732000</v>
      </c>
      <c r="AD21" s="387"/>
      <c r="AE21" s="387"/>
      <c r="AF21" s="387"/>
    </row>
    <row r="22" spans="1:32" s="5" customFormat="1" ht="30" customHeight="1">
      <c r="A22" s="3">
        <f t="shared" si="9"/>
        <v>18</v>
      </c>
      <c r="B22" s="3">
        <v>1409</v>
      </c>
      <c r="C22" s="31" t="s">
        <v>667</v>
      </c>
      <c r="D22" s="4">
        <v>7680000</v>
      </c>
      <c r="E22" s="4">
        <v>7680000</v>
      </c>
      <c r="F22" s="4">
        <f t="shared" si="0"/>
        <v>0</v>
      </c>
      <c r="G22" s="4">
        <v>7330000</v>
      </c>
      <c r="H22" s="4">
        <v>5099564</v>
      </c>
      <c r="I22" s="4">
        <v>1314720</v>
      </c>
      <c r="J22" s="4">
        <v>8190</v>
      </c>
      <c r="K22" s="4">
        <f t="shared" si="1"/>
        <v>1322910</v>
      </c>
      <c r="L22" s="4">
        <f t="shared" si="2"/>
        <v>6422474</v>
      </c>
      <c r="M22" s="4">
        <f>P22+S22-900000</f>
        <v>7526</v>
      </c>
      <c r="N22" s="4">
        <v>900000</v>
      </c>
      <c r="O22" s="4">
        <f t="shared" si="3"/>
        <v>350000</v>
      </c>
      <c r="P22" s="4">
        <f t="shared" si="4"/>
        <v>907526</v>
      </c>
      <c r="Q22" s="4"/>
      <c r="R22" s="4"/>
      <c r="S22" s="4">
        <f t="shared" si="5"/>
        <v>0</v>
      </c>
      <c r="T22" s="4">
        <f t="shared" si="6"/>
        <v>900000</v>
      </c>
      <c r="U22" s="4">
        <f t="shared" si="7"/>
        <v>0</v>
      </c>
      <c r="V22" s="4">
        <f t="shared" si="8"/>
        <v>0</v>
      </c>
      <c r="W22" s="4"/>
      <c r="X22" s="4"/>
      <c r="Y22" s="4"/>
      <c r="Z22" s="4"/>
      <c r="AA22" s="3"/>
      <c r="AB22" s="3" t="s">
        <v>1394</v>
      </c>
      <c r="AC22" s="3">
        <v>732000</v>
      </c>
      <c r="AD22" s="387"/>
      <c r="AE22" s="387"/>
      <c r="AF22" s="387"/>
    </row>
    <row r="23" spans="1:32" s="5" customFormat="1" ht="30" customHeight="1">
      <c r="A23" s="3">
        <f t="shared" si="9"/>
        <v>19</v>
      </c>
      <c r="B23" s="3">
        <v>1457</v>
      </c>
      <c r="C23" s="3" t="s">
        <v>177</v>
      </c>
      <c r="D23" s="4">
        <f>1100000-870000</f>
        <v>230000</v>
      </c>
      <c r="E23" s="4">
        <v>1100000</v>
      </c>
      <c r="F23" s="4">
        <f t="shared" si="0"/>
        <v>-870000</v>
      </c>
      <c r="G23" s="4">
        <v>430000</v>
      </c>
      <c r="H23" s="4">
        <v>171904</v>
      </c>
      <c r="I23" s="4">
        <v>0</v>
      </c>
      <c r="J23" s="4">
        <v>28846</v>
      </c>
      <c r="K23" s="4">
        <f t="shared" si="1"/>
        <v>28846</v>
      </c>
      <c r="L23" s="4">
        <f t="shared" si="2"/>
        <v>200750</v>
      </c>
      <c r="M23" s="4">
        <f>P23+S23-200000</f>
        <v>29250</v>
      </c>
      <c r="N23" s="4"/>
      <c r="O23" s="4">
        <f t="shared" si="3"/>
        <v>0</v>
      </c>
      <c r="P23" s="4">
        <f t="shared" si="4"/>
        <v>229250</v>
      </c>
      <c r="Q23" s="4"/>
      <c r="R23" s="4"/>
      <c r="S23" s="4">
        <f t="shared" si="5"/>
        <v>0</v>
      </c>
      <c r="T23" s="4">
        <f t="shared" si="6"/>
        <v>200000</v>
      </c>
      <c r="U23" s="4">
        <f t="shared" si="7"/>
        <v>-200000</v>
      </c>
      <c r="V23" s="4">
        <f t="shared" si="8"/>
        <v>-200000</v>
      </c>
      <c r="W23" s="4"/>
      <c r="X23" s="4"/>
      <c r="Y23" s="4"/>
      <c r="Z23" s="4"/>
      <c r="AA23" s="3"/>
      <c r="AB23" s="3" t="s">
        <v>1410</v>
      </c>
      <c r="AC23" s="3">
        <v>742000</v>
      </c>
      <c r="AD23" s="387"/>
      <c r="AE23" s="387"/>
      <c r="AF23" s="387"/>
    </row>
    <row r="24" spans="1:32" s="5" customFormat="1" ht="30" customHeight="1">
      <c r="A24" s="3">
        <f t="shared" si="9"/>
        <v>20</v>
      </c>
      <c r="B24" s="3">
        <v>1466</v>
      </c>
      <c r="C24" s="3" t="s">
        <v>19</v>
      </c>
      <c r="D24" s="4">
        <v>2200000</v>
      </c>
      <c r="E24" s="4">
        <v>2200000</v>
      </c>
      <c r="F24" s="4">
        <f t="shared" si="0"/>
        <v>0</v>
      </c>
      <c r="G24" s="4">
        <v>1500000</v>
      </c>
      <c r="H24" s="4">
        <v>1242093</v>
      </c>
      <c r="I24" s="4">
        <v>0</v>
      </c>
      <c r="J24" s="4">
        <v>0</v>
      </c>
      <c r="K24" s="4">
        <f t="shared" si="1"/>
        <v>0</v>
      </c>
      <c r="L24" s="4">
        <f t="shared" si="2"/>
        <v>1242093</v>
      </c>
      <c r="M24" s="4">
        <f>P24+S24-250000</f>
        <v>7907</v>
      </c>
      <c r="N24" s="4">
        <f>250000+250000</f>
        <v>500000</v>
      </c>
      <c r="O24" s="4">
        <f t="shared" si="3"/>
        <v>450000</v>
      </c>
      <c r="P24" s="4">
        <f t="shared" si="4"/>
        <v>257907</v>
      </c>
      <c r="Q24" s="4"/>
      <c r="R24" s="4"/>
      <c r="S24" s="4">
        <f t="shared" si="5"/>
        <v>0</v>
      </c>
      <c r="T24" s="4">
        <f t="shared" si="6"/>
        <v>250000</v>
      </c>
      <c r="U24" s="4">
        <f t="shared" si="7"/>
        <v>250000</v>
      </c>
      <c r="V24" s="4">
        <f t="shared" si="8"/>
        <v>250000</v>
      </c>
      <c r="W24" s="4"/>
      <c r="X24" s="4"/>
      <c r="Y24" s="4"/>
      <c r="Z24" s="4"/>
      <c r="AA24" s="3"/>
      <c r="AB24" s="3" t="s">
        <v>1362</v>
      </c>
      <c r="AC24" s="3">
        <v>732000</v>
      </c>
      <c r="AD24" s="387"/>
      <c r="AE24" s="387"/>
      <c r="AF24" s="387"/>
    </row>
    <row r="25" spans="1:32" s="5" customFormat="1" ht="30" customHeight="1">
      <c r="A25" s="3">
        <f t="shared" si="9"/>
        <v>21</v>
      </c>
      <c r="B25" s="3">
        <v>1511</v>
      </c>
      <c r="C25" s="3" t="s">
        <v>38</v>
      </c>
      <c r="D25" s="4">
        <v>960000</v>
      </c>
      <c r="E25" s="4">
        <v>960000</v>
      </c>
      <c r="F25" s="4">
        <f t="shared" si="0"/>
        <v>0</v>
      </c>
      <c r="G25" s="4">
        <v>100000</v>
      </c>
      <c r="H25" s="4">
        <v>17284</v>
      </c>
      <c r="I25" s="4">
        <v>0</v>
      </c>
      <c r="J25" s="4">
        <v>0</v>
      </c>
      <c r="K25" s="4">
        <f t="shared" si="1"/>
        <v>0</v>
      </c>
      <c r="L25" s="4">
        <f t="shared" si="2"/>
        <v>17284</v>
      </c>
      <c r="M25" s="4">
        <f>P25+S25</f>
        <v>82716</v>
      </c>
      <c r="N25" s="4"/>
      <c r="O25" s="4">
        <f t="shared" si="3"/>
        <v>860000</v>
      </c>
      <c r="P25" s="4">
        <f t="shared" si="4"/>
        <v>82716</v>
      </c>
      <c r="Q25" s="4"/>
      <c r="R25" s="4"/>
      <c r="S25" s="4">
        <f t="shared" si="5"/>
        <v>0</v>
      </c>
      <c r="T25" s="4">
        <f t="shared" si="6"/>
        <v>0</v>
      </c>
      <c r="U25" s="4">
        <f t="shared" si="7"/>
        <v>0</v>
      </c>
      <c r="V25" s="4">
        <f t="shared" si="8"/>
        <v>0</v>
      </c>
      <c r="W25" s="4"/>
      <c r="X25" s="4"/>
      <c r="Y25" s="4"/>
      <c r="Z25" s="4"/>
      <c r="AA25" s="3"/>
      <c r="AB25" s="3" t="s">
        <v>884</v>
      </c>
      <c r="AC25" s="3">
        <v>742000</v>
      </c>
      <c r="AD25" s="387"/>
      <c r="AE25" s="387"/>
      <c r="AF25" s="387"/>
    </row>
    <row r="26" spans="1:32" s="5" customFormat="1" ht="30" customHeight="1">
      <c r="A26" s="3">
        <f t="shared" si="9"/>
        <v>22</v>
      </c>
      <c r="B26" s="3">
        <v>1527</v>
      </c>
      <c r="C26" s="3" t="s">
        <v>636</v>
      </c>
      <c r="D26" s="4">
        <v>3000000</v>
      </c>
      <c r="E26" s="4">
        <v>3000000</v>
      </c>
      <c r="F26" s="4">
        <f t="shared" si="0"/>
        <v>0</v>
      </c>
      <c r="G26" s="4">
        <v>1200000</v>
      </c>
      <c r="H26" s="4">
        <v>821144</v>
      </c>
      <c r="I26" s="4">
        <v>0</v>
      </c>
      <c r="J26" s="4">
        <v>0</v>
      </c>
      <c r="K26" s="4">
        <f t="shared" si="1"/>
        <v>0</v>
      </c>
      <c r="L26" s="4">
        <f t="shared" si="2"/>
        <v>821144</v>
      </c>
      <c r="M26" s="4">
        <f>P26+S26-350000</f>
        <v>28856</v>
      </c>
      <c r="N26" s="4">
        <v>700000</v>
      </c>
      <c r="O26" s="4">
        <f t="shared" si="3"/>
        <v>1450000</v>
      </c>
      <c r="P26" s="4">
        <f t="shared" si="4"/>
        <v>378856</v>
      </c>
      <c r="Q26" s="4"/>
      <c r="R26" s="4"/>
      <c r="S26" s="4">
        <f t="shared" si="5"/>
        <v>0</v>
      </c>
      <c r="T26" s="4">
        <f t="shared" si="6"/>
        <v>350000</v>
      </c>
      <c r="U26" s="4">
        <f t="shared" si="7"/>
        <v>350000</v>
      </c>
      <c r="V26" s="4">
        <f t="shared" si="8"/>
        <v>350000</v>
      </c>
      <c r="W26" s="4"/>
      <c r="X26" s="4"/>
      <c r="Y26" s="4"/>
      <c r="Z26" s="4"/>
      <c r="AA26" s="3"/>
      <c r="AB26" s="3" t="s">
        <v>865</v>
      </c>
      <c r="AC26" s="3">
        <v>732000</v>
      </c>
      <c r="AD26" s="387"/>
      <c r="AE26" s="387"/>
      <c r="AF26" s="387"/>
    </row>
    <row r="27" spans="1:32" s="5" customFormat="1" ht="30" customHeight="1">
      <c r="A27" s="3">
        <f t="shared" si="9"/>
        <v>23</v>
      </c>
      <c r="B27" s="3">
        <v>1529</v>
      </c>
      <c r="C27" s="3" t="s">
        <v>48</v>
      </c>
      <c r="D27" s="4">
        <v>500000</v>
      </c>
      <c r="E27" s="4">
        <v>500000</v>
      </c>
      <c r="F27" s="4">
        <f t="shared" si="0"/>
        <v>0</v>
      </c>
      <c r="G27" s="4">
        <v>500000</v>
      </c>
      <c r="H27" s="4">
        <v>367382</v>
      </c>
      <c r="I27" s="4">
        <v>0</v>
      </c>
      <c r="J27" s="4">
        <v>0</v>
      </c>
      <c r="K27" s="4">
        <f t="shared" si="1"/>
        <v>0</v>
      </c>
      <c r="L27" s="4">
        <f t="shared" si="2"/>
        <v>367382</v>
      </c>
      <c r="M27" s="4">
        <f>P27+S27-130000</f>
        <v>2618</v>
      </c>
      <c r="N27" s="4">
        <v>130000</v>
      </c>
      <c r="O27" s="4">
        <f t="shared" si="3"/>
        <v>0</v>
      </c>
      <c r="P27" s="4">
        <f t="shared" si="4"/>
        <v>132618</v>
      </c>
      <c r="Q27" s="4"/>
      <c r="R27" s="4"/>
      <c r="S27" s="4">
        <f t="shared" si="5"/>
        <v>0</v>
      </c>
      <c r="T27" s="4">
        <f t="shared" si="6"/>
        <v>130000</v>
      </c>
      <c r="U27" s="4">
        <f t="shared" si="7"/>
        <v>0</v>
      </c>
      <c r="V27" s="4">
        <f t="shared" si="8"/>
        <v>0</v>
      </c>
      <c r="W27" s="4"/>
      <c r="X27" s="4"/>
      <c r="Y27" s="4"/>
      <c r="Z27" s="4"/>
      <c r="AA27" s="3"/>
      <c r="AB27" s="3" t="s">
        <v>478</v>
      </c>
      <c r="AC27" s="3">
        <v>760000</v>
      </c>
      <c r="AD27" s="387"/>
      <c r="AE27" s="387"/>
      <c r="AF27" s="387"/>
    </row>
    <row r="28" spans="1:32" s="5" customFormat="1" ht="30" customHeight="1">
      <c r="A28" s="3">
        <f t="shared" si="9"/>
        <v>24</v>
      </c>
      <c r="B28" s="3">
        <v>1551</v>
      </c>
      <c r="C28" s="3" t="s">
        <v>110</v>
      </c>
      <c r="D28" s="4">
        <f>525240+520000-520000</f>
        <v>525240</v>
      </c>
      <c r="E28" s="4">
        <v>525240</v>
      </c>
      <c r="F28" s="4">
        <f t="shared" si="0"/>
        <v>0</v>
      </c>
      <c r="G28" s="4">
        <v>375240</v>
      </c>
      <c r="H28" s="4">
        <v>225965</v>
      </c>
      <c r="I28" s="4">
        <v>18729</v>
      </c>
      <c r="J28" s="4"/>
      <c r="K28" s="4">
        <f t="shared" si="1"/>
        <v>18729</v>
      </c>
      <c r="L28" s="4">
        <f t="shared" si="2"/>
        <v>244694</v>
      </c>
      <c r="M28" s="4">
        <f>P28+S28-130000</f>
        <v>546</v>
      </c>
      <c r="N28" s="4">
        <f>250000-50000</f>
        <v>200000</v>
      </c>
      <c r="O28" s="4">
        <f t="shared" si="3"/>
        <v>80000</v>
      </c>
      <c r="P28" s="4">
        <f t="shared" si="4"/>
        <v>130546</v>
      </c>
      <c r="Q28" s="4"/>
      <c r="R28" s="4"/>
      <c r="S28" s="4">
        <f t="shared" si="5"/>
        <v>0</v>
      </c>
      <c r="T28" s="4">
        <f t="shared" si="6"/>
        <v>130000</v>
      </c>
      <c r="U28" s="4">
        <f t="shared" si="7"/>
        <v>70000</v>
      </c>
      <c r="V28" s="4">
        <f t="shared" si="8"/>
        <v>70000</v>
      </c>
      <c r="W28" s="4"/>
      <c r="X28" s="4"/>
      <c r="Y28" s="4"/>
      <c r="Z28" s="4"/>
      <c r="AA28" s="3"/>
      <c r="AB28" s="3" t="s">
        <v>1354</v>
      </c>
      <c r="AC28" s="3">
        <v>732000</v>
      </c>
      <c r="AD28" s="387"/>
      <c r="AE28" s="387"/>
      <c r="AF28" s="387"/>
    </row>
    <row r="29" spans="1:32" s="6" customFormat="1" ht="30" customHeight="1">
      <c r="A29" s="3">
        <f t="shared" si="9"/>
        <v>25</v>
      </c>
      <c r="B29" s="3">
        <v>1568</v>
      </c>
      <c r="C29" s="3" t="s">
        <v>49</v>
      </c>
      <c r="D29" s="4">
        <v>46375301</v>
      </c>
      <c r="E29" s="4">
        <v>46375301</v>
      </c>
      <c r="F29" s="4">
        <f t="shared" si="0"/>
        <v>0</v>
      </c>
      <c r="G29" s="4">
        <v>28875301</v>
      </c>
      <c r="H29" s="4">
        <v>27763907</v>
      </c>
      <c r="I29" s="4">
        <v>822126</v>
      </c>
      <c r="J29" s="4">
        <v>37672</v>
      </c>
      <c r="K29" s="4">
        <f t="shared" si="1"/>
        <v>859798</v>
      </c>
      <c r="L29" s="4">
        <f t="shared" si="2"/>
        <v>28623705</v>
      </c>
      <c r="M29" s="4">
        <f>P29+S29-250000</f>
        <v>1596</v>
      </c>
      <c r="N29" s="4">
        <f>250000-250000</f>
        <v>0</v>
      </c>
      <c r="O29" s="4">
        <f t="shared" si="3"/>
        <v>17750000</v>
      </c>
      <c r="P29" s="4">
        <f t="shared" si="4"/>
        <v>251596</v>
      </c>
      <c r="Q29" s="4"/>
      <c r="R29" s="4"/>
      <c r="S29" s="4">
        <f t="shared" si="5"/>
        <v>0</v>
      </c>
      <c r="T29" s="4">
        <f t="shared" si="6"/>
        <v>250000</v>
      </c>
      <c r="U29" s="4">
        <f t="shared" si="7"/>
        <v>-250000</v>
      </c>
      <c r="V29" s="4">
        <f t="shared" si="8"/>
        <v>-250000</v>
      </c>
      <c r="W29" s="4"/>
      <c r="X29" s="4"/>
      <c r="Y29" s="4"/>
      <c r="Z29" s="4"/>
      <c r="AA29" s="3"/>
      <c r="AB29" s="3"/>
      <c r="AC29" s="3">
        <v>746000</v>
      </c>
      <c r="AD29" s="387"/>
      <c r="AE29" s="387"/>
      <c r="AF29" s="387"/>
    </row>
    <row r="30" spans="1:32" s="5" customFormat="1" ht="30" customHeight="1">
      <c r="A30" s="3">
        <f t="shared" si="9"/>
        <v>26</v>
      </c>
      <c r="B30" s="3">
        <v>1576</v>
      </c>
      <c r="C30" s="3" t="s">
        <v>50</v>
      </c>
      <c r="D30" s="4">
        <v>1000000</v>
      </c>
      <c r="E30" s="4">
        <v>1000000</v>
      </c>
      <c r="F30" s="4">
        <f t="shared" si="0"/>
        <v>0</v>
      </c>
      <c r="G30" s="4">
        <v>450000</v>
      </c>
      <c r="H30" s="4">
        <v>372800</v>
      </c>
      <c r="I30" s="4">
        <v>25973</v>
      </c>
      <c r="J30" s="4">
        <v>0</v>
      </c>
      <c r="K30" s="4">
        <f t="shared" si="1"/>
        <v>25973</v>
      </c>
      <c r="L30" s="4">
        <f t="shared" si="2"/>
        <v>398773</v>
      </c>
      <c r="M30" s="4">
        <f>P30+S30-50000</f>
        <v>1227</v>
      </c>
      <c r="N30" s="4">
        <v>50000</v>
      </c>
      <c r="O30" s="4">
        <f t="shared" si="3"/>
        <v>550000</v>
      </c>
      <c r="P30" s="4">
        <f t="shared" si="4"/>
        <v>51227</v>
      </c>
      <c r="Q30" s="4"/>
      <c r="R30" s="4"/>
      <c r="S30" s="4">
        <f t="shared" si="5"/>
        <v>0</v>
      </c>
      <c r="T30" s="4">
        <f t="shared" si="6"/>
        <v>50000</v>
      </c>
      <c r="U30" s="4">
        <f t="shared" si="7"/>
        <v>0</v>
      </c>
      <c r="V30" s="4">
        <f t="shared" si="8"/>
        <v>0</v>
      </c>
      <c r="W30" s="4"/>
      <c r="X30" s="4"/>
      <c r="Y30" s="4"/>
      <c r="Z30" s="4"/>
      <c r="AA30" s="3"/>
      <c r="AB30" s="3" t="s">
        <v>507</v>
      </c>
      <c r="AC30" s="3">
        <v>732000</v>
      </c>
      <c r="AD30" s="387"/>
      <c r="AE30" s="387"/>
      <c r="AF30" s="387"/>
    </row>
    <row r="31" spans="1:32" s="6" customFormat="1" ht="30" customHeight="1">
      <c r="A31" s="3">
        <f t="shared" si="9"/>
        <v>27</v>
      </c>
      <c r="B31" s="3">
        <v>1587</v>
      </c>
      <c r="C31" s="3" t="s">
        <v>111</v>
      </c>
      <c r="D31" s="4">
        <v>34200000</v>
      </c>
      <c r="E31" s="4">
        <v>34200000</v>
      </c>
      <c r="F31" s="4">
        <f t="shared" si="0"/>
        <v>0</v>
      </c>
      <c r="G31" s="4">
        <v>12550000</v>
      </c>
      <c r="H31" s="4">
        <v>8932630</v>
      </c>
      <c r="I31" s="4">
        <v>1089975</v>
      </c>
      <c r="J31" s="4">
        <v>1077252</v>
      </c>
      <c r="K31" s="4">
        <f t="shared" si="1"/>
        <v>2167227</v>
      </c>
      <c r="L31" s="4">
        <f t="shared" si="2"/>
        <v>11099857</v>
      </c>
      <c r="M31" s="4">
        <f>P31+S31-1400000</f>
        <v>50143</v>
      </c>
      <c r="N31" s="4">
        <v>1500000</v>
      </c>
      <c r="O31" s="4">
        <f t="shared" si="3"/>
        <v>21550000</v>
      </c>
      <c r="P31" s="4">
        <f t="shared" si="4"/>
        <v>1450143</v>
      </c>
      <c r="Q31" s="4"/>
      <c r="R31" s="4"/>
      <c r="S31" s="4">
        <f t="shared" si="5"/>
        <v>0</v>
      </c>
      <c r="T31" s="4">
        <f t="shared" si="6"/>
        <v>1400000</v>
      </c>
      <c r="U31" s="4">
        <f t="shared" si="7"/>
        <v>100000</v>
      </c>
      <c r="V31" s="4">
        <f t="shared" si="8"/>
        <v>100000</v>
      </c>
      <c r="W31" s="4"/>
      <c r="X31" s="4"/>
      <c r="Y31" s="4"/>
      <c r="Z31" s="4"/>
      <c r="AA31" s="3"/>
      <c r="AB31" s="3" t="s">
        <v>806</v>
      </c>
      <c r="AC31" s="3">
        <v>742000</v>
      </c>
      <c r="AD31" s="387"/>
      <c r="AE31" s="387"/>
      <c r="AF31" s="387"/>
    </row>
    <row r="32" spans="1:32" s="5" customFormat="1" ht="30" customHeight="1">
      <c r="A32" s="3">
        <f t="shared" si="9"/>
        <v>28</v>
      </c>
      <c r="B32" s="3">
        <v>1601</v>
      </c>
      <c r="C32" s="3" t="s">
        <v>40</v>
      </c>
      <c r="D32" s="4">
        <v>700000</v>
      </c>
      <c r="E32" s="4">
        <v>700000</v>
      </c>
      <c r="F32" s="4">
        <f t="shared" si="0"/>
        <v>0</v>
      </c>
      <c r="G32" s="4">
        <v>650000</v>
      </c>
      <c r="H32" s="4">
        <v>538227</v>
      </c>
      <c r="I32" s="4">
        <v>0</v>
      </c>
      <c r="J32" s="4">
        <v>0</v>
      </c>
      <c r="K32" s="4">
        <f t="shared" si="1"/>
        <v>0</v>
      </c>
      <c r="L32" s="4">
        <f t="shared" si="2"/>
        <v>538227</v>
      </c>
      <c r="M32" s="4">
        <f>P32+S32-100000</f>
        <v>11773</v>
      </c>
      <c r="N32" s="4">
        <v>100000</v>
      </c>
      <c r="O32" s="4">
        <f t="shared" si="3"/>
        <v>50000</v>
      </c>
      <c r="P32" s="4">
        <f t="shared" si="4"/>
        <v>111773</v>
      </c>
      <c r="Q32" s="4"/>
      <c r="R32" s="4"/>
      <c r="S32" s="4">
        <f t="shared" si="5"/>
        <v>0</v>
      </c>
      <c r="T32" s="4">
        <f t="shared" si="6"/>
        <v>100000</v>
      </c>
      <c r="U32" s="4">
        <f t="shared" si="7"/>
        <v>0</v>
      </c>
      <c r="V32" s="4">
        <f t="shared" si="8"/>
        <v>0</v>
      </c>
      <c r="W32" s="4"/>
      <c r="X32" s="4"/>
      <c r="Y32" s="4"/>
      <c r="Z32" s="4"/>
      <c r="AA32" s="3"/>
      <c r="AB32" s="3" t="s">
        <v>1512</v>
      </c>
      <c r="AC32" s="3">
        <v>742000</v>
      </c>
      <c r="AD32" s="387"/>
      <c r="AE32" s="387"/>
      <c r="AF32" s="387"/>
    </row>
    <row r="33" spans="1:32" s="5" customFormat="1" ht="30" customHeight="1">
      <c r="A33" s="3">
        <f t="shared" si="9"/>
        <v>29</v>
      </c>
      <c r="B33" s="3">
        <v>1602</v>
      </c>
      <c r="C33" s="3" t="s">
        <v>26</v>
      </c>
      <c r="D33" s="4">
        <f>32500000-500000</f>
        <v>32000000</v>
      </c>
      <c r="E33" s="4">
        <v>32500000</v>
      </c>
      <c r="F33" s="4">
        <f t="shared" si="0"/>
        <v>-500000</v>
      </c>
      <c r="G33" s="4">
        <v>32500000</v>
      </c>
      <c r="H33" s="4">
        <v>29113324</v>
      </c>
      <c r="I33" s="4">
        <v>2559506</v>
      </c>
      <c r="J33" s="4">
        <v>119805</v>
      </c>
      <c r="K33" s="4">
        <f t="shared" si="1"/>
        <v>2679311</v>
      </c>
      <c r="L33" s="4">
        <f t="shared" si="2"/>
        <v>31792635</v>
      </c>
      <c r="M33" s="4">
        <f>P33+S33-500000</f>
        <v>207365</v>
      </c>
      <c r="N33" s="4"/>
      <c r="O33" s="4">
        <f t="shared" si="3"/>
        <v>0</v>
      </c>
      <c r="P33" s="4">
        <f t="shared" si="4"/>
        <v>707365</v>
      </c>
      <c r="Q33" s="4"/>
      <c r="R33" s="4"/>
      <c r="S33" s="4">
        <f t="shared" si="5"/>
        <v>0</v>
      </c>
      <c r="T33" s="4">
        <f t="shared" si="6"/>
        <v>500000</v>
      </c>
      <c r="U33" s="4">
        <f t="shared" si="7"/>
        <v>-500000</v>
      </c>
      <c r="V33" s="4">
        <f t="shared" si="8"/>
        <v>-500000</v>
      </c>
      <c r="W33" s="4"/>
      <c r="X33" s="4"/>
      <c r="Y33" s="4"/>
      <c r="Z33" s="4"/>
      <c r="AA33" s="3"/>
      <c r="AB33" s="3" t="s">
        <v>1692</v>
      </c>
      <c r="AC33" s="3">
        <v>742000</v>
      </c>
      <c r="AD33" s="387"/>
      <c r="AE33" s="387"/>
      <c r="AF33" s="387"/>
    </row>
    <row r="34" spans="1:32" s="5" customFormat="1" ht="30" customHeight="1">
      <c r="A34" s="3">
        <f t="shared" si="9"/>
        <v>30</v>
      </c>
      <c r="B34" s="3">
        <v>1620</v>
      </c>
      <c r="C34" s="31" t="s">
        <v>668</v>
      </c>
      <c r="D34" s="4">
        <v>1000000</v>
      </c>
      <c r="E34" s="4">
        <v>1000000</v>
      </c>
      <c r="F34" s="4">
        <f t="shared" si="0"/>
        <v>0</v>
      </c>
      <c r="G34" s="4">
        <v>300000</v>
      </c>
      <c r="H34" s="4">
        <v>0</v>
      </c>
      <c r="I34" s="4">
        <v>0</v>
      </c>
      <c r="J34" s="4">
        <v>0</v>
      </c>
      <c r="K34" s="4">
        <f t="shared" si="1"/>
        <v>0</v>
      </c>
      <c r="L34" s="4">
        <f t="shared" si="2"/>
        <v>0</v>
      </c>
      <c r="M34" s="4">
        <f>P34+S34-300000</f>
        <v>0</v>
      </c>
      <c r="N34" s="4">
        <v>300000</v>
      </c>
      <c r="O34" s="4">
        <f t="shared" si="3"/>
        <v>700000</v>
      </c>
      <c r="P34" s="4">
        <f t="shared" si="4"/>
        <v>300000</v>
      </c>
      <c r="Q34" s="4"/>
      <c r="R34" s="4"/>
      <c r="S34" s="4">
        <f t="shared" si="5"/>
        <v>0</v>
      </c>
      <c r="T34" s="4">
        <f t="shared" si="6"/>
        <v>300000</v>
      </c>
      <c r="U34" s="4">
        <f t="shared" si="7"/>
        <v>0</v>
      </c>
      <c r="V34" s="4">
        <f t="shared" si="8"/>
        <v>0</v>
      </c>
      <c r="W34" s="4"/>
      <c r="X34" s="4"/>
      <c r="Y34" s="4"/>
      <c r="Z34" s="4"/>
      <c r="AA34" s="3"/>
      <c r="AB34" s="3" t="s">
        <v>609</v>
      </c>
      <c r="AC34" s="3">
        <v>732000</v>
      </c>
      <c r="AD34" s="387"/>
      <c r="AE34" s="387"/>
      <c r="AF34" s="387"/>
    </row>
    <row r="35" spans="1:32" s="6" customFormat="1" ht="30" customHeight="1">
      <c r="A35" s="3">
        <f t="shared" si="9"/>
        <v>31</v>
      </c>
      <c r="B35" s="3">
        <v>1660</v>
      </c>
      <c r="C35" s="3" t="s">
        <v>20</v>
      </c>
      <c r="D35" s="4">
        <v>2000000</v>
      </c>
      <c r="E35" s="4">
        <v>2000000</v>
      </c>
      <c r="F35" s="4">
        <f t="shared" si="0"/>
        <v>0</v>
      </c>
      <c r="G35" s="4">
        <v>1100000</v>
      </c>
      <c r="H35" s="4">
        <v>126220</v>
      </c>
      <c r="I35" s="4">
        <v>345150</v>
      </c>
      <c r="J35" s="4">
        <v>9966</v>
      </c>
      <c r="K35" s="4">
        <f t="shared" si="1"/>
        <v>355116</v>
      </c>
      <c r="L35" s="4">
        <f t="shared" si="2"/>
        <v>481336</v>
      </c>
      <c r="M35" s="4">
        <f>P35+S35-600000</f>
        <v>18664</v>
      </c>
      <c r="N35" s="4">
        <f>1200000-600000+400000-400000+200000</f>
        <v>800000</v>
      </c>
      <c r="O35" s="4">
        <f t="shared" si="3"/>
        <v>700000</v>
      </c>
      <c r="P35" s="4">
        <f t="shared" si="4"/>
        <v>618664</v>
      </c>
      <c r="Q35" s="4"/>
      <c r="R35" s="4"/>
      <c r="S35" s="4">
        <f t="shared" si="5"/>
        <v>0</v>
      </c>
      <c r="T35" s="4">
        <f t="shared" si="6"/>
        <v>600000</v>
      </c>
      <c r="U35" s="4">
        <f t="shared" si="7"/>
        <v>200000</v>
      </c>
      <c r="V35" s="4">
        <f t="shared" si="8"/>
        <v>200000</v>
      </c>
      <c r="W35" s="4"/>
      <c r="X35" s="4"/>
      <c r="Y35" s="4"/>
      <c r="Z35" s="4"/>
      <c r="AA35" s="3"/>
      <c r="AB35" s="3" t="s">
        <v>1411</v>
      </c>
      <c r="AC35" s="3">
        <v>732000</v>
      </c>
      <c r="AD35" s="387"/>
      <c r="AE35" s="387"/>
      <c r="AF35" s="387"/>
    </row>
    <row r="36" spans="1:32" s="5" customFormat="1" ht="30" customHeight="1">
      <c r="A36" s="3">
        <f t="shared" si="9"/>
        <v>32</v>
      </c>
      <c r="B36" s="3">
        <v>1670</v>
      </c>
      <c r="C36" s="3" t="s">
        <v>112</v>
      </c>
      <c r="D36" s="4">
        <v>17800000</v>
      </c>
      <c r="E36" s="4">
        <v>12500000</v>
      </c>
      <c r="F36" s="4">
        <f t="shared" si="0"/>
        <v>5300000</v>
      </c>
      <c r="G36" s="4">
        <v>1550000</v>
      </c>
      <c r="H36" s="4">
        <v>191608</v>
      </c>
      <c r="I36" s="4">
        <v>195570</v>
      </c>
      <c r="J36" s="4">
        <v>78302</v>
      </c>
      <c r="K36" s="4">
        <f t="shared" si="1"/>
        <v>273872</v>
      </c>
      <c r="L36" s="4">
        <f t="shared" si="2"/>
        <v>465480</v>
      </c>
      <c r="M36" s="4">
        <f>P36+S36-1000000</f>
        <v>84520</v>
      </c>
      <c r="N36" s="4">
        <f>2300000-500000</f>
        <v>1800000</v>
      </c>
      <c r="O36" s="4">
        <f t="shared" si="3"/>
        <v>15450000</v>
      </c>
      <c r="P36" s="4">
        <f t="shared" si="4"/>
        <v>1084520</v>
      </c>
      <c r="Q36" s="4"/>
      <c r="R36" s="4"/>
      <c r="S36" s="4">
        <f t="shared" si="5"/>
        <v>0</v>
      </c>
      <c r="T36" s="4">
        <f t="shared" si="6"/>
        <v>1000000</v>
      </c>
      <c r="U36" s="4">
        <f t="shared" si="7"/>
        <v>800000</v>
      </c>
      <c r="V36" s="4">
        <f t="shared" si="8"/>
        <v>800000</v>
      </c>
      <c r="W36" s="4"/>
      <c r="X36" s="4"/>
      <c r="Y36" s="4"/>
      <c r="Z36" s="4"/>
      <c r="AA36" s="3"/>
      <c r="AB36" s="3" t="s">
        <v>1355</v>
      </c>
      <c r="AC36" s="3">
        <v>742000</v>
      </c>
      <c r="AD36" s="387"/>
      <c r="AE36" s="387"/>
      <c r="AF36" s="387"/>
    </row>
    <row r="37" spans="1:32" s="6" customFormat="1" ht="30" customHeight="1">
      <c r="A37" s="3">
        <f t="shared" si="9"/>
        <v>33</v>
      </c>
      <c r="B37" s="3">
        <v>1674</v>
      </c>
      <c r="C37" s="3" t="s">
        <v>21</v>
      </c>
      <c r="D37" s="4">
        <f>2300000-500000</f>
        <v>1800000</v>
      </c>
      <c r="E37" s="4">
        <v>2300000</v>
      </c>
      <c r="F37" s="4">
        <f t="shared" ref="F37:F68" si="10">D37-E37</f>
        <v>-500000</v>
      </c>
      <c r="G37" s="4">
        <v>2300000</v>
      </c>
      <c r="H37" s="4">
        <v>1565978</v>
      </c>
      <c r="I37" s="4">
        <v>127422</v>
      </c>
      <c r="J37" s="4">
        <v>88003</v>
      </c>
      <c r="K37" s="4">
        <f t="shared" ref="K37:K68" si="11">SUM(I37:J37)</f>
        <v>215425</v>
      </c>
      <c r="L37" s="4">
        <f t="shared" ref="L37:L68" si="12">H37+K37</f>
        <v>1781403</v>
      </c>
      <c r="M37" s="4">
        <f>P37+S37-500000</f>
        <v>18597</v>
      </c>
      <c r="N37" s="4"/>
      <c r="O37" s="4">
        <f t="shared" ref="O37:O68" si="13">D37-L37-M37-N37</f>
        <v>0</v>
      </c>
      <c r="P37" s="4">
        <f t="shared" ref="P37:P70" si="14">G37-L37</f>
        <v>518597</v>
      </c>
      <c r="Q37" s="4"/>
      <c r="R37" s="4"/>
      <c r="S37" s="4">
        <f t="shared" ref="S37:S68" si="15">SUM(Q37:R37)</f>
        <v>0</v>
      </c>
      <c r="T37" s="4">
        <f t="shared" ref="T37:T68" si="16">P37-M37+S37</f>
        <v>500000</v>
      </c>
      <c r="U37" s="4">
        <f t="shared" ref="U37:U68" si="17">N37-T37</f>
        <v>-500000</v>
      </c>
      <c r="V37" s="4">
        <f t="shared" ref="V37:V68" si="18">U37-AA37-W37-Z37</f>
        <v>-500000</v>
      </c>
      <c r="W37" s="4"/>
      <c r="X37" s="4"/>
      <c r="Y37" s="4"/>
      <c r="Z37" s="4"/>
      <c r="AA37" s="4"/>
      <c r="AB37" s="3" t="s">
        <v>1412</v>
      </c>
      <c r="AC37" s="3">
        <v>732000</v>
      </c>
      <c r="AD37" s="387"/>
      <c r="AE37" s="387"/>
      <c r="AF37" s="387"/>
    </row>
    <row r="38" spans="1:32" s="5" customFormat="1" ht="30" customHeight="1">
      <c r="A38" s="3">
        <f t="shared" si="9"/>
        <v>34</v>
      </c>
      <c r="B38" s="3">
        <v>1692</v>
      </c>
      <c r="C38" s="3" t="s">
        <v>22</v>
      </c>
      <c r="D38" s="4">
        <v>2450000</v>
      </c>
      <c r="E38" s="4">
        <v>2450000</v>
      </c>
      <c r="F38" s="4">
        <f t="shared" si="10"/>
        <v>0</v>
      </c>
      <c r="G38" s="4">
        <v>1746509</v>
      </c>
      <c r="H38" s="4">
        <v>578671</v>
      </c>
      <c r="I38" s="4">
        <v>128716</v>
      </c>
      <c r="J38" s="4">
        <v>0</v>
      </c>
      <c r="K38" s="4">
        <f t="shared" si="11"/>
        <v>128716</v>
      </c>
      <c r="L38" s="4">
        <f t="shared" si="12"/>
        <v>707387</v>
      </c>
      <c r="M38" s="4">
        <f>P38+S38</f>
        <v>1039122</v>
      </c>
      <c r="N38" s="4"/>
      <c r="O38" s="4">
        <f t="shared" si="13"/>
        <v>703491</v>
      </c>
      <c r="P38" s="4">
        <f t="shared" si="14"/>
        <v>1039122</v>
      </c>
      <c r="Q38" s="4"/>
      <c r="R38" s="4"/>
      <c r="S38" s="4">
        <f t="shared" si="15"/>
        <v>0</v>
      </c>
      <c r="T38" s="4">
        <f t="shared" si="16"/>
        <v>0</v>
      </c>
      <c r="U38" s="4">
        <f t="shared" si="17"/>
        <v>0</v>
      </c>
      <c r="V38" s="4">
        <f t="shared" si="18"/>
        <v>0</v>
      </c>
      <c r="W38" s="4"/>
      <c r="X38" s="4"/>
      <c r="Y38" s="4"/>
      <c r="Z38" s="4"/>
      <c r="AA38" s="4"/>
      <c r="AB38" s="3" t="s">
        <v>1694</v>
      </c>
      <c r="AC38" s="3">
        <v>732000</v>
      </c>
      <c r="AD38" s="387"/>
      <c r="AE38" s="387"/>
      <c r="AF38" s="387"/>
    </row>
    <row r="39" spans="1:32" s="5" customFormat="1" ht="30" customHeight="1">
      <c r="A39" s="3">
        <f t="shared" si="9"/>
        <v>35</v>
      </c>
      <c r="B39" s="3">
        <v>1693</v>
      </c>
      <c r="C39" s="3" t="s">
        <v>130</v>
      </c>
      <c r="D39" s="4">
        <v>4500000</v>
      </c>
      <c r="E39" s="4">
        <v>4500000</v>
      </c>
      <c r="F39" s="4">
        <f t="shared" si="10"/>
        <v>0</v>
      </c>
      <c r="G39" s="4">
        <v>2235481</v>
      </c>
      <c r="H39" s="4">
        <v>312539</v>
      </c>
      <c r="I39" s="4">
        <v>48063</v>
      </c>
      <c r="J39" s="4">
        <v>0</v>
      </c>
      <c r="K39" s="4">
        <f t="shared" si="11"/>
        <v>48063</v>
      </c>
      <c r="L39" s="4">
        <f t="shared" si="12"/>
        <v>360602</v>
      </c>
      <c r="M39" s="4">
        <f>P39+S39</f>
        <v>1874879</v>
      </c>
      <c r="N39" s="4"/>
      <c r="O39" s="4">
        <f t="shared" si="13"/>
        <v>2264519</v>
      </c>
      <c r="P39" s="4">
        <f t="shared" si="14"/>
        <v>1874879</v>
      </c>
      <c r="Q39" s="4"/>
      <c r="R39" s="4"/>
      <c r="S39" s="4">
        <f t="shared" si="15"/>
        <v>0</v>
      </c>
      <c r="T39" s="4">
        <f t="shared" si="16"/>
        <v>0</v>
      </c>
      <c r="U39" s="4">
        <f t="shared" si="17"/>
        <v>0</v>
      </c>
      <c r="V39" s="4">
        <f t="shared" si="18"/>
        <v>0</v>
      </c>
      <c r="W39" s="4"/>
      <c r="X39" s="4"/>
      <c r="Y39" s="4"/>
      <c r="Z39" s="4"/>
      <c r="AA39" s="4"/>
      <c r="AB39" s="3" t="s">
        <v>1363</v>
      </c>
      <c r="AC39" s="3">
        <v>732000</v>
      </c>
      <c r="AD39" s="387"/>
      <c r="AE39" s="387"/>
      <c r="AF39" s="387"/>
    </row>
    <row r="40" spans="1:32" s="5" customFormat="1" ht="30" customHeight="1">
      <c r="A40" s="3">
        <f t="shared" si="9"/>
        <v>36</v>
      </c>
      <c r="B40" s="3">
        <v>1701</v>
      </c>
      <c r="C40" s="3" t="s">
        <v>351</v>
      </c>
      <c r="D40" s="4">
        <v>1250000</v>
      </c>
      <c r="E40" s="4">
        <v>1250000</v>
      </c>
      <c r="F40" s="4">
        <f t="shared" si="10"/>
        <v>0</v>
      </c>
      <c r="G40" s="4">
        <v>570000</v>
      </c>
      <c r="H40" s="4">
        <v>149316</v>
      </c>
      <c r="I40" s="4">
        <v>75117</v>
      </c>
      <c r="J40" s="4">
        <v>263559</v>
      </c>
      <c r="K40" s="4">
        <f t="shared" si="11"/>
        <v>338676</v>
      </c>
      <c r="L40" s="4">
        <f t="shared" si="12"/>
        <v>487992</v>
      </c>
      <c r="M40" s="4">
        <f>P40+S40-50000</f>
        <v>32008</v>
      </c>
      <c r="N40" s="4">
        <f>400000-200000</f>
        <v>200000</v>
      </c>
      <c r="O40" s="4">
        <f t="shared" si="13"/>
        <v>530000</v>
      </c>
      <c r="P40" s="4">
        <f t="shared" si="14"/>
        <v>82008</v>
      </c>
      <c r="Q40" s="4"/>
      <c r="R40" s="4"/>
      <c r="S40" s="4">
        <f t="shared" si="15"/>
        <v>0</v>
      </c>
      <c r="T40" s="4">
        <f t="shared" si="16"/>
        <v>50000</v>
      </c>
      <c r="U40" s="4">
        <f t="shared" si="17"/>
        <v>150000</v>
      </c>
      <c r="V40" s="4">
        <f t="shared" si="18"/>
        <v>150000</v>
      </c>
      <c r="W40" s="4"/>
      <c r="X40" s="4"/>
      <c r="Y40" s="4"/>
      <c r="Z40" s="4"/>
      <c r="AA40" s="3"/>
      <c r="AB40" s="3" t="s">
        <v>1356</v>
      </c>
      <c r="AC40" s="3">
        <v>732000</v>
      </c>
      <c r="AD40" s="387"/>
      <c r="AE40" s="387"/>
      <c r="AF40" s="387"/>
    </row>
    <row r="41" spans="1:32" s="5" customFormat="1" ht="30" customHeight="1">
      <c r="A41" s="3">
        <f t="shared" si="9"/>
        <v>37</v>
      </c>
      <c r="B41" s="3">
        <v>1722</v>
      </c>
      <c r="C41" s="3" t="s">
        <v>41</v>
      </c>
      <c r="D41" s="4">
        <v>2400000</v>
      </c>
      <c r="E41" s="4">
        <v>2400000</v>
      </c>
      <c r="F41" s="4">
        <f t="shared" si="10"/>
        <v>0</v>
      </c>
      <c r="G41" s="4">
        <v>300000</v>
      </c>
      <c r="H41" s="4">
        <v>98067</v>
      </c>
      <c r="I41" s="4">
        <v>67053</v>
      </c>
      <c r="J41" s="4">
        <v>8850</v>
      </c>
      <c r="K41" s="4">
        <f t="shared" si="11"/>
        <v>75903</v>
      </c>
      <c r="L41" s="4">
        <f t="shared" si="12"/>
        <v>173970</v>
      </c>
      <c r="M41" s="4">
        <f>P41+S41-100000</f>
        <v>26030</v>
      </c>
      <c r="N41" s="4">
        <v>100000</v>
      </c>
      <c r="O41" s="4">
        <f t="shared" si="13"/>
        <v>2100000</v>
      </c>
      <c r="P41" s="4">
        <f t="shared" si="14"/>
        <v>126030</v>
      </c>
      <c r="Q41" s="4"/>
      <c r="R41" s="4"/>
      <c r="S41" s="4">
        <f t="shared" si="15"/>
        <v>0</v>
      </c>
      <c r="T41" s="4">
        <f t="shared" si="16"/>
        <v>100000</v>
      </c>
      <c r="U41" s="4">
        <f t="shared" si="17"/>
        <v>0</v>
      </c>
      <c r="V41" s="4">
        <f t="shared" si="18"/>
        <v>0</v>
      </c>
      <c r="W41" s="4"/>
      <c r="X41" s="4"/>
      <c r="Y41" s="4"/>
      <c r="Z41" s="4"/>
      <c r="AA41" s="3"/>
      <c r="AB41" s="3" t="s">
        <v>352</v>
      </c>
      <c r="AC41" s="3">
        <v>742000</v>
      </c>
      <c r="AD41" s="387"/>
      <c r="AE41" s="387"/>
      <c r="AF41" s="387"/>
    </row>
    <row r="42" spans="1:32" s="6" customFormat="1" ht="30" customHeight="1">
      <c r="A42" s="3">
        <f t="shared" si="9"/>
        <v>38</v>
      </c>
      <c r="B42" s="3">
        <v>1744</v>
      </c>
      <c r="C42" s="3" t="s">
        <v>42</v>
      </c>
      <c r="D42" s="4">
        <v>13000000</v>
      </c>
      <c r="E42" s="4">
        <v>13000000</v>
      </c>
      <c r="F42" s="4">
        <f t="shared" si="10"/>
        <v>0</v>
      </c>
      <c r="G42" s="4">
        <v>8700000</v>
      </c>
      <c r="H42" s="4">
        <v>5930332</v>
      </c>
      <c r="I42" s="4">
        <v>0</v>
      </c>
      <c r="J42" s="4">
        <v>1315502</v>
      </c>
      <c r="K42" s="4">
        <f t="shared" si="11"/>
        <v>1315502</v>
      </c>
      <c r="L42" s="4">
        <f t="shared" si="12"/>
        <v>7245834</v>
      </c>
      <c r="M42" s="4">
        <f>P42+S42-1400000</f>
        <v>54166</v>
      </c>
      <c r="N42" s="4">
        <v>500000</v>
      </c>
      <c r="O42" s="4">
        <f t="shared" si="13"/>
        <v>5200000</v>
      </c>
      <c r="P42" s="4">
        <f t="shared" si="14"/>
        <v>1454166</v>
      </c>
      <c r="Q42" s="4"/>
      <c r="R42" s="4"/>
      <c r="S42" s="4">
        <f t="shared" si="15"/>
        <v>0</v>
      </c>
      <c r="T42" s="4">
        <f t="shared" si="16"/>
        <v>1400000</v>
      </c>
      <c r="U42" s="4">
        <f t="shared" si="17"/>
        <v>-900000</v>
      </c>
      <c r="V42" s="4">
        <f t="shared" si="18"/>
        <v>-900000</v>
      </c>
      <c r="W42" s="4"/>
      <c r="X42" s="4"/>
      <c r="Y42" s="4"/>
      <c r="Z42" s="4"/>
      <c r="AA42" s="3"/>
      <c r="AB42" s="3" t="s">
        <v>1357</v>
      </c>
      <c r="AC42" s="3">
        <v>742000</v>
      </c>
      <c r="AD42" s="387"/>
      <c r="AE42" s="387"/>
      <c r="AF42" s="387"/>
    </row>
    <row r="43" spans="1:32" s="5" customFormat="1" ht="52.75" customHeight="1">
      <c r="A43" s="3">
        <f t="shared" si="9"/>
        <v>39</v>
      </c>
      <c r="B43" s="3">
        <v>1756</v>
      </c>
      <c r="C43" s="3" t="s">
        <v>964</v>
      </c>
      <c r="D43" s="4">
        <f>1400000+300000</f>
        <v>1700000</v>
      </c>
      <c r="E43" s="4">
        <v>1400000</v>
      </c>
      <c r="F43" s="4">
        <f t="shared" si="10"/>
        <v>300000</v>
      </c>
      <c r="G43" s="4">
        <v>1100000</v>
      </c>
      <c r="H43" s="4">
        <v>239672</v>
      </c>
      <c r="I43" s="4">
        <v>173160</v>
      </c>
      <c r="J43" s="4">
        <v>44604</v>
      </c>
      <c r="K43" s="4">
        <f t="shared" si="11"/>
        <v>217764</v>
      </c>
      <c r="L43" s="4">
        <f t="shared" si="12"/>
        <v>457436</v>
      </c>
      <c r="M43" s="4">
        <f>P43+S43-600000</f>
        <v>42564</v>
      </c>
      <c r="N43" s="4">
        <f>900000-300000+600000-300000</f>
        <v>900000</v>
      </c>
      <c r="O43" s="4">
        <f t="shared" si="13"/>
        <v>300000</v>
      </c>
      <c r="P43" s="4">
        <f t="shared" si="14"/>
        <v>642564</v>
      </c>
      <c r="Q43" s="4"/>
      <c r="R43" s="4"/>
      <c r="S43" s="4">
        <f t="shared" si="15"/>
        <v>0</v>
      </c>
      <c r="T43" s="4">
        <f t="shared" si="16"/>
        <v>600000</v>
      </c>
      <c r="U43" s="4">
        <f t="shared" si="17"/>
        <v>300000</v>
      </c>
      <c r="V43" s="4">
        <f t="shared" si="18"/>
        <v>300000</v>
      </c>
      <c r="W43" s="4"/>
      <c r="X43" s="4"/>
      <c r="Y43" s="4"/>
      <c r="Z43" s="4"/>
      <c r="AA43" s="4"/>
      <c r="AB43" s="3" t="s">
        <v>1409</v>
      </c>
      <c r="AC43" s="3">
        <v>732000</v>
      </c>
      <c r="AD43" s="387"/>
      <c r="AE43" s="387"/>
      <c r="AF43" s="387"/>
    </row>
    <row r="44" spans="1:32" s="5" customFormat="1" ht="43.25" customHeight="1">
      <c r="A44" s="3">
        <f t="shared" si="9"/>
        <v>40</v>
      </c>
      <c r="B44" s="3">
        <v>1759</v>
      </c>
      <c r="C44" s="3" t="s">
        <v>672</v>
      </c>
      <c r="D44" s="4">
        <f>940000-440000</f>
        <v>500000</v>
      </c>
      <c r="E44" s="4">
        <v>940000</v>
      </c>
      <c r="F44" s="4">
        <f t="shared" si="10"/>
        <v>-440000</v>
      </c>
      <c r="G44" s="4">
        <v>540000</v>
      </c>
      <c r="H44" s="4">
        <v>478660</v>
      </c>
      <c r="I44" s="4">
        <v>0</v>
      </c>
      <c r="J44" s="4">
        <v>17152</v>
      </c>
      <c r="K44" s="4">
        <f t="shared" si="11"/>
        <v>17152</v>
      </c>
      <c r="L44" s="4">
        <f t="shared" si="12"/>
        <v>495812</v>
      </c>
      <c r="M44" s="4">
        <f>P44+S44-40000</f>
        <v>4188</v>
      </c>
      <c r="N44" s="4"/>
      <c r="O44" s="4">
        <f t="shared" si="13"/>
        <v>0</v>
      </c>
      <c r="P44" s="4">
        <f t="shared" si="14"/>
        <v>44188</v>
      </c>
      <c r="Q44" s="4"/>
      <c r="R44" s="4"/>
      <c r="S44" s="4">
        <f t="shared" si="15"/>
        <v>0</v>
      </c>
      <c r="T44" s="4">
        <f t="shared" si="16"/>
        <v>40000</v>
      </c>
      <c r="U44" s="4">
        <f t="shared" si="17"/>
        <v>-40000</v>
      </c>
      <c r="V44" s="4">
        <f t="shared" si="18"/>
        <v>-40000</v>
      </c>
      <c r="W44" s="4"/>
      <c r="X44" s="4"/>
      <c r="Y44" s="4"/>
      <c r="Z44" s="4"/>
      <c r="AA44" s="3"/>
      <c r="AB44" s="3" t="s">
        <v>1419</v>
      </c>
      <c r="AC44" s="3">
        <v>732000</v>
      </c>
      <c r="AD44" s="387"/>
      <c r="AE44" s="387"/>
      <c r="AF44" s="387"/>
    </row>
    <row r="45" spans="1:32" s="5" customFormat="1" ht="30" customHeight="1">
      <c r="A45" s="3">
        <f t="shared" si="9"/>
        <v>41</v>
      </c>
      <c r="B45" s="3">
        <v>1760</v>
      </c>
      <c r="C45" s="3" t="s">
        <v>673</v>
      </c>
      <c r="D45" s="4">
        <v>900000</v>
      </c>
      <c r="E45" s="4">
        <v>900000</v>
      </c>
      <c r="F45" s="4">
        <f t="shared" si="10"/>
        <v>0</v>
      </c>
      <c r="G45" s="4">
        <v>300000</v>
      </c>
      <c r="H45" s="4">
        <v>38898</v>
      </c>
      <c r="I45" s="4">
        <v>0</v>
      </c>
      <c r="J45" s="4">
        <v>1228</v>
      </c>
      <c r="K45" s="4">
        <f t="shared" si="11"/>
        <v>1228</v>
      </c>
      <c r="L45" s="4">
        <f t="shared" si="12"/>
        <v>40126</v>
      </c>
      <c r="M45" s="4">
        <f>P45+S45-250000</f>
        <v>9874</v>
      </c>
      <c r="N45" s="4">
        <v>250000</v>
      </c>
      <c r="O45" s="4">
        <f t="shared" si="13"/>
        <v>600000</v>
      </c>
      <c r="P45" s="4">
        <f t="shared" si="14"/>
        <v>259874</v>
      </c>
      <c r="Q45" s="4"/>
      <c r="R45" s="4"/>
      <c r="S45" s="4">
        <f t="shared" si="15"/>
        <v>0</v>
      </c>
      <c r="T45" s="4">
        <f t="shared" si="16"/>
        <v>250000</v>
      </c>
      <c r="U45" s="4">
        <f t="shared" si="17"/>
        <v>0</v>
      </c>
      <c r="V45" s="4">
        <f t="shared" si="18"/>
        <v>0</v>
      </c>
      <c r="W45" s="4"/>
      <c r="X45" s="4"/>
      <c r="Y45" s="4"/>
      <c r="Z45" s="4"/>
      <c r="AA45" s="3"/>
      <c r="AB45" s="3" t="s">
        <v>1360</v>
      </c>
      <c r="AC45" s="3">
        <v>732000</v>
      </c>
      <c r="AD45" s="387"/>
      <c r="AE45" s="387"/>
      <c r="AF45" s="387"/>
    </row>
    <row r="46" spans="1:32" s="5" customFormat="1" ht="30" customHeight="1">
      <c r="A46" s="3">
        <f t="shared" si="9"/>
        <v>42</v>
      </c>
      <c r="B46" s="3">
        <v>1799</v>
      </c>
      <c r="C46" s="3" t="s">
        <v>118</v>
      </c>
      <c r="D46" s="4">
        <v>1000000</v>
      </c>
      <c r="E46" s="4">
        <v>1000000</v>
      </c>
      <c r="F46" s="4">
        <f t="shared" si="10"/>
        <v>0</v>
      </c>
      <c r="G46" s="4">
        <v>350000</v>
      </c>
      <c r="H46" s="4">
        <v>183189</v>
      </c>
      <c r="I46" s="4">
        <v>32175</v>
      </c>
      <c r="J46" s="4">
        <v>6426</v>
      </c>
      <c r="K46" s="4">
        <f t="shared" si="11"/>
        <v>38601</v>
      </c>
      <c r="L46" s="4">
        <f t="shared" si="12"/>
        <v>221790</v>
      </c>
      <c r="M46" s="4">
        <f>P46+S46-100000</f>
        <v>28210</v>
      </c>
      <c r="N46" s="4">
        <f>800000-50000-200000</f>
        <v>550000</v>
      </c>
      <c r="O46" s="4">
        <f t="shared" si="13"/>
        <v>200000</v>
      </c>
      <c r="P46" s="4">
        <f t="shared" si="14"/>
        <v>128210</v>
      </c>
      <c r="Q46" s="4"/>
      <c r="R46" s="4"/>
      <c r="S46" s="4">
        <f t="shared" si="15"/>
        <v>0</v>
      </c>
      <c r="T46" s="4">
        <f t="shared" si="16"/>
        <v>100000</v>
      </c>
      <c r="U46" s="4">
        <f t="shared" si="17"/>
        <v>450000</v>
      </c>
      <c r="V46" s="4">
        <f t="shared" si="18"/>
        <v>450000</v>
      </c>
      <c r="W46" s="4"/>
      <c r="X46" s="4"/>
      <c r="Y46" s="4"/>
      <c r="Z46" s="4"/>
      <c r="AA46" s="3"/>
      <c r="AB46" s="3" t="s">
        <v>1389</v>
      </c>
      <c r="AC46" s="3">
        <v>732000</v>
      </c>
      <c r="AD46" s="387"/>
      <c r="AE46" s="387"/>
      <c r="AF46" s="387"/>
    </row>
    <row r="47" spans="1:32" s="5" customFormat="1" ht="30" customHeight="1">
      <c r="A47" s="3">
        <f t="shared" si="9"/>
        <v>43</v>
      </c>
      <c r="B47" s="3">
        <v>1805</v>
      </c>
      <c r="C47" s="3" t="s">
        <v>120</v>
      </c>
      <c r="D47" s="4">
        <v>1000000</v>
      </c>
      <c r="E47" s="4">
        <v>1000000</v>
      </c>
      <c r="F47" s="4">
        <f t="shared" si="10"/>
        <v>0</v>
      </c>
      <c r="G47" s="4">
        <v>1000000</v>
      </c>
      <c r="H47" s="4">
        <v>9976</v>
      </c>
      <c r="I47" s="4">
        <v>0</v>
      </c>
      <c r="J47" s="4">
        <v>14716</v>
      </c>
      <c r="K47" s="4">
        <f t="shared" si="11"/>
        <v>14716</v>
      </c>
      <c r="L47" s="4">
        <f t="shared" si="12"/>
        <v>24692</v>
      </c>
      <c r="M47" s="4">
        <f>P47+S47-950000</f>
        <v>25308</v>
      </c>
      <c r="N47" s="4">
        <v>500000</v>
      </c>
      <c r="O47" s="4">
        <f t="shared" si="13"/>
        <v>450000</v>
      </c>
      <c r="P47" s="4">
        <f t="shared" si="14"/>
        <v>975308</v>
      </c>
      <c r="Q47" s="4"/>
      <c r="R47" s="4"/>
      <c r="S47" s="4">
        <f t="shared" si="15"/>
        <v>0</v>
      </c>
      <c r="T47" s="4">
        <f t="shared" si="16"/>
        <v>950000</v>
      </c>
      <c r="U47" s="4">
        <f t="shared" si="17"/>
        <v>-450000</v>
      </c>
      <c r="V47" s="4">
        <f t="shared" si="18"/>
        <v>-450000</v>
      </c>
      <c r="W47" s="4"/>
      <c r="X47" s="4"/>
      <c r="Y47" s="4"/>
      <c r="Z47" s="4"/>
      <c r="AA47" s="3"/>
      <c r="AB47" s="3" t="s">
        <v>674</v>
      </c>
      <c r="AC47" s="3">
        <v>742000</v>
      </c>
      <c r="AD47" s="387"/>
      <c r="AE47" s="387"/>
      <c r="AF47" s="387"/>
    </row>
    <row r="48" spans="1:32" s="5" customFormat="1" ht="30" customHeight="1">
      <c r="A48" s="3">
        <f t="shared" si="9"/>
        <v>44</v>
      </c>
      <c r="B48" s="3">
        <v>1811</v>
      </c>
      <c r="C48" s="3" t="s">
        <v>121</v>
      </c>
      <c r="D48" s="4">
        <v>250000</v>
      </c>
      <c r="E48" s="4">
        <v>250000</v>
      </c>
      <c r="F48" s="4">
        <f t="shared" si="10"/>
        <v>0</v>
      </c>
      <c r="G48" s="4">
        <v>250000</v>
      </c>
      <c r="H48" s="4">
        <v>0</v>
      </c>
      <c r="I48" s="4">
        <v>0</v>
      </c>
      <c r="J48" s="4">
        <v>0</v>
      </c>
      <c r="K48" s="4">
        <f t="shared" si="11"/>
        <v>0</v>
      </c>
      <c r="L48" s="4">
        <f t="shared" si="12"/>
        <v>0</v>
      </c>
      <c r="M48" s="4">
        <f>P48+S48</f>
        <v>250000</v>
      </c>
      <c r="N48" s="4"/>
      <c r="O48" s="4">
        <f t="shared" si="13"/>
        <v>0</v>
      </c>
      <c r="P48" s="4">
        <f t="shared" si="14"/>
        <v>250000</v>
      </c>
      <c r="Q48" s="4"/>
      <c r="R48" s="4"/>
      <c r="S48" s="4">
        <f t="shared" si="15"/>
        <v>0</v>
      </c>
      <c r="T48" s="4">
        <f t="shared" si="16"/>
        <v>0</v>
      </c>
      <c r="U48" s="4">
        <f t="shared" si="17"/>
        <v>0</v>
      </c>
      <c r="V48" s="4">
        <f t="shared" si="18"/>
        <v>0</v>
      </c>
      <c r="W48" s="4"/>
      <c r="X48" s="4"/>
      <c r="Y48" s="4"/>
      <c r="Z48" s="4"/>
      <c r="AA48" s="3"/>
      <c r="AB48" s="3" t="s">
        <v>1420</v>
      </c>
      <c r="AC48" s="3">
        <v>732000</v>
      </c>
      <c r="AD48" s="387"/>
      <c r="AE48" s="387"/>
      <c r="AF48" s="387"/>
    </row>
    <row r="49" spans="1:32" s="617" customFormat="1" ht="30" customHeight="1">
      <c r="A49" s="3">
        <f t="shared" si="9"/>
        <v>45</v>
      </c>
      <c r="B49" s="3">
        <v>1843</v>
      </c>
      <c r="C49" s="3" t="s">
        <v>125</v>
      </c>
      <c r="D49" s="4">
        <v>380000</v>
      </c>
      <c r="E49" s="4">
        <v>380000</v>
      </c>
      <c r="F49" s="4">
        <f t="shared" si="10"/>
        <v>0</v>
      </c>
      <c r="G49" s="4">
        <v>0</v>
      </c>
      <c r="H49" s="4">
        <v>0</v>
      </c>
      <c r="I49" s="4">
        <v>0</v>
      </c>
      <c r="J49" s="4">
        <v>0</v>
      </c>
      <c r="K49" s="4">
        <f t="shared" si="11"/>
        <v>0</v>
      </c>
      <c r="L49" s="4">
        <f t="shared" si="12"/>
        <v>0</v>
      </c>
      <c r="M49" s="4">
        <f>P49+S49</f>
        <v>0</v>
      </c>
      <c r="N49" s="4">
        <v>200000</v>
      </c>
      <c r="O49" s="4">
        <f t="shared" si="13"/>
        <v>180000</v>
      </c>
      <c r="P49" s="4">
        <f t="shared" si="14"/>
        <v>0</v>
      </c>
      <c r="Q49" s="4"/>
      <c r="R49" s="4"/>
      <c r="S49" s="4">
        <f t="shared" si="15"/>
        <v>0</v>
      </c>
      <c r="T49" s="4">
        <f t="shared" si="16"/>
        <v>0</v>
      </c>
      <c r="U49" s="4">
        <f t="shared" si="17"/>
        <v>200000</v>
      </c>
      <c r="V49" s="4">
        <f t="shared" si="18"/>
        <v>200000</v>
      </c>
      <c r="W49" s="4"/>
      <c r="X49" s="4"/>
      <c r="Y49" s="4"/>
      <c r="Z49" s="4"/>
      <c r="AA49" s="3"/>
      <c r="AB49" s="3" t="s">
        <v>1421</v>
      </c>
      <c r="AC49" s="3">
        <v>732000</v>
      </c>
      <c r="AD49" s="387"/>
      <c r="AE49" s="387"/>
      <c r="AF49" s="387"/>
    </row>
    <row r="50" spans="1:32" s="5" customFormat="1" ht="30" customHeight="1">
      <c r="A50" s="3">
        <f t="shared" si="9"/>
        <v>46</v>
      </c>
      <c r="B50" s="31">
        <v>1882</v>
      </c>
      <c r="C50" s="31" t="s">
        <v>126</v>
      </c>
      <c r="D50" s="4">
        <v>14300000</v>
      </c>
      <c r="E50" s="379">
        <v>14300000</v>
      </c>
      <c r="F50" s="4">
        <f t="shared" si="10"/>
        <v>0</v>
      </c>
      <c r="G50" s="379">
        <v>200000</v>
      </c>
      <c r="H50" s="379">
        <v>0</v>
      </c>
      <c r="I50" s="379">
        <v>0</v>
      </c>
      <c r="J50" s="379">
        <v>0</v>
      </c>
      <c r="K50" s="4">
        <f t="shared" si="11"/>
        <v>0</v>
      </c>
      <c r="L50" s="4">
        <f t="shared" si="12"/>
        <v>0</v>
      </c>
      <c r="M50" s="379">
        <f>P50+S50-200000</f>
        <v>0</v>
      </c>
      <c r="N50" s="379">
        <f>1200000-900000-50000</f>
        <v>250000</v>
      </c>
      <c r="O50" s="4">
        <f t="shared" si="13"/>
        <v>14050000</v>
      </c>
      <c r="P50" s="4">
        <f t="shared" si="14"/>
        <v>200000</v>
      </c>
      <c r="Q50" s="4"/>
      <c r="R50" s="4"/>
      <c r="S50" s="4">
        <f t="shared" si="15"/>
        <v>0</v>
      </c>
      <c r="T50" s="4">
        <f t="shared" si="16"/>
        <v>200000</v>
      </c>
      <c r="U50" s="4">
        <f t="shared" si="17"/>
        <v>50000</v>
      </c>
      <c r="V50" s="4">
        <f t="shared" si="18"/>
        <v>50000</v>
      </c>
      <c r="W50" s="379"/>
      <c r="X50" s="379"/>
      <c r="Y50" s="379"/>
      <c r="Z50" s="379"/>
      <c r="AA50" s="31"/>
      <c r="AB50" s="31" t="s">
        <v>1359</v>
      </c>
      <c r="AC50" s="31">
        <v>742000</v>
      </c>
      <c r="AD50" s="387"/>
      <c r="AE50" s="387"/>
      <c r="AF50" s="387"/>
    </row>
    <row r="51" spans="1:32" s="6" customFormat="1" ht="30" customHeight="1">
      <c r="A51" s="3">
        <f t="shared" si="9"/>
        <v>47</v>
      </c>
      <c r="B51" s="3">
        <v>1937</v>
      </c>
      <c r="C51" s="3" t="s">
        <v>527</v>
      </c>
      <c r="D51" s="4">
        <v>1050000</v>
      </c>
      <c r="E51" s="4">
        <v>1050000</v>
      </c>
      <c r="F51" s="4">
        <f t="shared" si="10"/>
        <v>0</v>
      </c>
      <c r="G51" s="4">
        <v>750000</v>
      </c>
      <c r="H51" s="4">
        <v>56082</v>
      </c>
      <c r="I51" s="4">
        <v>244936</v>
      </c>
      <c r="J51" s="4">
        <v>40358</v>
      </c>
      <c r="K51" s="4">
        <f t="shared" si="11"/>
        <v>285294</v>
      </c>
      <c r="L51" s="4">
        <f t="shared" si="12"/>
        <v>341376</v>
      </c>
      <c r="M51" s="4">
        <f>P51+S51-400000</f>
        <v>8624</v>
      </c>
      <c r="N51" s="4">
        <v>300000</v>
      </c>
      <c r="O51" s="4">
        <f t="shared" si="13"/>
        <v>400000</v>
      </c>
      <c r="P51" s="4">
        <f t="shared" si="14"/>
        <v>408624</v>
      </c>
      <c r="Q51" s="4"/>
      <c r="R51" s="4"/>
      <c r="S51" s="4">
        <f t="shared" si="15"/>
        <v>0</v>
      </c>
      <c r="T51" s="4">
        <f t="shared" si="16"/>
        <v>400000</v>
      </c>
      <c r="U51" s="4">
        <f t="shared" si="17"/>
        <v>-100000</v>
      </c>
      <c r="V51" s="4">
        <f t="shared" si="18"/>
        <v>-100000</v>
      </c>
      <c r="W51" s="4"/>
      <c r="X51" s="4"/>
      <c r="Y51" s="4"/>
      <c r="Z51" s="4"/>
      <c r="AA51" s="3"/>
      <c r="AB51" s="3" t="s">
        <v>1513</v>
      </c>
      <c r="AC51" s="3">
        <v>732000</v>
      </c>
      <c r="AD51" s="387"/>
      <c r="AE51" s="387"/>
      <c r="AF51" s="387"/>
    </row>
    <row r="52" spans="1:32" s="5" customFormat="1" ht="30" customHeight="1">
      <c r="A52" s="3">
        <f>A51+1</f>
        <v>48</v>
      </c>
      <c r="B52" s="3">
        <v>1943</v>
      </c>
      <c r="C52" s="3" t="s">
        <v>175</v>
      </c>
      <c r="D52" s="4">
        <f>6750000-400000</f>
        <v>6350000</v>
      </c>
      <c r="E52" s="4">
        <v>6750000</v>
      </c>
      <c r="F52" s="4">
        <f t="shared" si="10"/>
        <v>-400000</v>
      </c>
      <c r="G52" s="4">
        <v>6750000</v>
      </c>
      <c r="H52" s="4">
        <v>5715003</v>
      </c>
      <c r="I52" s="4">
        <v>51510</v>
      </c>
      <c r="J52" s="4">
        <v>532878</v>
      </c>
      <c r="K52" s="4">
        <f t="shared" si="11"/>
        <v>584388</v>
      </c>
      <c r="L52" s="4">
        <f t="shared" si="12"/>
        <v>6299391</v>
      </c>
      <c r="M52" s="4">
        <f>P52+S52-400000</f>
        <v>50609</v>
      </c>
      <c r="N52" s="4"/>
      <c r="O52" s="4">
        <f t="shared" si="13"/>
        <v>0</v>
      </c>
      <c r="P52" s="4">
        <f t="shared" si="14"/>
        <v>450609</v>
      </c>
      <c r="Q52" s="4"/>
      <c r="R52" s="4"/>
      <c r="S52" s="4">
        <f t="shared" si="15"/>
        <v>0</v>
      </c>
      <c r="T52" s="4">
        <f t="shared" si="16"/>
        <v>400000</v>
      </c>
      <c r="U52" s="4">
        <f t="shared" si="17"/>
        <v>-400000</v>
      </c>
      <c r="V52" s="4">
        <f t="shared" si="18"/>
        <v>-400000</v>
      </c>
      <c r="W52" s="4"/>
      <c r="X52" s="4"/>
      <c r="Y52" s="4"/>
      <c r="Z52" s="4"/>
      <c r="AA52" s="3"/>
      <c r="AB52" s="3" t="s">
        <v>1693</v>
      </c>
      <c r="AC52" s="3">
        <v>744000</v>
      </c>
      <c r="AD52" s="387"/>
      <c r="AE52" s="387"/>
      <c r="AF52" s="387"/>
    </row>
    <row r="53" spans="1:32" s="5" customFormat="1" ht="30" customHeight="1">
      <c r="A53" s="3">
        <f t="shared" si="9"/>
        <v>49</v>
      </c>
      <c r="B53" s="3">
        <v>1950</v>
      </c>
      <c r="C53" s="31" t="s">
        <v>354</v>
      </c>
      <c r="D53" s="4">
        <v>500000</v>
      </c>
      <c r="E53" s="4">
        <v>500000</v>
      </c>
      <c r="F53" s="4">
        <f t="shared" si="10"/>
        <v>0</v>
      </c>
      <c r="G53" s="4">
        <v>100000</v>
      </c>
      <c r="H53" s="4">
        <v>0</v>
      </c>
      <c r="I53" s="4">
        <v>0</v>
      </c>
      <c r="J53" s="4">
        <v>0</v>
      </c>
      <c r="K53" s="4">
        <f t="shared" si="11"/>
        <v>0</v>
      </c>
      <c r="L53" s="4">
        <f t="shared" si="12"/>
        <v>0</v>
      </c>
      <c r="M53" s="4">
        <f>P53+S53</f>
        <v>100000</v>
      </c>
      <c r="N53" s="4"/>
      <c r="O53" s="4">
        <f t="shared" si="13"/>
        <v>400000</v>
      </c>
      <c r="P53" s="4">
        <f t="shared" si="14"/>
        <v>100000</v>
      </c>
      <c r="Q53" s="4"/>
      <c r="R53" s="4"/>
      <c r="S53" s="4">
        <f t="shared" si="15"/>
        <v>0</v>
      </c>
      <c r="T53" s="4">
        <f t="shared" si="16"/>
        <v>0</v>
      </c>
      <c r="U53" s="4">
        <f t="shared" si="17"/>
        <v>0</v>
      </c>
      <c r="V53" s="4">
        <f t="shared" si="18"/>
        <v>0</v>
      </c>
      <c r="W53" s="4"/>
      <c r="X53" s="4"/>
      <c r="Y53" s="4"/>
      <c r="Z53" s="4"/>
      <c r="AA53" s="3"/>
      <c r="AB53" s="3" t="s">
        <v>1514</v>
      </c>
      <c r="AC53" s="3">
        <v>732000</v>
      </c>
      <c r="AD53" s="387"/>
      <c r="AE53" s="387"/>
      <c r="AF53" s="387"/>
    </row>
    <row r="54" spans="1:32" s="5" customFormat="1" ht="30" customHeight="1">
      <c r="A54" s="3">
        <f t="shared" si="9"/>
        <v>50</v>
      </c>
      <c r="B54" s="3">
        <v>2009</v>
      </c>
      <c r="C54" s="3" t="s">
        <v>303</v>
      </c>
      <c r="D54" s="4">
        <v>13700000</v>
      </c>
      <c r="E54" s="4">
        <v>9000000</v>
      </c>
      <c r="F54" s="4">
        <f t="shared" si="10"/>
        <v>4700000</v>
      </c>
      <c r="G54" s="4">
        <v>2200000</v>
      </c>
      <c r="H54" s="4">
        <v>11776</v>
      </c>
      <c r="I54" s="4">
        <v>292500</v>
      </c>
      <c r="J54" s="4">
        <v>35675</v>
      </c>
      <c r="K54" s="4">
        <f t="shared" si="11"/>
        <v>328175</v>
      </c>
      <c r="L54" s="4">
        <f t="shared" si="12"/>
        <v>339951</v>
      </c>
      <c r="M54" s="4">
        <f>P54+S54-1800000</f>
        <v>60049</v>
      </c>
      <c r="N54" s="4">
        <f>8000000-2000000-1000000</f>
        <v>5000000</v>
      </c>
      <c r="O54" s="4">
        <f t="shared" si="13"/>
        <v>8300000</v>
      </c>
      <c r="P54" s="4">
        <f t="shared" si="14"/>
        <v>1860049</v>
      </c>
      <c r="Q54" s="4"/>
      <c r="R54" s="4"/>
      <c r="S54" s="4">
        <f t="shared" si="15"/>
        <v>0</v>
      </c>
      <c r="T54" s="4">
        <f t="shared" si="16"/>
        <v>1800000</v>
      </c>
      <c r="U54" s="4">
        <f t="shared" si="17"/>
        <v>3200000</v>
      </c>
      <c r="V54" s="4">
        <f t="shared" si="18"/>
        <v>3200000</v>
      </c>
      <c r="W54" s="4"/>
      <c r="X54" s="4"/>
      <c r="Y54" s="4"/>
      <c r="Z54" s="4"/>
      <c r="AA54" s="3"/>
      <c r="AB54" s="3" t="s">
        <v>1353</v>
      </c>
      <c r="AC54" s="3">
        <v>742000</v>
      </c>
      <c r="AD54" s="387"/>
      <c r="AE54" s="387"/>
      <c r="AF54" s="387"/>
    </row>
    <row r="55" spans="1:32" s="5" customFormat="1" ht="30" customHeight="1">
      <c r="A55" s="3">
        <f t="shared" si="9"/>
        <v>51</v>
      </c>
      <c r="B55" s="3">
        <v>2014</v>
      </c>
      <c r="C55" s="3" t="s">
        <v>358</v>
      </c>
      <c r="D55" s="4">
        <v>750000</v>
      </c>
      <c r="E55" s="4">
        <v>750000</v>
      </c>
      <c r="F55" s="4">
        <f t="shared" si="10"/>
        <v>0</v>
      </c>
      <c r="G55" s="4">
        <v>100000</v>
      </c>
      <c r="H55" s="4">
        <v>0</v>
      </c>
      <c r="I55" s="4">
        <v>0</v>
      </c>
      <c r="J55" s="4">
        <v>0</v>
      </c>
      <c r="K55" s="4">
        <f t="shared" si="11"/>
        <v>0</v>
      </c>
      <c r="L55" s="4">
        <f t="shared" si="12"/>
        <v>0</v>
      </c>
      <c r="M55" s="4">
        <f>P55+S55-100000</f>
        <v>0</v>
      </c>
      <c r="N55" s="4">
        <f>350000-50000-100000-100000</f>
        <v>100000</v>
      </c>
      <c r="O55" s="4">
        <f t="shared" si="13"/>
        <v>650000</v>
      </c>
      <c r="P55" s="4">
        <f t="shared" si="14"/>
        <v>100000</v>
      </c>
      <c r="Q55" s="4"/>
      <c r="R55" s="4"/>
      <c r="S55" s="4">
        <f t="shared" si="15"/>
        <v>0</v>
      </c>
      <c r="T55" s="4">
        <f t="shared" si="16"/>
        <v>100000</v>
      </c>
      <c r="U55" s="4">
        <f t="shared" si="17"/>
        <v>0</v>
      </c>
      <c r="V55" s="4">
        <f t="shared" si="18"/>
        <v>0</v>
      </c>
      <c r="W55" s="4"/>
      <c r="X55" s="4"/>
      <c r="Y55" s="4"/>
      <c r="Z55" s="4"/>
      <c r="AA55" s="3"/>
      <c r="AB55" s="3" t="s">
        <v>791</v>
      </c>
      <c r="AC55" s="3">
        <v>732000</v>
      </c>
      <c r="AD55" s="387"/>
      <c r="AE55" s="387"/>
      <c r="AF55" s="387"/>
    </row>
    <row r="56" spans="1:32" s="6" customFormat="1" ht="30" customHeight="1">
      <c r="A56" s="3">
        <f t="shared" si="9"/>
        <v>52</v>
      </c>
      <c r="B56" s="31">
        <v>2105</v>
      </c>
      <c r="C56" s="3" t="s">
        <v>519</v>
      </c>
      <c r="D56" s="4">
        <v>60000000</v>
      </c>
      <c r="E56" s="4">
        <v>60000000</v>
      </c>
      <c r="F56" s="4">
        <f t="shared" si="10"/>
        <v>0</v>
      </c>
      <c r="G56" s="4">
        <v>1000000</v>
      </c>
      <c r="H56" s="4">
        <v>0</v>
      </c>
      <c r="I56" s="4">
        <v>0</v>
      </c>
      <c r="J56" s="4">
        <v>129838</v>
      </c>
      <c r="K56" s="4">
        <f t="shared" si="11"/>
        <v>129838</v>
      </c>
      <c r="L56" s="4">
        <f t="shared" si="12"/>
        <v>129838</v>
      </c>
      <c r="M56" s="4">
        <f>P56+S56-800000</f>
        <v>70162</v>
      </c>
      <c r="N56" s="4">
        <v>800000</v>
      </c>
      <c r="O56" s="4">
        <f t="shared" si="13"/>
        <v>59000000</v>
      </c>
      <c r="P56" s="4">
        <f t="shared" si="14"/>
        <v>870162</v>
      </c>
      <c r="Q56" s="4"/>
      <c r="R56" s="4"/>
      <c r="S56" s="4">
        <f t="shared" si="15"/>
        <v>0</v>
      </c>
      <c r="T56" s="4">
        <f t="shared" si="16"/>
        <v>800000</v>
      </c>
      <c r="U56" s="4">
        <f t="shared" si="17"/>
        <v>0</v>
      </c>
      <c r="V56" s="4">
        <f t="shared" si="18"/>
        <v>0</v>
      </c>
      <c r="W56" s="4"/>
      <c r="X56" s="4"/>
      <c r="Y56" s="4"/>
      <c r="Z56" s="4"/>
      <c r="AA56" s="3"/>
      <c r="AB56" s="3" t="s">
        <v>1515</v>
      </c>
      <c r="AC56" s="3">
        <v>742000</v>
      </c>
      <c r="AD56" s="387"/>
      <c r="AE56" s="387"/>
      <c r="AF56" s="387"/>
    </row>
    <row r="57" spans="1:32" s="5" customFormat="1" ht="30" customHeight="1">
      <c r="A57" s="3">
        <f t="shared" si="9"/>
        <v>53</v>
      </c>
      <c r="B57" s="31">
        <v>2107</v>
      </c>
      <c r="C57" s="3" t="s">
        <v>363</v>
      </c>
      <c r="D57" s="4">
        <v>340000</v>
      </c>
      <c r="E57" s="4">
        <v>340000</v>
      </c>
      <c r="F57" s="4">
        <f t="shared" si="10"/>
        <v>0</v>
      </c>
      <c r="G57" s="4">
        <v>340000</v>
      </c>
      <c r="H57" s="4">
        <v>0</v>
      </c>
      <c r="I57" s="4">
        <v>0</v>
      </c>
      <c r="J57" s="4">
        <v>0</v>
      </c>
      <c r="K57" s="4">
        <f t="shared" si="11"/>
        <v>0</v>
      </c>
      <c r="L57" s="4">
        <f t="shared" si="12"/>
        <v>0</v>
      </c>
      <c r="M57" s="4">
        <f>P57+S57-340000</f>
        <v>0</v>
      </c>
      <c r="N57" s="4">
        <v>340000</v>
      </c>
      <c r="O57" s="4">
        <f t="shared" si="13"/>
        <v>0</v>
      </c>
      <c r="P57" s="4">
        <f t="shared" si="14"/>
        <v>340000</v>
      </c>
      <c r="Q57" s="4"/>
      <c r="R57" s="4"/>
      <c r="S57" s="4">
        <f t="shared" si="15"/>
        <v>0</v>
      </c>
      <c r="T57" s="4">
        <f t="shared" si="16"/>
        <v>340000</v>
      </c>
      <c r="U57" s="4">
        <f t="shared" si="17"/>
        <v>0</v>
      </c>
      <c r="V57" s="4">
        <f t="shared" si="18"/>
        <v>0</v>
      </c>
      <c r="W57" s="4"/>
      <c r="X57" s="4"/>
      <c r="Y57" s="4"/>
      <c r="Z57" s="4"/>
      <c r="AA57" s="3"/>
      <c r="AB57" s="3" t="s">
        <v>1422</v>
      </c>
      <c r="AC57" s="3">
        <v>742000</v>
      </c>
      <c r="AD57" s="387"/>
      <c r="AE57" s="387"/>
      <c r="AF57" s="387"/>
    </row>
    <row r="58" spans="1:32" s="5" customFormat="1" ht="30" customHeight="1">
      <c r="A58" s="3">
        <f t="shared" si="9"/>
        <v>54</v>
      </c>
      <c r="B58" s="3">
        <v>2112</v>
      </c>
      <c r="C58" s="3" t="s">
        <v>611</v>
      </c>
      <c r="D58" s="4">
        <v>7650000</v>
      </c>
      <c r="E58" s="4">
        <v>7650000</v>
      </c>
      <c r="F58" s="4">
        <f t="shared" si="10"/>
        <v>0</v>
      </c>
      <c r="G58" s="4">
        <v>2160000</v>
      </c>
      <c r="H58" s="4">
        <v>0</v>
      </c>
      <c r="I58" s="4">
        <v>0</v>
      </c>
      <c r="J58" s="4">
        <v>13843</v>
      </c>
      <c r="K58" s="4">
        <f t="shared" si="11"/>
        <v>13843</v>
      </c>
      <c r="L58" s="4">
        <f t="shared" si="12"/>
        <v>13843</v>
      </c>
      <c r="M58" s="4">
        <f>P58+S58-2100000</f>
        <v>46157</v>
      </c>
      <c r="N58" s="4">
        <v>2100000</v>
      </c>
      <c r="O58" s="4">
        <f t="shared" si="13"/>
        <v>5490000</v>
      </c>
      <c r="P58" s="4">
        <f t="shared" si="14"/>
        <v>2146157</v>
      </c>
      <c r="Q58" s="4"/>
      <c r="R58" s="4"/>
      <c r="S58" s="4">
        <f t="shared" si="15"/>
        <v>0</v>
      </c>
      <c r="T58" s="4">
        <f t="shared" si="16"/>
        <v>2100000</v>
      </c>
      <c r="U58" s="4">
        <f t="shared" si="17"/>
        <v>0</v>
      </c>
      <c r="V58" s="4">
        <f t="shared" si="18"/>
        <v>0</v>
      </c>
      <c r="W58" s="4"/>
      <c r="X58" s="4"/>
      <c r="Y58" s="4"/>
      <c r="Z58" s="4"/>
      <c r="AA58" s="3"/>
      <c r="AB58" s="280" t="s">
        <v>1516</v>
      </c>
      <c r="AC58" s="3">
        <v>732000</v>
      </c>
      <c r="AD58" s="387"/>
      <c r="AE58" s="387"/>
      <c r="AF58" s="387"/>
    </row>
    <row r="59" spans="1:32" s="6" customFormat="1" ht="30" customHeight="1">
      <c r="A59" s="3">
        <f t="shared" si="9"/>
        <v>55</v>
      </c>
      <c r="B59" s="3">
        <v>2113</v>
      </c>
      <c r="C59" s="3" t="s">
        <v>367</v>
      </c>
      <c r="D59" s="4">
        <v>2550000</v>
      </c>
      <c r="E59" s="4">
        <v>2550000</v>
      </c>
      <c r="F59" s="4">
        <f t="shared" si="10"/>
        <v>0</v>
      </c>
      <c r="G59" s="4">
        <v>200000</v>
      </c>
      <c r="H59" s="4">
        <v>0</v>
      </c>
      <c r="I59" s="4">
        <v>0</v>
      </c>
      <c r="J59" s="4">
        <v>0</v>
      </c>
      <c r="K59" s="4">
        <f t="shared" si="11"/>
        <v>0</v>
      </c>
      <c r="L59" s="4">
        <f t="shared" si="12"/>
        <v>0</v>
      </c>
      <c r="M59" s="4">
        <f>P59+S59-200000</f>
        <v>0</v>
      </c>
      <c r="N59" s="4">
        <v>200000</v>
      </c>
      <c r="O59" s="4">
        <f t="shared" si="13"/>
        <v>2350000</v>
      </c>
      <c r="P59" s="4">
        <f t="shared" si="14"/>
        <v>200000</v>
      </c>
      <c r="Q59" s="4"/>
      <c r="R59" s="4"/>
      <c r="S59" s="4">
        <f t="shared" si="15"/>
        <v>0</v>
      </c>
      <c r="T59" s="4">
        <f t="shared" si="16"/>
        <v>200000</v>
      </c>
      <c r="U59" s="4">
        <f t="shared" si="17"/>
        <v>0</v>
      </c>
      <c r="V59" s="4">
        <f t="shared" si="18"/>
        <v>0</v>
      </c>
      <c r="W59" s="4"/>
      <c r="X59" s="4"/>
      <c r="Y59" s="4"/>
      <c r="Z59" s="4"/>
      <c r="AA59" s="3"/>
      <c r="AB59" s="280" t="s">
        <v>1517</v>
      </c>
      <c r="AC59" s="3">
        <v>732000</v>
      </c>
      <c r="AD59" s="387"/>
      <c r="AE59" s="387"/>
      <c r="AF59" s="387"/>
    </row>
    <row r="60" spans="1:32" s="6" customFormat="1" ht="30" customHeight="1">
      <c r="A60" s="3">
        <f t="shared" si="9"/>
        <v>56</v>
      </c>
      <c r="B60" s="3">
        <v>2114</v>
      </c>
      <c r="C60" s="3" t="s">
        <v>480</v>
      </c>
      <c r="D60" s="4">
        <v>1450000</v>
      </c>
      <c r="E60" s="4">
        <v>1450000</v>
      </c>
      <c r="F60" s="4">
        <f t="shared" si="10"/>
        <v>0</v>
      </c>
      <c r="G60" s="4">
        <v>850000</v>
      </c>
      <c r="H60" s="4">
        <v>0</v>
      </c>
      <c r="I60" s="4">
        <v>44352</v>
      </c>
      <c r="J60" s="4">
        <v>0</v>
      </c>
      <c r="K60" s="4">
        <f t="shared" si="11"/>
        <v>44352</v>
      </c>
      <c r="L60" s="4">
        <f t="shared" si="12"/>
        <v>44352</v>
      </c>
      <c r="M60" s="4">
        <f>P60+S60-800000</f>
        <v>5648</v>
      </c>
      <c r="N60" s="4">
        <f>800000-200000</f>
        <v>600000</v>
      </c>
      <c r="O60" s="4">
        <f t="shared" si="13"/>
        <v>800000</v>
      </c>
      <c r="P60" s="4">
        <f t="shared" si="14"/>
        <v>805648</v>
      </c>
      <c r="Q60" s="4"/>
      <c r="R60" s="4"/>
      <c r="S60" s="4">
        <f t="shared" si="15"/>
        <v>0</v>
      </c>
      <c r="T60" s="4">
        <f t="shared" si="16"/>
        <v>800000</v>
      </c>
      <c r="U60" s="4">
        <f t="shared" si="17"/>
        <v>-200000</v>
      </c>
      <c r="V60" s="4">
        <f t="shared" si="18"/>
        <v>-200000</v>
      </c>
      <c r="W60" s="4"/>
      <c r="X60" s="4"/>
      <c r="Y60" s="4"/>
      <c r="Z60" s="4"/>
      <c r="AA60" s="3"/>
      <c r="AB60" s="3" t="s">
        <v>1395</v>
      </c>
      <c r="AC60" s="3">
        <v>732000</v>
      </c>
      <c r="AD60" s="387"/>
      <c r="AE60" s="387"/>
      <c r="AF60" s="387"/>
    </row>
    <row r="61" spans="1:32" s="6" customFormat="1" ht="30" customHeight="1">
      <c r="A61" s="3">
        <f t="shared" si="9"/>
        <v>57</v>
      </c>
      <c r="B61" s="3">
        <v>2117</v>
      </c>
      <c r="C61" s="3" t="s">
        <v>1364</v>
      </c>
      <c r="D61" s="4">
        <v>750000</v>
      </c>
      <c r="E61" s="4">
        <v>600000</v>
      </c>
      <c r="F61" s="4">
        <f t="shared" si="10"/>
        <v>150000</v>
      </c>
      <c r="G61" s="4">
        <v>600000</v>
      </c>
      <c r="H61" s="4">
        <v>0</v>
      </c>
      <c r="I61" s="4">
        <v>0</v>
      </c>
      <c r="J61" s="4">
        <v>0</v>
      </c>
      <c r="K61" s="4">
        <f t="shared" si="11"/>
        <v>0</v>
      </c>
      <c r="L61" s="4">
        <f t="shared" si="12"/>
        <v>0</v>
      </c>
      <c r="M61" s="4">
        <f>P61+S61-600000</f>
        <v>0</v>
      </c>
      <c r="N61" s="4">
        <f>600000-200000</f>
        <v>400000</v>
      </c>
      <c r="O61" s="4">
        <f t="shared" si="13"/>
        <v>350000</v>
      </c>
      <c r="P61" s="4">
        <f t="shared" si="14"/>
        <v>600000</v>
      </c>
      <c r="Q61" s="4"/>
      <c r="R61" s="4"/>
      <c r="S61" s="4">
        <f t="shared" si="15"/>
        <v>0</v>
      </c>
      <c r="T61" s="4">
        <f t="shared" si="16"/>
        <v>600000</v>
      </c>
      <c r="U61" s="4">
        <f t="shared" si="17"/>
        <v>-200000</v>
      </c>
      <c r="V61" s="4">
        <f t="shared" si="18"/>
        <v>-200000</v>
      </c>
      <c r="W61" s="8"/>
      <c r="X61" s="8"/>
      <c r="Y61" s="8"/>
      <c r="Z61" s="8"/>
      <c r="AA61" s="8"/>
      <c r="AB61" s="3" t="s">
        <v>1365</v>
      </c>
      <c r="AC61" s="3">
        <v>732000</v>
      </c>
      <c r="AD61" s="387"/>
      <c r="AE61" s="387"/>
      <c r="AF61" s="387"/>
    </row>
    <row r="62" spans="1:32" s="5" customFormat="1" ht="30" customHeight="1">
      <c r="A62" s="3">
        <f t="shared" si="9"/>
        <v>58</v>
      </c>
      <c r="B62" s="31">
        <v>2121</v>
      </c>
      <c r="C62" s="3" t="s">
        <v>520</v>
      </c>
      <c r="D62" s="4">
        <v>300000</v>
      </c>
      <c r="E62" s="4">
        <v>300000</v>
      </c>
      <c r="F62" s="4">
        <f t="shared" si="10"/>
        <v>0</v>
      </c>
      <c r="G62" s="4">
        <v>300000</v>
      </c>
      <c r="H62" s="4">
        <v>45958</v>
      </c>
      <c r="I62" s="4">
        <v>0</v>
      </c>
      <c r="J62" s="4">
        <v>46309</v>
      </c>
      <c r="K62" s="4">
        <f t="shared" si="11"/>
        <v>46309</v>
      </c>
      <c r="L62" s="4">
        <f t="shared" si="12"/>
        <v>92267</v>
      </c>
      <c r="M62" s="4">
        <f>P62+S62</f>
        <v>207733</v>
      </c>
      <c r="N62" s="4"/>
      <c r="O62" s="4">
        <f t="shared" si="13"/>
        <v>0</v>
      </c>
      <c r="P62" s="4">
        <f t="shared" si="14"/>
        <v>207733</v>
      </c>
      <c r="Q62" s="4"/>
      <c r="R62" s="4"/>
      <c r="S62" s="4">
        <f t="shared" si="15"/>
        <v>0</v>
      </c>
      <c r="T62" s="4">
        <f t="shared" si="16"/>
        <v>0</v>
      </c>
      <c r="U62" s="4">
        <f t="shared" si="17"/>
        <v>0</v>
      </c>
      <c r="V62" s="4">
        <f t="shared" si="18"/>
        <v>0</v>
      </c>
      <c r="W62" s="4"/>
      <c r="X62" s="4"/>
      <c r="Y62" s="4"/>
      <c r="Z62" s="4"/>
      <c r="AA62" s="4"/>
      <c r="AB62" s="3" t="s">
        <v>524</v>
      </c>
      <c r="AC62" s="3">
        <v>742000</v>
      </c>
      <c r="AD62" s="387"/>
      <c r="AE62" s="387"/>
      <c r="AF62" s="387"/>
    </row>
    <row r="63" spans="1:32" s="5" customFormat="1" ht="30" customHeight="1">
      <c r="A63" s="3">
        <f t="shared" si="9"/>
        <v>59</v>
      </c>
      <c r="B63" s="31">
        <v>2122</v>
      </c>
      <c r="C63" s="3" t="s">
        <v>607</v>
      </c>
      <c r="D63" s="4">
        <v>300000</v>
      </c>
      <c r="E63" s="4">
        <v>300000</v>
      </c>
      <c r="F63" s="4">
        <f t="shared" si="10"/>
        <v>0</v>
      </c>
      <c r="G63" s="4">
        <v>300000</v>
      </c>
      <c r="H63" s="4">
        <v>28641</v>
      </c>
      <c r="I63" s="4">
        <v>0</v>
      </c>
      <c r="J63" s="4">
        <v>30789</v>
      </c>
      <c r="K63" s="4">
        <f t="shared" si="11"/>
        <v>30789</v>
      </c>
      <c r="L63" s="4">
        <f t="shared" si="12"/>
        <v>59430</v>
      </c>
      <c r="M63" s="4">
        <f>P63+S63</f>
        <v>240570</v>
      </c>
      <c r="N63" s="4"/>
      <c r="O63" s="4">
        <f t="shared" si="13"/>
        <v>0</v>
      </c>
      <c r="P63" s="4">
        <f t="shared" si="14"/>
        <v>240570</v>
      </c>
      <c r="Q63" s="4"/>
      <c r="R63" s="4"/>
      <c r="S63" s="4">
        <f t="shared" si="15"/>
        <v>0</v>
      </c>
      <c r="T63" s="4">
        <f t="shared" si="16"/>
        <v>0</v>
      </c>
      <c r="U63" s="4">
        <f t="shared" si="17"/>
        <v>0</v>
      </c>
      <c r="V63" s="4">
        <f t="shared" si="18"/>
        <v>0</v>
      </c>
      <c r="W63" s="4"/>
      <c r="X63" s="4"/>
      <c r="Y63" s="4"/>
      <c r="Z63" s="4"/>
      <c r="AA63" s="4"/>
      <c r="AB63" s="3" t="s">
        <v>1366</v>
      </c>
      <c r="AC63" s="3">
        <v>742000</v>
      </c>
      <c r="AD63" s="387"/>
      <c r="AE63" s="387"/>
      <c r="AF63" s="387"/>
    </row>
    <row r="64" spans="1:32" s="5" customFormat="1" ht="30" customHeight="1">
      <c r="A64" s="3">
        <f t="shared" si="9"/>
        <v>60</v>
      </c>
      <c r="B64" s="31">
        <v>2123</v>
      </c>
      <c r="C64" s="3" t="s">
        <v>608</v>
      </c>
      <c r="D64" s="4">
        <v>750000</v>
      </c>
      <c r="E64" s="4">
        <v>750000</v>
      </c>
      <c r="F64" s="4">
        <f t="shared" si="10"/>
        <v>0</v>
      </c>
      <c r="G64" s="4">
        <v>750000</v>
      </c>
      <c r="H64" s="4">
        <v>14281</v>
      </c>
      <c r="I64" s="4">
        <v>0</v>
      </c>
      <c r="J64" s="4">
        <v>11350</v>
      </c>
      <c r="K64" s="4">
        <f t="shared" si="11"/>
        <v>11350</v>
      </c>
      <c r="L64" s="4">
        <f t="shared" si="12"/>
        <v>25631</v>
      </c>
      <c r="M64" s="4">
        <f>P64+S64</f>
        <v>724369</v>
      </c>
      <c r="N64" s="4"/>
      <c r="O64" s="4">
        <f t="shared" si="13"/>
        <v>0</v>
      </c>
      <c r="P64" s="4">
        <f t="shared" si="14"/>
        <v>724369</v>
      </c>
      <c r="Q64" s="4"/>
      <c r="R64" s="4"/>
      <c r="S64" s="4">
        <f t="shared" si="15"/>
        <v>0</v>
      </c>
      <c r="T64" s="4">
        <f t="shared" si="16"/>
        <v>0</v>
      </c>
      <c r="U64" s="4">
        <f t="shared" si="17"/>
        <v>0</v>
      </c>
      <c r="V64" s="4">
        <f t="shared" si="18"/>
        <v>0</v>
      </c>
      <c r="W64" s="4"/>
      <c r="X64" s="4"/>
      <c r="Y64" s="4"/>
      <c r="Z64" s="4"/>
      <c r="AA64" s="4"/>
      <c r="AB64" s="3" t="s">
        <v>534</v>
      </c>
      <c r="AC64" s="3">
        <v>742000</v>
      </c>
      <c r="AD64" s="387"/>
      <c r="AE64" s="387"/>
      <c r="AF64" s="387"/>
    </row>
    <row r="65" spans="1:32" s="5" customFormat="1" ht="30" customHeight="1">
      <c r="A65" s="3">
        <f t="shared" si="9"/>
        <v>61</v>
      </c>
      <c r="B65" s="31">
        <v>2141</v>
      </c>
      <c r="C65" s="3" t="s">
        <v>676</v>
      </c>
      <c r="D65" s="4">
        <v>640000</v>
      </c>
      <c r="E65" s="4">
        <v>640000</v>
      </c>
      <c r="F65" s="4">
        <f t="shared" si="10"/>
        <v>0</v>
      </c>
      <c r="G65" s="4">
        <v>0</v>
      </c>
      <c r="H65" s="4">
        <v>0</v>
      </c>
      <c r="I65" s="4">
        <v>0</v>
      </c>
      <c r="J65" s="4">
        <v>0</v>
      </c>
      <c r="K65" s="4">
        <f t="shared" si="11"/>
        <v>0</v>
      </c>
      <c r="L65" s="4">
        <f t="shared" si="12"/>
        <v>0</v>
      </c>
      <c r="M65" s="4">
        <f>P65+S65</f>
        <v>0</v>
      </c>
      <c r="N65" s="4">
        <f>220000-220000</f>
        <v>0</v>
      </c>
      <c r="O65" s="4">
        <f t="shared" si="13"/>
        <v>640000</v>
      </c>
      <c r="P65" s="4">
        <f t="shared" si="14"/>
        <v>0</v>
      </c>
      <c r="Q65" s="4"/>
      <c r="R65" s="4"/>
      <c r="S65" s="4">
        <f t="shared" si="15"/>
        <v>0</v>
      </c>
      <c r="T65" s="4">
        <f t="shared" si="16"/>
        <v>0</v>
      </c>
      <c r="U65" s="4">
        <f t="shared" si="17"/>
        <v>0</v>
      </c>
      <c r="V65" s="4">
        <f t="shared" si="18"/>
        <v>0</v>
      </c>
      <c r="W65" s="4"/>
      <c r="X65" s="4"/>
      <c r="Y65" s="4"/>
      <c r="Z65" s="4"/>
      <c r="AA65" s="4"/>
      <c r="AB65" s="3" t="s">
        <v>1518</v>
      </c>
      <c r="AC65" s="3">
        <v>732000</v>
      </c>
      <c r="AD65" s="387"/>
      <c r="AE65" s="387"/>
      <c r="AF65" s="387"/>
    </row>
    <row r="66" spans="1:32" s="5" customFormat="1" ht="30" customHeight="1">
      <c r="A66" s="3">
        <f t="shared" si="9"/>
        <v>62</v>
      </c>
      <c r="B66" s="31">
        <v>2142</v>
      </c>
      <c r="C66" s="3" t="s">
        <v>778</v>
      </c>
      <c r="D66" s="4">
        <v>4000000</v>
      </c>
      <c r="E66" s="4">
        <v>2400000</v>
      </c>
      <c r="F66" s="4">
        <f t="shared" si="10"/>
        <v>1600000</v>
      </c>
      <c r="G66" s="4">
        <v>2400000</v>
      </c>
      <c r="H66" s="4">
        <v>103181</v>
      </c>
      <c r="I66" s="4">
        <v>0</v>
      </c>
      <c r="J66" s="4">
        <v>134448</v>
      </c>
      <c r="K66" s="4">
        <f t="shared" si="11"/>
        <v>134448</v>
      </c>
      <c r="L66" s="4">
        <f t="shared" si="12"/>
        <v>237629</v>
      </c>
      <c r="M66" s="4">
        <f>P66+S66-2100000</f>
        <v>62371</v>
      </c>
      <c r="N66" s="4">
        <f>4000000-300000-300000</f>
        <v>3400000</v>
      </c>
      <c r="O66" s="4">
        <f t="shared" si="13"/>
        <v>300000</v>
      </c>
      <c r="P66" s="4">
        <f t="shared" si="14"/>
        <v>2162371</v>
      </c>
      <c r="Q66" s="4"/>
      <c r="R66" s="4"/>
      <c r="S66" s="4">
        <f t="shared" si="15"/>
        <v>0</v>
      </c>
      <c r="T66" s="4">
        <f t="shared" si="16"/>
        <v>2100000</v>
      </c>
      <c r="U66" s="4">
        <f t="shared" si="17"/>
        <v>1300000</v>
      </c>
      <c r="V66" s="4">
        <f t="shared" si="18"/>
        <v>1300000</v>
      </c>
      <c r="W66" s="4"/>
      <c r="X66" s="4"/>
      <c r="Y66" s="4"/>
      <c r="Z66" s="4"/>
      <c r="AA66" s="4"/>
      <c r="AB66" s="3" t="s">
        <v>779</v>
      </c>
      <c r="AC66" s="3">
        <v>742000</v>
      </c>
      <c r="AD66" s="387"/>
      <c r="AE66" s="387"/>
      <c r="AF66" s="387"/>
    </row>
    <row r="67" spans="1:32" s="5" customFormat="1" ht="30" customHeight="1">
      <c r="A67" s="3">
        <f t="shared" si="9"/>
        <v>63</v>
      </c>
      <c r="B67" s="31">
        <v>2143</v>
      </c>
      <c r="C67" s="3" t="s">
        <v>780</v>
      </c>
      <c r="D67" s="4">
        <v>500000</v>
      </c>
      <c r="E67" s="4">
        <v>500000</v>
      </c>
      <c r="F67" s="4">
        <f t="shared" si="10"/>
        <v>0</v>
      </c>
      <c r="G67" s="4">
        <v>500000</v>
      </c>
      <c r="H67" s="4">
        <v>0</v>
      </c>
      <c r="I67" s="4">
        <v>0</v>
      </c>
      <c r="J67" s="4">
        <v>0</v>
      </c>
      <c r="K67" s="4">
        <f t="shared" si="11"/>
        <v>0</v>
      </c>
      <c r="L67" s="4">
        <f t="shared" si="12"/>
        <v>0</v>
      </c>
      <c r="M67" s="4">
        <f>P67+S67-500000</f>
        <v>0</v>
      </c>
      <c r="N67" s="4">
        <v>500000</v>
      </c>
      <c r="O67" s="4">
        <f t="shared" si="13"/>
        <v>0</v>
      </c>
      <c r="P67" s="4">
        <f t="shared" si="14"/>
        <v>500000</v>
      </c>
      <c r="Q67" s="4"/>
      <c r="R67" s="4"/>
      <c r="S67" s="4">
        <f t="shared" si="15"/>
        <v>0</v>
      </c>
      <c r="T67" s="4">
        <f t="shared" si="16"/>
        <v>500000</v>
      </c>
      <c r="U67" s="4">
        <f t="shared" si="17"/>
        <v>0</v>
      </c>
      <c r="V67" s="4">
        <f t="shared" si="18"/>
        <v>0</v>
      </c>
      <c r="W67" s="4"/>
      <c r="X67" s="4"/>
      <c r="Y67" s="4"/>
      <c r="Z67" s="4"/>
      <c r="AA67" s="4"/>
      <c r="AB67" s="3" t="s">
        <v>1367</v>
      </c>
      <c r="AC67" s="3">
        <v>732000</v>
      </c>
      <c r="AD67" s="387"/>
      <c r="AE67" s="387"/>
      <c r="AF67" s="387"/>
    </row>
    <row r="68" spans="1:32" s="5" customFormat="1" ht="30" customHeight="1">
      <c r="A68" s="3">
        <f t="shared" si="9"/>
        <v>64</v>
      </c>
      <c r="B68" s="31">
        <v>2144</v>
      </c>
      <c r="C68" s="3" t="s">
        <v>786</v>
      </c>
      <c r="D68" s="4">
        <v>500000</v>
      </c>
      <c r="E68" s="4">
        <v>500000</v>
      </c>
      <c r="F68" s="4">
        <f t="shared" si="10"/>
        <v>0</v>
      </c>
      <c r="G68" s="4">
        <v>500000</v>
      </c>
      <c r="H68" s="4">
        <v>0</v>
      </c>
      <c r="I68" s="4">
        <v>0</v>
      </c>
      <c r="J68" s="4">
        <v>5850</v>
      </c>
      <c r="K68" s="4">
        <f t="shared" si="11"/>
        <v>5850</v>
      </c>
      <c r="L68" s="4">
        <f t="shared" si="12"/>
        <v>5850</v>
      </c>
      <c r="M68" s="4">
        <f>P68+S68-450000</f>
        <v>44150</v>
      </c>
      <c r="N68" s="4">
        <v>450000</v>
      </c>
      <c r="O68" s="4">
        <f t="shared" si="13"/>
        <v>0</v>
      </c>
      <c r="P68" s="4">
        <f t="shared" si="14"/>
        <v>494150</v>
      </c>
      <c r="Q68" s="4"/>
      <c r="R68" s="4"/>
      <c r="S68" s="4">
        <f t="shared" si="15"/>
        <v>0</v>
      </c>
      <c r="T68" s="4">
        <f t="shared" si="16"/>
        <v>450000</v>
      </c>
      <c r="U68" s="4">
        <f t="shared" si="17"/>
        <v>0</v>
      </c>
      <c r="V68" s="4">
        <f t="shared" si="18"/>
        <v>0</v>
      </c>
      <c r="W68" s="4"/>
      <c r="X68" s="4"/>
      <c r="Y68" s="4"/>
      <c r="Z68" s="4"/>
      <c r="AA68" s="4"/>
      <c r="AB68" s="3" t="s">
        <v>893</v>
      </c>
      <c r="AC68" s="3">
        <v>732000</v>
      </c>
      <c r="AD68" s="387"/>
      <c r="AE68" s="387"/>
      <c r="AF68" s="387"/>
    </row>
    <row r="69" spans="1:32" s="5" customFormat="1" ht="30" customHeight="1">
      <c r="A69" s="3">
        <f t="shared" si="9"/>
        <v>65</v>
      </c>
      <c r="B69" s="3">
        <v>2146</v>
      </c>
      <c r="C69" s="3" t="s">
        <v>801</v>
      </c>
      <c r="D69" s="4">
        <v>220000</v>
      </c>
      <c r="E69" s="4">
        <v>220000</v>
      </c>
      <c r="F69" s="4">
        <f>D69-E69</f>
        <v>0</v>
      </c>
      <c r="G69" s="4">
        <v>130000</v>
      </c>
      <c r="H69" s="4">
        <v>0</v>
      </c>
      <c r="I69" s="4">
        <v>0</v>
      </c>
      <c r="J69" s="4">
        <v>0</v>
      </c>
      <c r="K69" s="4">
        <f t="shared" ref="K69:K74" si="19">SUM(I69:J69)</f>
        <v>0</v>
      </c>
      <c r="L69" s="4">
        <f>H69+K69</f>
        <v>0</v>
      </c>
      <c r="M69" s="4">
        <f>P69+S69</f>
        <v>130000</v>
      </c>
      <c r="N69" s="4"/>
      <c r="O69" s="4">
        <f>D69-L69-M69-N69</f>
        <v>90000</v>
      </c>
      <c r="P69" s="4">
        <f t="shared" si="14"/>
        <v>130000</v>
      </c>
      <c r="Q69" s="4"/>
      <c r="R69" s="4"/>
      <c r="S69" s="4">
        <f>SUM(Q69:R69)</f>
        <v>0</v>
      </c>
      <c r="T69" s="4">
        <f>P69-M69+S69</f>
        <v>0</v>
      </c>
      <c r="U69" s="4">
        <f>N69-T69</f>
        <v>0</v>
      </c>
      <c r="V69" s="4">
        <f>U69-AA69-W69-Z69</f>
        <v>0</v>
      </c>
      <c r="W69" s="4"/>
      <c r="X69" s="4"/>
      <c r="Y69" s="4"/>
      <c r="Z69" s="4"/>
      <c r="AA69" s="4"/>
      <c r="AB69" s="3" t="s">
        <v>1423</v>
      </c>
      <c r="AC69" s="3">
        <v>732000</v>
      </c>
      <c r="AD69" s="387"/>
      <c r="AE69" s="387"/>
      <c r="AF69" s="387"/>
    </row>
    <row r="70" spans="1:32" s="5" customFormat="1" ht="30" customHeight="1">
      <c r="A70" s="3">
        <f t="shared" si="9"/>
        <v>66</v>
      </c>
      <c r="B70" s="3">
        <v>2173</v>
      </c>
      <c r="C70" s="3" t="s">
        <v>944</v>
      </c>
      <c r="D70" s="4">
        <v>1950000</v>
      </c>
      <c r="E70" s="4">
        <v>1950000</v>
      </c>
      <c r="F70" s="4">
        <f>D70-E70</f>
        <v>0</v>
      </c>
      <c r="G70" s="4">
        <v>0</v>
      </c>
      <c r="H70" s="4">
        <v>0</v>
      </c>
      <c r="I70" s="4">
        <v>0</v>
      </c>
      <c r="J70" s="4">
        <v>0</v>
      </c>
      <c r="K70" s="4">
        <f t="shared" si="19"/>
        <v>0</v>
      </c>
      <c r="L70" s="4">
        <f>H70+K70</f>
        <v>0</v>
      </c>
      <c r="M70" s="4">
        <f>P70+S70</f>
        <v>0</v>
      </c>
      <c r="N70" s="4">
        <v>1950000</v>
      </c>
      <c r="O70" s="4">
        <f>D70-L70-M70-N70</f>
        <v>0</v>
      </c>
      <c r="P70" s="4">
        <f t="shared" si="14"/>
        <v>0</v>
      </c>
      <c r="Q70" s="4"/>
      <c r="R70" s="4"/>
      <c r="S70" s="4">
        <f>SUM(Q70:R70)</f>
        <v>0</v>
      </c>
      <c r="T70" s="4">
        <f>P70-M70+S70</f>
        <v>0</v>
      </c>
      <c r="U70" s="4">
        <f>N70-T70</f>
        <v>1950000</v>
      </c>
      <c r="V70" s="4">
        <f>U70-AA70-W70-Z70</f>
        <v>138750</v>
      </c>
      <c r="W70" s="4"/>
      <c r="X70" s="4"/>
      <c r="Y70" s="4"/>
      <c r="Z70" s="4"/>
      <c r="AA70" s="4">
        <f>100000+1850000*0.925</f>
        <v>1811250</v>
      </c>
      <c r="AB70" s="3" t="s">
        <v>1358</v>
      </c>
      <c r="AC70" s="3">
        <v>732000</v>
      </c>
      <c r="AD70" s="387"/>
      <c r="AE70" s="387"/>
      <c r="AF70" s="387"/>
    </row>
    <row r="71" spans="1:32" s="5" customFormat="1" ht="30" customHeight="1">
      <c r="A71" s="3">
        <f>A70+1</f>
        <v>67</v>
      </c>
      <c r="B71" s="31">
        <v>2189</v>
      </c>
      <c r="C71" s="3" t="s">
        <v>1368</v>
      </c>
      <c r="D71" s="4">
        <v>250000</v>
      </c>
      <c r="E71" s="4"/>
      <c r="F71" s="4">
        <f t="shared" ref="F71:F82" si="20">D71-E71</f>
        <v>250000</v>
      </c>
      <c r="G71" s="4">
        <v>0</v>
      </c>
      <c r="H71" s="4">
        <v>0</v>
      </c>
      <c r="I71" s="4">
        <v>0</v>
      </c>
      <c r="J71" s="4">
        <v>0</v>
      </c>
      <c r="K71" s="4">
        <f t="shared" si="19"/>
        <v>0</v>
      </c>
      <c r="L71" s="4">
        <f t="shared" ref="L71:L82" si="21">H71+K71</f>
        <v>0</v>
      </c>
      <c r="M71" s="4">
        <f>P71+S71</f>
        <v>0</v>
      </c>
      <c r="N71" s="4">
        <v>250000</v>
      </c>
      <c r="O71" s="4">
        <f t="shared" ref="O71:O82" si="22">D71-L71-M71-N71</f>
        <v>0</v>
      </c>
      <c r="P71" s="4">
        <f t="shared" ref="P71:P82" si="23">G71-L71</f>
        <v>0</v>
      </c>
      <c r="Q71" s="4"/>
      <c r="R71" s="4"/>
      <c r="S71" s="4">
        <f t="shared" ref="S71:S82" si="24">SUM(Q71:R71)</f>
        <v>0</v>
      </c>
      <c r="T71" s="4">
        <f t="shared" ref="T71:T82" si="25">P71-M71+S71</f>
        <v>0</v>
      </c>
      <c r="U71" s="4">
        <f t="shared" ref="U71:U82" si="26">N71-T71</f>
        <v>250000</v>
      </c>
      <c r="V71" s="4">
        <f t="shared" ref="V71:V82" si="27">U71-AA71-W71-Z71</f>
        <v>75000</v>
      </c>
      <c r="W71" s="4"/>
      <c r="X71" s="4"/>
      <c r="Y71" s="4"/>
      <c r="Z71" s="4"/>
      <c r="AA71" s="4">
        <v>175000</v>
      </c>
      <c r="AB71" s="514" t="s">
        <v>1369</v>
      </c>
      <c r="AC71" s="514">
        <v>742000</v>
      </c>
      <c r="AD71" s="387"/>
      <c r="AE71" s="387"/>
      <c r="AF71" s="387"/>
    </row>
    <row r="72" spans="1:32" s="5" customFormat="1" ht="30" customHeight="1">
      <c r="A72" s="3">
        <f>1+A71</f>
        <v>68</v>
      </c>
      <c r="B72" s="31">
        <v>2190</v>
      </c>
      <c r="C72" s="3" t="s">
        <v>1370</v>
      </c>
      <c r="D72" s="4">
        <v>250000</v>
      </c>
      <c r="E72" s="4"/>
      <c r="F72" s="4">
        <f t="shared" si="20"/>
        <v>250000</v>
      </c>
      <c r="G72" s="4">
        <v>0</v>
      </c>
      <c r="H72" s="4">
        <v>0</v>
      </c>
      <c r="I72" s="4">
        <v>0</v>
      </c>
      <c r="J72" s="4">
        <v>0</v>
      </c>
      <c r="K72" s="4">
        <f t="shared" si="19"/>
        <v>0</v>
      </c>
      <c r="L72" s="4">
        <f t="shared" si="21"/>
        <v>0</v>
      </c>
      <c r="M72" s="4">
        <f t="shared" ref="M72:M82" si="28">P72+S72</f>
        <v>0</v>
      </c>
      <c r="N72" s="4">
        <v>250000</v>
      </c>
      <c r="O72" s="4">
        <f t="shared" si="22"/>
        <v>0</v>
      </c>
      <c r="P72" s="4">
        <f t="shared" si="23"/>
        <v>0</v>
      </c>
      <c r="Q72" s="4"/>
      <c r="R72" s="4"/>
      <c r="S72" s="4">
        <f t="shared" si="24"/>
        <v>0</v>
      </c>
      <c r="T72" s="4">
        <f t="shared" si="25"/>
        <v>0</v>
      </c>
      <c r="U72" s="4">
        <f t="shared" si="26"/>
        <v>250000</v>
      </c>
      <c r="V72" s="4">
        <f t="shared" si="27"/>
        <v>75000</v>
      </c>
      <c r="W72" s="4"/>
      <c r="X72" s="4"/>
      <c r="Y72" s="4"/>
      <c r="Z72" s="4"/>
      <c r="AA72" s="4">
        <v>175000</v>
      </c>
      <c r="AB72" s="514" t="s">
        <v>1371</v>
      </c>
      <c r="AC72" s="514">
        <v>742000</v>
      </c>
      <c r="AD72" s="387"/>
      <c r="AE72" s="387"/>
      <c r="AF72" s="387"/>
    </row>
    <row r="73" spans="1:32" s="5" customFormat="1" ht="30" customHeight="1">
      <c r="A73" s="3">
        <f t="shared" ref="A73:A82" si="29">1+A72</f>
        <v>69</v>
      </c>
      <c r="B73" s="31">
        <v>2191</v>
      </c>
      <c r="C73" s="3" t="s">
        <v>1372</v>
      </c>
      <c r="D73" s="4">
        <v>500000</v>
      </c>
      <c r="E73" s="3"/>
      <c r="F73" s="4">
        <f t="shared" si="20"/>
        <v>500000</v>
      </c>
      <c r="G73" s="4">
        <v>0</v>
      </c>
      <c r="H73" s="4">
        <v>0</v>
      </c>
      <c r="I73" s="4">
        <v>0</v>
      </c>
      <c r="J73" s="4">
        <v>0</v>
      </c>
      <c r="K73" s="4">
        <f t="shared" si="19"/>
        <v>0</v>
      </c>
      <c r="L73" s="4">
        <f t="shared" si="21"/>
        <v>0</v>
      </c>
      <c r="M73" s="4">
        <f t="shared" si="28"/>
        <v>0</v>
      </c>
      <c r="N73" s="4">
        <v>500000</v>
      </c>
      <c r="O73" s="4">
        <f t="shared" si="22"/>
        <v>0</v>
      </c>
      <c r="P73" s="4">
        <f t="shared" si="23"/>
        <v>0</v>
      </c>
      <c r="Q73" s="4"/>
      <c r="R73" s="4"/>
      <c r="S73" s="4">
        <f t="shared" si="24"/>
        <v>0</v>
      </c>
      <c r="T73" s="4">
        <f t="shared" si="25"/>
        <v>0</v>
      </c>
      <c r="U73" s="4">
        <f t="shared" si="26"/>
        <v>500000</v>
      </c>
      <c r="V73" s="4">
        <f t="shared" si="27"/>
        <v>500000</v>
      </c>
      <c r="W73" s="4"/>
      <c r="X73" s="4"/>
      <c r="Y73" s="4"/>
      <c r="Z73" s="4"/>
      <c r="AA73" s="4"/>
      <c r="AB73" s="3" t="s">
        <v>1424</v>
      </c>
      <c r="AC73" s="3">
        <v>742000</v>
      </c>
      <c r="AD73" s="387"/>
      <c r="AE73" s="387"/>
      <c r="AF73" s="387"/>
    </row>
    <row r="74" spans="1:32" s="5" customFormat="1" ht="30" customHeight="1">
      <c r="A74" s="3">
        <f t="shared" si="29"/>
        <v>70</v>
      </c>
      <c r="B74" s="31">
        <v>2192</v>
      </c>
      <c r="C74" s="3" t="s">
        <v>1373</v>
      </c>
      <c r="D74" s="4">
        <v>20400000</v>
      </c>
      <c r="E74" s="4"/>
      <c r="F74" s="4">
        <f t="shared" si="20"/>
        <v>20400000</v>
      </c>
      <c r="G74" s="4">
        <v>0</v>
      </c>
      <c r="H74" s="4">
        <v>0</v>
      </c>
      <c r="I74" s="4">
        <v>0</v>
      </c>
      <c r="J74" s="4">
        <v>0</v>
      </c>
      <c r="K74" s="4">
        <f t="shared" si="19"/>
        <v>0</v>
      </c>
      <c r="L74" s="4">
        <f t="shared" si="21"/>
        <v>0</v>
      </c>
      <c r="M74" s="4">
        <f t="shared" si="28"/>
        <v>0</v>
      </c>
      <c r="N74" s="4">
        <v>600000</v>
      </c>
      <c r="O74" s="4">
        <f t="shared" si="22"/>
        <v>19800000</v>
      </c>
      <c r="P74" s="4">
        <f t="shared" si="23"/>
        <v>0</v>
      </c>
      <c r="Q74" s="4"/>
      <c r="R74" s="4"/>
      <c r="S74" s="4">
        <f t="shared" si="24"/>
        <v>0</v>
      </c>
      <c r="T74" s="4">
        <f t="shared" si="25"/>
        <v>0</v>
      </c>
      <c r="U74" s="4">
        <f t="shared" si="26"/>
        <v>600000</v>
      </c>
      <c r="V74" s="4">
        <f t="shared" si="27"/>
        <v>600000</v>
      </c>
      <c r="W74" s="4"/>
      <c r="X74" s="4"/>
      <c r="Y74" s="4"/>
      <c r="Z74" s="4"/>
      <c r="AA74" s="4"/>
      <c r="AB74" s="3" t="s">
        <v>1396</v>
      </c>
      <c r="AC74" s="3">
        <v>742000</v>
      </c>
      <c r="AD74" s="387"/>
      <c r="AE74" s="387"/>
      <c r="AF74" s="387"/>
    </row>
    <row r="75" spans="1:32" s="5" customFormat="1" ht="30" customHeight="1">
      <c r="A75" s="3">
        <f t="shared" si="29"/>
        <v>71</v>
      </c>
      <c r="B75" s="31">
        <v>2193</v>
      </c>
      <c r="C75" s="3" t="s">
        <v>1374</v>
      </c>
      <c r="D75" s="4">
        <v>500000</v>
      </c>
      <c r="E75" s="4"/>
      <c r="F75" s="4">
        <f t="shared" si="20"/>
        <v>500000</v>
      </c>
      <c r="G75" s="4"/>
      <c r="H75" s="4"/>
      <c r="I75" s="4"/>
      <c r="J75" s="4"/>
      <c r="K75" s="4"/>
      <c r="L75" s="4">
        <f t="shared" si="21"/>
        <v>0</v>
      </c>
      <c r="M75" s="4">
        <f t="shared" si="28"/>
        <v>0</v>
      </c>
      <c r="N75" s="4">
        <v>500000</v>
      </c>
      <c r="O75" s="4">
        <f t="shared" si="22"/>
        <v>0</v>
      </c>
      <c r="P75" s="4">
        <f t="shared" si="23"/>
        <v>0</v>
      </c>
      <c r="Q75" s="4"/>
      <c r="R75" s="4"/>
      <c r="S75" s="4">
        <f t="shared" si="24"/>
        <v>0</v>
      </c>
      <c r="T75" s="4">
        <f t="shared" si="25"/>
        <v>0</v>
      </c>
      <c r="U75" s="4">
        <f t="shared" si="26"/>
        <v>500000</v>
      </c>
      <c r="V75" s="4">
        <f t="shared" si="27"/>
        <v>500000</v>
      </c>
      <c r="W75" s="4"/>
      <c r="X75" s="4"/>
      <c r="Y75" s="4"/>
      <c r="Z75" s="4"/>
      <c r="AA75" s="4"/>
      <c r="AB75" s="3" t="s">
        <v>1519</v>
      </c>
      <c r="AC75" s="3">
        <v>742000</v>
      </c>
      <c r="AD75" s="387"/>
      <c r="AE75" s="387"/>
      <c r="AF75" s="387"/>
    </row>
    <row r="76" spans="1:32" s="5" customFormat="1" ht="30" customHeight="1">
      <c r="A76" s="3">
        <f t="shared" si="29"/>
        <v>72</v>
      </c>
      <c r="B76" s="31">
        <v>2194</v>
      </c>
      <c r="C76" s="3" t="s">
        <v>1375</v>
      </c>
      <c r="D76" s="4">
        <v>700000</v>
      </c>
      <c r="E76" s="3"/>
      <c r="F76" s="4">
        <f t="shared" si="20"/>
        <v>700000</v>
      </c>
      <c r="G76" s="4"/>
      <c r="H76" s="4"/>
      <c r="I76" s="4"/>
      <c r="J76" s="4"/>
      <c r="K76" s="4"/>
      <c r="L76" s="4">
        <f t="shared" si="21"/>
        <v>0</v>
      </c>
      <c r="M76" s="4">
        <f t="shared" si="28"/>
        <v>0</v>
      </c>
      <c r="N76" s="4">
        <v>700000</v>
      </c>
      <c r="O76" s="4">
        <f t="shared" si="22"/>
        <v>0</v>
      </c>
      <c r="P76" s="4">
        <f t="shared" si="23"/>
        <v>0</v>
      </c>
      <c r="Q76" s="4"/>
      <c r="R76" s="4"/>
      <c r="S76" s="4">
        <f t="shared" si="24"/>
        <v>0</v>
      </c>
      <c r="T76" s="4">
        <f t="shared" si="25"/>
        <v>0</v>
      </c>
      <c r="U76" s="4">
        <f t="shared" si="26"/>
        <v>700000</v>
      </c>
      <c r="V76" s="4">
        <f t="shared" si="27"/>
        <v>700000</v>
      </c>
      <c r="W76" s="4"/>
      <c r="X76" s="4"/>
      <c r="Y76" s="4"/>
      <c r="Z76" s="4"/>
      <c r="AA76" s="4"/>
      <c r="AB76" s="3" t="s">
        <v>1425</v>
      </c>
      <c r="AC76" s="3">
        <v>742000</v>
      </c>
      <c r="AD76" s="387"/>
      <c r="AE76" s="387"/>
      <c r="AF76" s="387"/>
    </row>
    <row r="77" spans="1:32" s="5" customFormat="1" ht="30" customHeight="1">
      <c r="A77" s="3">
        <f t="shared" si="29"/>
        <v>73</v>
      </c>
      <c r="B77" s="31">
        <v>2195</v>
      </c>
      <c r="C77" s="3" t="s">
        <v>1376</v>
      </c>
      <c r="D77" s="4">
        <v>2300000</v>
      </c>
      <c r="E77" s="3"/>
      <c r="F77" s="4">
        <f t="shared" si="20"/>
        <v>2300000</v>
      </c>
      <c r="G77" s="4">
        <v>0</v>
      </c>
      <c r="H77" s="4">
        <v>0</v>
      </c>
      <c r="I77" s="4">
        <v>0</v>
      </c>
      <c r="J77" s="4">
        <v>0</v>
      </c>
      <c r="K77" s="4">
        <f>SUM(I77:J77)</f>
        <v>0</v>
      </c>
      <c r="L77" s="4">
        <f t="shared" si="21"/>
        <v>0</v>
      </c>
      <c r="M77" s="4">
        <f t="shared" si="28"/>
        <v>0</v>
      </c>
      <c r="N77" s="4">
        <f>1100000-750000</f>
        <v>350000</v>
      </c>
      <c r="O77" s="4">
        <f t="shared" si="22"/>
        <v>1950000</v>
      </c>
      <c r="P77" s="4">
        <f t="shared" si="23"/>
        <v>0</v>
      </c>
      <c r="Q77" s="4"/>
      <c r="R77" s="4"/>
      <c r="S77" s="4">
        <f t="shared" si="24"/>
        <v>0</v>
      </c>
      <c r="T77" s="4">
        <f t="shared" si="25"/>
        <v>0</v>
      </c>
      <c r="U77" s="4">
        <f t="shared" si="26"/>
        <v>350000</v>
      </c>
      <c r="V77" s="4">
        <f t="shared" si="27"/>
        <v>350000</v>
      </c>
      <c r="W77" s="4"/>
      <c r="X77" s="4"/>
      <c r="Y77" s="4"/>
      <c r="Z77" s="4"/>
      <c r="AA77" s="4"/>
      <c r="AB77" s="3" t="s">
        <v>1520</v>
      </c>
      <c r="AC77" s="3">
        <v>742000</v>
      </c>
      <c r="AD77" s="387"/>
      <c r="AE77" s="387"/>
      <c r="AF77" s="387"/>
    </row>
    <row r="78" spans="1:32" s="5" customFormat="1" ht="30" customHeight="1">
      <c r="A78" s="3">
        <f t="shared" si="29"/>
        <v>74</v>
      </c>
      <c r="B78" s="31">
        <v>2196</v>
      </c>
      <c r="C78" s="3" t="s">
        <v>1377</v>
      </c>
      <c r="D78" s="4">
        <v>2000000</v>
      </c>
      <c r="E78" s="3"/>
      <c r="F78" s="4">
        <f t="shared" si="20"/>
        <v>2000000</v>
      </c>
      <c r="G78" s="4"/>
      <c r="H78" s="4"/>
      <c r="I78" s="4"/>
      <c r="J78" s="4"/>
      <c r="K78" s="4"/>
      <c r="L78" s="4">
        <f t="shared" si="21"/>
        <v>0</v>
      </c>
      <c r="M78" s="4">
        <f t="shared" si="28"/>
        <v>0</v>
      </c>
      <c r="N78" s="4">
        <f>500000-100000</f>
        <v>400000</v>
      </c>
      <c r="O78" s="4">
        <f t="shared" si="22"/>
        <v>1600000</v>
      </c>
      <c r="P78" s="4">
        <f t="shared" si="23"/>
        <v>0</v>
      </c>
      <c r="Q78" s="4"/>
      <c r="R78" s="4"/>
      <c r="S78" s="4">
        <f t="shared" si="24"/>
        <v>0</v>
      </c>
      <c r="T78" s="4">
        <f t="shared" si="25"/>
        <v>0</v>
      </c>
      <c r="U78" s="4">
        <f t="shared" si="26"/>
        <v>400000</v>
      </c>
      <c r="V78" s="4">
        <f t="shared" si="27"/>
        <v>400000</v>
      </c>
      <c r="W78" s="4"/>
      <c r="X78" s="4"/>
      <c r="Y78" s="4"/>
      <c r="Z78" s="4"/>
      <c r="AA78" s="4"/>
      <c r="AB78" s="3" t="s">
        <v>1378</v>
      </c>
      <c r="AC78" s="3">
        <v>742000</v>
      </c>
      <c r="AD78" s="387"/>
      <c r="AE78" s="387"/>
      <c r="AF78" s="387"/>
    </row>
    <row r="79" spans="1:32" s="5" customFormat="1" ht="30" customHeight="1">
      <c r="A79" s="3">
        <f t="shared" si="29"/>
        <v>75</v>
      </c>
      <c r="B79" s="31">
        <v>2197</v>
      </c>
      <c r="C79" s="3" t="s">
        <v>1379</v>
      </c>
      <c r="D79" s="4">
        <v>4000000</v>
      </c>
      <c r="E79" s="4"/>
      <c r="F79" s="4">
        <f t="shared" si="20"/>
        <v>4000000</v>
      </c>
      <c r="G79" s="4">
        <v>0</v>
      </c>
      <c r="H79" s="4">
        <v>0</v>
      </c>
      <c r="I79" s="4">
        <v>0</v>
      </c>
      <c r="J79" s="4">
        <v>0</v>
      </c>
      <c r="K79" s="4">
        <f>SUM(I79:J79)</f>
        <v>0</v>
      </c>
      <c r="L79" s="4">
        <f t="shared" si="21"/>
        <v>0</v>
      </c>
      <c r="M79" s="4">
        <f t="shared" si="28"/>
        <v>0</v>
      </c>
      <c r="N79" s="4">
        <f>1000000-500000-200000</f>
        <v>300000</v>
      </c>
      <c r="O79" s="4">
        <f t="shared" si="22"/>
        <v>3700000</v>
      </c>
      <c r="P79" s="4">
        <f t="shared" si="23"/>
        <v>0</v>
      </c>
      <c r="Q79" s="4"/>
      <c r="R79" s="4"/>
      <c r="S79" s="4">
        <f t="shared" si="24"/>
        <v>0</v>
      </c>
      <c r="T79" s="4">
        <f t="shared" si="25"/>
        <v>0</v>
      </c>
      <c r="U79" s="4">
        <f t="shared" si="26"/>
        <v>300000</v>
      </c>
      <c r="V79" s="4">
        <f t="shared" si="27"/>
        <v>300000</v>
      </c>
      <c r="W79" s="4"/>
      <c r="X79" s="4"/>
      <c r="Y79" s="4"/>
      <c r="Z79" s="4"/>
      <c r="AA79" s="4"/>
      <c r="AB79" s="3" t="s">
        <v>1380</v>
      </c>
      <c r="AC79" s="3">
        <v>742000</v>
      </c>
      <c r="AD79" s="387"/>
      <c r="AE79" s="387"/>
      <c r="AF79" s="387"/>
    </row>
    <row r="80" spans="1:32" s="5" customFormat="1" ht="30" customHeight="1">
      <c r="A80" s="3">
        <f t="shared" si="29"/>
        <v>76</v>
      </c>
      <c r="B80" s="31">
        <v>2198</v>
      </c>
      <c r="C80" s="3" t="s">
        <v>1381</v>
      </c>
      <c r="D80" s="4">
        <v>9500000</v>
      </c>
      <c r="E80" s="4"/>
      <c r="F80" s="4">
        <f t="shared" si="20"/>
        <v>9500000</v>
      </c>
      <c r="G80" s="4"/>
      <c r="H80" s="4"/>
      <c r="I80" s="4"/>
      <c r="J80" s="4"/>
      <c r="K80" s="4"/>
      <c r="L80" s="4">
        <f t="shared" si="21"/>
        <v>0</v>
      </c>
      <c r="M80" s="4">
        <f t="shared" si="28"/>
        <v>0</v>
      </c>
      <c r="N80" s="4">
        <f>1700000-500000-200000-500000</f>
        <v>500000</v>
      </c>
      <c r="O80" s="4">
        <f t="shared" si="22"/>
        <v>9000000</v>
      </c>
      <c r="P80" s="4">
        <f t="shared" si="23"/>
        <v>0</v>
      </c>
      <c r="Q80" s="4"/>
      <c r="R80" s="4"/>
      <c r="S80" s="4">
        <f t="shared" si="24"/>
        <v>0</v>
      </c>
      <c r="T80" s="4">
        <f t="shared" si="25"/>
        <v>0</v>
      </c>
      <c r="U80" s="4">
        <f t="shared" si="26"/>
        <v>500000</v>
      </c>
      <c r="V80" s="4">
        <f t="shared" si="27"/>
        <v>500000</v>
      </c>
      <c r="W80" s="4"/>
      <c r="X80" s="4"/>
      <c r="Y80" s="4"/>
      <c r="Z80" s="4"/>
      <c r="AA80" s="4"/>
      <c r="AB80" s="3" t="s">
        <v>1382</v>
      </c>
      <c r="AC80" s="3">
        <v>742000</v>
      </c>
      <c r="AD80" s="387"/>
      <c r="AE80" s="387"/>
      <c r="AF80" s="387"/>
    </row>
    <row r="81" spans="1:32" s="5" customFormat="1" ht="30" customHeight="1">
      <c r="A81" s="3">
        <f t="shared" si="29"/>
        <v>77</v>
      </c>
      <c r="B81" s="31">
        <v>2199</v>
      </c>
      <c r="C81" s="3" t="s">
        <v>1383</v>
      </c>
      <c r="D81" s="4">
        <v>1000000</v>
      </c>
      <c r="E81" s="3"/>
      <c r="F81" s="4">
        <f t="shared" si="20"/>
        <v>1000000</v>
      </c>
      <c r="G81" s="4">
        <v>0</v>
      </c>
      <c r="H81" s="4">
        <v>0</v>
      </c>
      <c r="I81" s="4">
        <v>0</v>
      </c>
      <c r="J81" s="4">
        <v>0</v>
      </c>
      <c r="K81" s="4">
        <f>SUM(I81:J81)</f>
        <v>0</v>
      </c>
      <c r="L81" s="4">
        <f t="shared" si="21"/>
        <v>0</v>
      </c>
      <c r="M81" s="4">
        <f t="shared" si="28"/>
        <v>0</v>
      </c>
      <c r="N81" s="4">
        <f>600000-200000-200000</f>
        <v>200000</v>
      </c>
      <c r="O81" s="4">
        <f t="shared" si="22"/>
        <v>800000</v>
      </c>
      <c r="P81" s="4">
        <f t="shared" si="23"/>
        <v>0</v>
      </c>
      <c r="Q81" s="4"/>
      <c r="R81" s="4"/>
      <c r="S81" s="4">
        <f t="shared" si="24"/>
        <v>0</v>
      </c>
      <c r="T81" s="4">
        <f t="shared" si="25"/>
        <v>0</v>
      </c>
      <c r="U81" s="4">
        <f t="shared" si="26"/>
        <v>200000</v>
      </c>
      <c r="V81" s="4">
        <f t="shared" si="27"/>
        <v>200000</v>
      </c>
      <c r="W81" s="4"/>
      <c r="X81" s="4"/>
      <c r="Y81" s="4"/>
      <c r="Z81" s="4"/>
      <c r="AA81" s="4"/>
      <c r="AB81" s="3" t="s">
        <v>1521</v>
      </c>
      <c r="AC81" s="3">
        <v>732000</v>
      </c>
      <c r="AD81" s="387"/>
      <c r="AE81" s="387"/>
      <c r="AF81" s="387"/>
    </row>
    <row r="82" spans="1:32" s="5" customFormat="1" ht="30" customHeight="1">
      <c r="A82" s="3">
        <f t="shared" si="29"/>
        <v>78</v>
      </c>
      <c r="B82" s="31">
        <v>2200</v>
      </c>
      <c r="C82" s="3" t="s">
        <v>1384</v>
      </c>
      <c r="D82" s="4">
        <f>1800000-100000</f>
        <v>1700000</v>
      </c>
      <c r="E82" s="3"/>
      <c r="F82" s="4">
        <f t="shared" si="20"/>
        <v>1700000</v>
      </c>
      <c r="G82" s="4">
        <v>0</v>
      </c>
      <c r="H82" s="4">
        <v>0</v>
      </c>
      <c r="I82" s="4">
        <v>0</v>
      </c>
      <c r="J82" s="4">
        <v>0</v>
      </c>
      <c r="K82" s="4">
        <f>SUM(I82:J82)</f>
        <v>0</v>
      </c>
      <c r="L82" s="4">
        <f t="shared" si="21"/>
        <v>0</v>
      </c>
      <c r="M82" s="4">
        <f t="shared" si="28"/>
        <v>0</v>
      </c>
      <c r="N82" s="4">
        <f>150000+200000</f>
        <v>350000</v>
      </c>
      <c r="O82" s="4">
        <f t="shared" si="22"/>
        <v>1350000</v>
      </c>
      <c r="P82" s="4">
        <f t="shared" si="23"/>
        <v>0</v>
      </c>
      <c r="Q82" s="4"/>
      <c r="R82" s="4"/>
      <c r="S82" s="4">
        <f t="shared" si="24"/>
        <v>0</v>
      </c>
      <c r="T82" s="4">
        <f t="shared" si="25"/>
        <v>0</v>
      </c>
      <c r="U82" s="4">
        <f t="shared" si="26"/>
        <v>350000</v>
      </c>
      <c r="V82" s="4">
        <f t="shared" si="27"/>
        <v>350000</v>
      </c>
      <c r="W82" s="4"/>
      <c r="X82" s="4"/>
      <c r="Y82" s="4"/>
      <c r="Z82" s="4"/>
      <c r="AA82" s="4"/>
      <c r="AB82" s="3" t="s">
        <v>1522</v>
      </c>
      <c r="AC82" s="3">
        <v>732000</v>
      </c>
      <c r="AD82" s="387"/>
      <c r="AE82" s="387"/>
      <c r="AF82" s="387"/>
    </row>
    <row r="83" spans="1:32" s="426" customFormat="1" ht="30" customHeight="1">
      <c r="A83" s="346">
        <f>A82</f>
        <v>78</v>
      </c>
      <c r="B83" s="346"/>
      <c r="C83" s="33" t="s">
        <v>499</v>
      </c>
      <c r="D83" s="425">
        <f t="shared" ref="D83:AA83" si="30">SUM(D5:D82)</f>
        <v>600898791</v>
      </c>
      <c r="E83" s="425">
        <f t="shared" si="30"/>
        <v>548923791</v>
      </c>
      <c r="F83" s="425">
        <f t="shared" si="30"/>
        <v>51975000</v>
      </c>
      <c r="G83" s="425">
        <f t="shared" si="30"/>
        <v>299011552</v>
      </c>
      <c r="H83" s="425">
        <f t="shared" si="30"/>
        <v>243957723</v>
      </c>
      <c r="I83" s="425">
        <f t="shared" si="30"/>
        <v>10062920</v>
      </c>
      <c r="J83" s="425">
        <f t="shared" si="30"/>
        <v>8699859</v>
      </c>
      <c r="K83" s="425">
        <f t="shared" si="30"/>
        <v>18762779</v>
      </c>
      <c r="L83" s="425">
        <f t="shared" si="30"/>
        <v>262720502</v>
      </c>
      <c r="M83" s="425">
        <f t="shared" si="30"/>
        <v>6991050</v>
      </c>
      <c r="N83" s="425">
        <f t="shared" si="30"/>
        <v>48230000</v>
      </c>
      <c r="O83" s="425">
        <f t="shared" si="30"/>
        <v>282957239</v>
      </c>
      <c r="P83" s="425">
        <f t="shared" si="30"/>
        <v>36291050</v>
      </c>
      <c r="Q83" s="425">
        <f t="shared" si="30"/>
        <v>0</v>
      </c>
      <c r="R83" s="425">
        <f t="shared" si="30"/>
        <v>0</v>
      </c>
      <c r="S83" s="425">
        <f t="shared" si="30"/>
        <v>0</v>
      </c>
      <c r="T83" s="425">
        <f t="shared" si="30"/>
        <v>29300000</v>
      </c>
      <c r="U83" s="425">
        <f t="shared" si="30"/>
        <v>18930000</v>
      </c>
      <c r="V83" s="425">
        <f t="shared" si="30"/>
        <v>14768750</v>
      </c>
      <c r="W83" s="425">
        <f t="shared" si="30"/>
        <v>0</v>
      </c>
      <c r="X83" s="425">
        <f t="shared" si="30"/>
        <v>0</v>
      </c>
      <c r="Y83" s="425">
        <f t="shared" si="30"/>
        <v>0</v>
      </c>
      <c r="Z83" s="425">
        <f t="shared" si="30"/>
        <v>0</v>
      </c>
      <c r="AA83" s="425">
        <f t="shared" si="30"/>
        <v>4161250</v>
      </c>
      <c r="AB83" s="425"/>
      <c r="AC83" s="346"/>
      <c r="AD83" s="387"/>
      <c r="AE83" s="387"/>
      <c r="AF83" s="387"/>
    </row>
    <row r="84" spans="1:32" hidden="1">
      <c r="L84" s="14">
        <f>K83+H83</f>
        <v>262720502</v>
      </c>
      <c r="M84" s="14">
        <f>P83+S83-T83</f>
        <v>6991050</v>
      </c>
    </row>
  </sheetData>
  <sortState ref="A5:AK70">
    <sortCondition ref="B5:B70"/>
  </sortState>
  <conditionalFormatting sqref="AD4:AE4">
    <cfRule type="cellIs" dxfId="24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Zeros="0" rightToLeft="1" topLeftCell="A11" workbookViewId="0">
      <selection activeCell="U40" sqref="U40"/>
    </sheetView>
  </sheetViews>
  <sheetFormatPr defaultColWidth="9.08984375" defaultRowHeight="14"/>
  <cols>
    <col min="1" max="1" width="9.08984375" style="157"/>
    <col min="2" max="7" width="9.08984375" style="96"/>
    <col min="8" max="8" width="14.36328125" style="96" customWidth="1"/>
    <col min="9" max="16384" width="9.08984375" style="96"/>
  </cols>
  <sheetData>
    <row r="1" spans="1:10" ht="18">
      <c r="B1" s="158"/>
      <c r="C1" s="158"/>
      <c r="D1" s="158"/>
      <c r="E1" s="158"/>
      <c r="F1" s="158"/>
      <c r="G1" s="158"/>
      <c r="H1" s="158"/>
    </row>
    <row r="2" spans="1:10" ht="20.5">
      <c r="B2" s="107" t="s">
        <v>278</v>
      </c>
      <c r="H2" s="107" t="s">
        <v>279</v>
      </c>
      <c r="J2" s="361"/>
    </row>
    <row r="3" spans="1:10" ht="15.5">
      <c r="B3" s="98"/>
    </row>
    <row r="4" spans="1:10" ht="24.9" customHeight="1">
      <c r="A4" s="159"/>
      <c r="B4" s="98" t="s">
        <v>215</v>
      </c>
      <c r="H4" s="98">
        <v>3</v>
      </c>
    </row>
    <row r="5" spans="1:10" ht="24.9" customHeight="1">
      <c r="A5" s="159"/>
      <c r="B5" s="98" t="s">
        <v>1642</v>
      </c>
      <c r="H5" s="98">
        <v>4</v>
      </c>
    </row>
    <row r="6" spans="1:10" ht="24.9" customHeight="1">
      <c r="A6" s="159"/>
      <c r="B6" s="98" t="s">
        <v>1240</v>
      </c>
      <c r="F6" s="98"/>
    </row>
    <row r="7" spans="1:10" ht="24.9" customHeight="1">
      <c r="A7" s="159"/>
      <c r="B7" s="98" t="s">
        <v>280</v>
      </c>
      <c r="F7" s="160"/>
      <c r="G7" s="218"/>
      <c r="H7" s="105" t="s">
        <v>1644</v>
      </c>
    </row>
    <row r="8" spans="1:10" ht="24.9" customHeight="1">
      <c r="A8" s="159"/>
      <c r="B8" s="98" t="s">
        <v>501</v>
      </c>
      <c r="F8" s="161"/>
      <c r="G8" s="218"/>
      <c r="H8" s="105" t="s">
        <v>1645</v>
      </c>
    </row>
    <row r="9" spans="1:10" ht="24.9" customHeight="1">
      <c r="A9" s="159"/>
      <c r="B9" s="98" t="s">
        <v>242</v>
      </c>
      <c r="F9" s="161"/>
      <c r="G9" s="218"/>
      <c r="H9" s="105" t="s">
        <v>1646</v>
      </c>
    </row>
    <row r="10" spans="1:10" ht="24.9" customHeight="1">
      <c r="A10" s="159"/>
      <c r="B10" s="98" t="s">
        <v>189</v>
      </c>
      <c r="F10" s="162"/>
      <c r="G10" s="218"/>
      <c r="H10" s="105" t="s">
        <v>1647</v>
      </c>
    </row>
    <row r="11" spans="1:10" ht="24.9" customHeight="1">
      <c r="A11" s="159"/>
      <c r="B11" s="98" t="s">
        <v>281</v>
      </c>
      <c r="F11" s="162"/>
      <c r="G11" s="218"/>
      <c r="H11" s="105" t="s">
        <v>1648</v>
      </c>
    </row>
    <row r="12" spans="1:10" ht="24.9" customHeight="1">
      <c r="A12" s="159"/>
      <c r="B12" s="98" t="s">
        <v>197</v>
      </c>
      <c r="F12" s="162"/>
      <c r="G12" s="218"/>
      <c r="H12" s="105" t="s">
        <v>872</v>
      </c>
    </row>
    <row r="13" spans="1:10" ht="24.9" customHeight="1">
      <c r="A13" s="159"/>
      <c r="B13" s="98" t="s">
        <v>457</v>
      </c>
      <c r="F13" s="162"/>
      <c r="G13" s="218"/>
      <c r="H13" s="105" t="s">
        <v>1649</v>
      </c>
    </row>
    <row r="14" spans="1:10" ht="24.9" customHeight="1">
      <c r="A14" s="159"/>
      <c r="B14" s="98" t="s">
        <v>102</v>
      </c>
      <c r="F14" s="162"/>
      <c r="G14" s="218"/>
      <c r="H14" s="105" t="s">
        <v>1650</v>
      </c>
    </row>
    <row r="15" spans="1:10" ht="24.9" customHeight="1">
      <c r="A15" s="159"/>
      <c r="B15" s="98" t="s">
        <v>193</v>
      </c>
      <c r="F15" s="162"/>
      <c r="G15" s="218"/>
      <c r="H15" s="105" t="s">
        <v>1651</v>
      </c>
    </row>
    <row r="16" spans="1:10" ht="24.9" customHeight="1">
      <c r="A16" s="159"/>
      <c r="B16" s="98" t="s">
        <v>307</v>
      </c>
      <c r="F16" s="161"/>
      <c r="G16" s="218"/>
      <c r="H16" s="105" t="s">
        <v>1652</v>
      </c>
    </row>
    <row r="17" spans="1:8" ht="24.9" customHeight="1">
      <c r="A17" s="159"/>
      <c r="B17" s="98" t="s">
        <v>308</v>
      </c>
      <c r="F17" s="161"/>
      <c r="G17" s="218"/>
      <c r="H17" s="105" t="s">
        <v>1653</v>
      </c>
    </row>
    <row r="18" spans="1:8" ht="24.9" customHeight="1">
      <c r="A18" s="159"/>
      <c r="B18" s="98" t="s">
        <v>601</v>
      </c>
      <c r="F18" s="161"/>
      <c r="G18" s="218"/>
      <c r="H18" s="105" t="s">
        <v>1654</v>
      </c>
    </row>
    <row r="19" spans="1:8" ht="24.9" customHeight="1">
      <c r="A19" s="159"/>
      <c r="B19" s="98" t="s">
        <v>288</v>
      </c>
      <c r="F19" s="161"/>
      <c r="G19" s="218"/>
      <c r="H19" s="105" t="s">
        <v>1655</v>
      </c>
    </row>
    <row r="20" spans="1:8" ht="24.9" customHeight="1">
      <c r="A20" s="159"/>
      <c r="B20" s="98" t="s">
        <v>1719</v>
      </c>
      <c r="H20" s="105" t="s">
        <v>1660</v>
      </c>
    </row>
    <row r="21" spans="1:8" ht="24.9" customHeight="1">
      <c r="A21" s="159"/>
      <c r="B21" s="98" t="s">
        <v>267</v>
      </c>
      <c r="H21" s="105" t="s">
        <v>1661</v>
      </c>
    </row>
    <row r="22" spans="1:8" ht="15.5">
      <c r="A22" s="159"/>
    </row>
    <row r="24" spans="1:8">
      <c r="B24" s="745" t="s">
        <v>1731</v>
      </c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4"/>
  <sheetViews>
    <sheetView showZeros="0" rightToLeft="1" zoomScaleNormal="100" workbookViewId="0">
      <pane xSplit="3" ySplit="4" topLeftCell="D80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4.1796875" style="12" customWidth="1"/>
    <col min="2" max="2" width="4.6328125" style="12" customWidth="1"/>
    <col min="3" max="3" width="22.1796875" style="18" customWidth="1"/>
    <col min="4" max="4" width="10.81640625" style="14" customWidth="1"/>
    <col min="5" max="11" width="10.81640625" style="14" hidden="1" customWidth="1"/>
    <col min="12" max="15" width="10.81640625" style="14" customWidth="1"/>
    <col min="16" max="19" width="10.81640625" style="14" hidden="1" customWidth="1"/>
    <col min="20" max="20" width="10.81640625" style="14" customWidth="1"/>
    <col min="21" max="23" width="10.81640625" style="12" customWidth="1"/>
    <col min="24" max="26" width="10.81640625" style="12" hidden="1" customWidth="1"/>
    <col min="27" max="27" width="10.81640625" style="12" customWidth="1"/>
    <col min="28" max="28" width="30.453125" style="18" customWidth="1"/>
    <col min="29" max="29" width="9.08984375" style="12" hidden="1" customWidth="1"/>
    <col min="30" max="30" width="11.453125" style="387" customWidth="1"/>
    <col min="31" max="31" width="14.6328125" style="387" customWidth="1"/>
    <col min="32" max="32" width="46" style="387" customWidth="1"/>
    <col min="33" max="16384" width="9.08984375" style="12"/>
  </cols>
  <sheetData>
    <row r="1" spans="1:32" s="28" customFormat="1" ht="18">
      <c r="A1" s="27"/>
      <c r="B1" s="27"/>
      <c r="C1" s="71"/>
      <c r="J1" s="14"/>
      <c r="K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410"/>
      <c r="X1" s="410"/>
      <c r="Y1" s="410"/>
      <c r="Z1" s="410"/>
      <c r="AA1" s="410"/>
      <c r="AB1" s="410"/>
      <c r="AD1" s="387"/>
      <c r="AE1" s="387"/>
      <c r="AF1" s="387"/>
    </row>
    <row r="2" spans="1:32" ht="18">
      <c r="A2" s="71" t="s">
        <v>501</v>
      </c>
      <c r="B2" s="27"/>
      <c r="C2" s="277"/>
      <c r="D2" s="28"/>
      <c r="E2" s="28"/>
      <c r="F2" s="28"/>
      <c r="K2" s="27"/>
      <c r="M2" s="408"/>
      <c r="N2" s="408"/>
      <c r="O2" s="408"/>
      <c r="P2" s="408"/>
      <c r="Q2" s="408"/>
      <c r="R2" s="408"/>
      <c r="S2" s="408"/>
      <c r="T2" s="408"/>
      <c r="U2" s="410"/>
      <c r="V2" s="410"/>
      <c r="W2" s="410"/>
      <c r="X2" s="410"/>
      <c r="Y2" s="410"/>
      <c r="Z2" s="410"/>
      <c r="AA2" s="410"/>
      <c r="AB2" s="410"/>
    </row>
    <row r="3" spans="1:32" ht="24.65" customHeight="1">
      <c r="D3" s="409"/>
      <c r="E3" s="13"/>
      <c r="F3" s="13"/>
      <c r="G3" s="618"/>
      <c r="H3" s="13"/>
      <c r="I3" s="13"/>
      <c r="J3" s="13"/>
      <c r="K3" s="13"/>
      <c r="L3" s="409"/>
      <c r="M3" s="616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</row>
    <row r="4" spans="1:32" s="30" customFormat="1" ht="86.25" customHeight="1">
      <c r="A4" s="9" t="s">
        <v>0</v>
      </c>
      <c r="B4" s="9" t="s">
        <v>1</v>
      </c>
      <c r="C4" s="9" t="s">
        <v>2</v>
      </c>
      <c r="D4" s="9" t="s">
        <v>98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178</v>
      </c>
      <c r="K4" s="9" t="s">
        <v>10</v>
      </c>
      <c r="L4" s="9" t="s">
        <v>11</v>
      </c>
      <c r="M4" s="9" t="s">
        <v>936</v>
      </c>
      <c r="N4" s="9" t="s">
        <v>1349</v>
      </c>
      <c r="O4" s="9" t="s">
        <v>938</v>
      </c>
      <c r="P4" s="9" t="s">
        <v>12</v>
      </c>
      <c r="Q4" s="169" t="s">
        <v>939</v>
      </c>
      <c r="R4" s="9" t="s">
        <v>940</v>
      </c>
      <c r="S4" s="9" t="s">
        <v>941</v>
      </c>
      <c r="T4" s="9" t="s">
        <v>942</v>
      </c>
      <c r="U4" s="9" t="s">
        <v>943</v>
      </c>
      <c r="V4" s="9" t="s">
        <v>13</v>
      </c>
      <c r="W4" s="9" t="s">
        <v>14</v>
      </c>
      <c r="X4" s="9" t="s">
        <v>15</v>
      </c>
      <c r="Y4" s="9" t="s">
        <v>301</v>
      </c>
      <c r="Z4" s="9" t="s">
        <v>1391</v>
      </c>
      <c r="AA4" s="9" t="s">
        <v>91</v>
      </c>
      <c r="AB4" s="16" t="s">
        <v>344</v>
      </c>
      <c r="AC4" s="9" t="s">
        <v>16</v>
      </c>
      <c r="AD4" s="387"/>
      <c r="AE4" s="387"/>
      <c r="AF4" s="387"/>
    </row>
    <row r="5" spans="1:32" s="5" customFormat="1" ht="30" customHeight="1">
      <c r="A5" s="3">
        <v>1</v>
      </c>
      <c r="B5" s="3">
        <f>'תקציב הנדסה 2021'!B5</f>
        <v>179</v>
      </c>
      <c r="C5" s="280" t="str">
        <f>'תקציב הנדסה 2021'!C5</f>
        <v>יעודי קרקע -מפת בסיס</v>
      </c>
      <c r="D5" s="4">
        <f>'תקציב הנדסה 2021'!D5</f>
        <v>3170250</v>
      </c>
      <c r="E5" s="4">
        <f>'תקציב הנדסה 2021'!E5</f>
        <v>3170250</v>
      </c>
      <c r="F5" s="4">
        <f>'תקציב הנדסה 2021'!F5</f>
        <v>0</v>
      </c>
      <c r="G5" s="4">
        <f>'תקציב הנדסה 2021'!G5</f>
        <v>3100250</v>
      </c>
      <c r="H5" s="4">
        <f>'תקציב הנדסה 2021'!H5</f>
        <v>2882694</v>
      </c>
      <c r="I5" s="4">
        <f>'תקציב הנדסה 2021'!I5</f>
        <v>0</v>
      </c>
      <c r="J5" s="4">
        <f>'תקציב הנדסה 2021'!J5</f>
        <v>52913</v>
      </c>
      <c r="K5" s="4">
        <f>'תקציב הנדסה 2021'!K5</f>
        <v>52913</v>
      </c>
      <c r="L5" s="4">
        <f>'תקציב הנדסה 2021'!L5</f>
        <v>2935607</v>
      </c>
      <c r="M5" s="4">
        <f>'תקציב הנדסה 2021'!M5</f>
        <v>4643</v>
      </c>
      <c r="N5" s="4">
        <f>'תקציב הנדסה 2021'!N5</f>
        <v>160000</v>
      </c>
      <c r="O5" s="4">
        <f>'תקציב הנדסה 2021'!O5</f>
        <v>70000</v>
      </c>
      <c r="P5" s="4">
        <f>'תקציב הנדסה 2021'!P5</f>
        <v>164643</v>
      </c>
      <c r="Q5" s="4">
        <f>'תקציב הנדסה 2021'!Q5</f>
        <v>0</v>
      </c>
      <c r="R5" s="4">
        <f>'תקציב הנדסה 2021'!R5</f>
        <v>0</v>
      </c>
      <c r="S5" s="4">
        <f>'תקציב הנדסה 2021'!S5</f>
        <v>0</v>
      </c>
      <c r="T5" s="4">
        <f>'תקציב הנדסה 2021'!T5</f>
        <v>160000</v>
      </c>
      <c r="U5" s="4">
        <f>'תקציב הנדסה 2021'!U5</f>
        <v>0</v>
      </c>
      <c r="V5" s="4">
        <f>'תקציב הנדסה 2021'!V5</f>
        <v>0</v>
      </c>
      <c r="W5" s="4">
        <f>'תקציב הנדסה 2021'!W5</f>
        <v>0</v>
      </c>
      <c r="X5" s="4">
        <f>'תקציב הנדסה 2021'!X5</f>
        <v>0</v>
      </c>
      <c r="Y5" s="4">
        <f>'תקציב הנדסה 2021'!Y5</f>
        <v>0</v>
      </c>
      <c r="Z5" s="4">
        <f>'תקציב הנדסה 2021'!Z5</f>
        <v>0</v>
      </c>
      <c r="AA5" s="4">
        <f>'תקציב הנדסה 2021'!AA5</f>
        <v>0</v>
      </c>
      <c r="AB5" s="72" t="str">
        <f>'תקציב הנדסה 2021'!AB5</f>
        <v>עדכון מע. מידע הנדסי כתוצאה משינוי ייעודי קרקע עקב החלטות ועדות התכנון.</v>
      </c>
      <c r="AC5" s="3">
        <f>'תקציב הנדסה 2021'!AC5</f>
        <v>732000</v>
      </c>
      <c r="AD5" s="387"/>
      <c r="AE5" s="387"/>
      <c r="AF5" s="387"/>
    </row>
    <row r="6" spans="1:32" s="5" customFormat="1" ht="30" customHeight="1">
      <c r="A6" s="3">
        <f>A5+1</f>
        <v>2</v>
      </c>
      <c r="B6" s="3">
        <f>'תקציב הנדסה 2021'!B6</f>
        <v>304</v>
      </c>
      <c r="C6" s="280" t="str">
        <f>'תקציב הנדסה 2021'!C6</f>
        <v>פיתוח פארק הבאסה</v>
      </c>
      <c r="D6" s="4">
        <f>'תקציב הנדסה 2021'!D6</f>
        <v>54930000</v>
      </c>
      <c r="E6" s="4">
        <f>'תקציב הנדסה 2021'!E6</f>
        <v>54930000</v>
      </c>
      <c r="F6" s="4">
        <f>'תקציב הנדסה 2021'!F6</f>
        <v>0</v>
      </c>
      <c r="G6" s="4">
        <f>'תקציב הנדסה 2021'!G6</f>
        <v>54930000</v>
      </c>
      <c r="H6" s="4">
        <f>'תקציב הנדסה 2021'!H6</f>
        <v>54780523</v>
      </c>
      <c r="I6" s="4">
        <f>'תקציב הנדסה 2021'!I6</f>
        <v>149074</v>
      </c>
      <c r="J6" s="4">
        <f>'תקציב הנדסה 2021'!J6</f>
        <v>0</v>
      </c>
      <c r="K6" s="4">
        <f>'תקציב הנדסה 2021'!K6</f>
        <v>149074</v>
      </c>
      <c r="L6" s="4">
        <f>'תקציב הנדסה 2021'!L6</f>
        <v>54929597</v>
      </c>
      <c r="M6" s="4">
        <f>'תקציב הנדסה 2021'!M6</f>
        <v>403</v>
      </c>
      <c r="N6" s="4">
        <f>'תקציב הנדסה 2021'!N6</f>
        <v>0</v>
      </c>
      <c r="O6" s="4">
        <f>'תקציב הנדסה 2021'!O6</f>
        <v>0</v>
      </c>
      <c r="P6" s="4">
        <f>'תקציב הנדסה 2021'!P6</f>
        <v>403</v>
      </c>
      <c r="Q6" s="4">
        <f>'תקציב הנדסה 2021'!Q6</f>
        <v>0</v>
      </c>
      <c r="R6" s="4">
        <f>'תקציב הנדסה 2021'!R6</f>
        <v>0</v>
      </c>
      <c r="S6" s="4">
        <f>'תקציב הנדסה 2021'!S6</f>
        <v>0</v>
      </c>
      <c r="T6" s="4">
        <f>'תקציב הנדסה 2021'!T6</f>
        <v>0</v>
      </c>
      <c r="U6" s="4">
        <f>'תקציב הנדסה 2021'!U6</f>
        <v>0</v>
      </c>
      <c r="V6" s="4">
        <f>'תקציב הנדסה 2021'!V6</f>
        <v>0</v>
      </c>
      <c r="W6" s="4">
        <f>'תקציב הנדסה 2021'!W6</f>
        <v>0</v>
      </c>
      <c r="X6" s="4">
        <f>'תקציב הנדסה 2021'!X6</f>
        <v>0</v>
      </c>
      <c r="Y6" s="4">
        <f>'תקציב הנדסה 2021'!Y6</f>
        <v>0</v>
      </c>
      <c r="Z6" s="4">
        <f>'תקציב הנדסה 2021'!Z6</f>
        <v>0</v>
      </c>
      <c r="AA6" s="4">
        <f>'תקציב הנדסה 2021'!AA6</f>
        <v>0</v>
      </c>
      <c r="AB6" s="72" t="str">
        <f>'תקציב הנדסה 2021'!AB6</f>
        <v>התב"ר לסגירה.</v>
      </c>
      <c r="AC6" s="3">
        <f>'תקציב הנדסה 2021'!AC6</f>
        <v>746000</v>
      </c>
      <c r="AD6" s="387"/>
      <c r="AE6" s="387"/>
      <c r="AF6" s="387"/>
    </row>
    <row r="7" spans="1:32" s="5" customFormat="1" ht="30" customHeight="1">
      <c r="A7" s="3">
        <f t="shared" ref="A7:A70" si="0">A6+1</f>
        <v>3</v>
      </c>
      <c r="B7" s="3">
        <f>'תקציב הנדסה 2021'!B7</f>
        <v>507</v>
      </c>
      <c r="C7" s="280" t="str">
        <f>'תקציב הנדסה 2021'!C7</f>
        <v>החלפת מדרכות</v>
      </c>
      <c r="D7" s="4">
        <f>'תקציב הנדסה 2021'!D7</f>
        <v>1965000</v>
      </c>
      <c r="E7" s="4">
        <f>'תקציב הנדסה 2021'!E7</f>
        <v>2310000</v>
      </c>
      <c r="F7" s="4">
        <f>'תקציב הנדסה 2021'!F7</f>
        <v>-345000</v>
      </c>
      <c r="G7" s="4">
        <f>'תקציב הנדסה 2021'!G7</f>
        <v>1965000</v>
      </c>
      <c r="H7" s="4">
        <f>'תקציב הנדסה 2021'!H7</f>
        <v>1653104</v>
      </c>
      <c r="I7" s="4">
        <f>'תקציב הנדסה 2021'!I7</f>
        <v>0</v>
      </c>
      <c r="J7" s="4">
        <f>'תקציב הנדסה 2021'!J7</f>
        <v>18103</v>
      </c>
      <c r="K7" s="4">
        <f>'תקציב הנדסה 2021'!K7</f>
        <v>18103</v>
      </c>
      <c r="L7" s="4">
        <f>'תקציב הנדסה 2021'!L7</f>
        <v>1671207</v>
      </c>
      <c r="M7" s="4">
        <f>'תקציב הנדסה 2021'!M7</f>
        <v>93793</v>
      </c>
      <c r="N7" s="4">
        <f>'תקציב הנדסה 2021'!N7</f>
        <v>200000</v>
      </c>
      <c r="O7" s="4">
        <f>'תקציב הנדסה 2021'!O7</f>
        <v>0</v>
      </c>
      <c r="P7" s="4">
        <f>'תקציב הנדסה 2021'!P7</f>
        <v>293793</v>
      </c>
      <c r="Q7" s="4">
        <f>'תקציב הנדסה 2021'!Q7</f>
        <v>0</v>
      </c>
      <c r="R7" s="4">
        <f>'תקציב הנדסה 2021'!R7</f>
        <v>0</v>
      </c>
      <c r="S7" s="4">
        <f>'תקציב הנדסה 2021'!S7</f>
        <v>0</v>
      </c>
      <c r="T7" s="4">
        <f>'תקציב הנדסה 2021'!T7</f>
        <v>200000</v>
      </c>
      <c r="U7" s="4">
        <f>'תקציב הנדסה 2021'!U7</f>
        <v>0</v>
      </c>
      <c r="V7" s="4">
        <f>'תקציב הנדסה 2021'!V7</f>
        <v>0</v>
      </c>
      <c r="W7" s="4">
        <f>'תקציב הנדסה 2021'!W7</f>
        <v>0</v>
      </c>
      <c r="X7" s="4">
        <f>'תקציב הנדסה 2021'!X7</f>
        <v>0</v>
      </c>
      <c r="Y7" s="4">
        <f>'תקציב הנדסה 2021'!Y7</f>
        <v>0</v>
      </c>
      <c r="Z7" s="4">
        <f>'תקציב הנדסה 2021'!Z7</f>
        <v>0</v>
      </c>
      <c r="AA7" s="4">
        <f>'תקציב הנדסה 2021'!AA7</f>
        <v>0</v>
      </c>
      <c r="AB7" s="72" t="str">
        <f>'תקציב הנדסה 2021'!AB7</f>
        <v>מסגרת ביצוע  עבודות מדרכות לאחר השלמת עבודות בניה כתוצאה מהיתרים.</v>
      </c>
      <c r="AC7" s="3">
        <f>'תקציב הנדסה 2021'!AC7</f>
        <v>742000</v>
      </c>
      <c r="AD7" s="387"/>
      <c r="AE7" s="387"/>
      <c r="AF7" s="387"/>
    </row>
    <row r="8" spans="1:32" s="5" customFormat="1" ht="30" customHeight="1">
      <c r="A8" s="3">
        <f t="shared" si="0"/>
        <v>4</v>
      </c>
      <c r="B8" s="3">
        <f>'תקציב הנדסה 2021'!B8</f>
        <v>546</v>
      </c>
      <c r="C8" s="280" t="str">
        <f>'תקציב הנדסה 2021'!C8</f>
        <v>מתחם הגאון מוילנא חתם סופר</v>
      </c>
      <c r="D8" s="4">
        <f>'תקציב הנדסה 2021'!D8</f>
        <v>2920000</v>
      </c>
      <c r="E8" s="4">
        <f>'תקציב הנדסה 2021'!E8</f>
        <v>2920000</v>
      </c>
      <c r="F8" s="4">
        <f>'תקציב הנדסה 2021'!F8</f>
        <v>0</v>
      </c>
      <c r="G8" s="4">
        <f>'תקציב הנדסה 2021'!G8</f>
        <v>2920000</v>
      </c>
      <c r="H8" s="4">
        <f>'תקציב הנדסה 2021'!H8</f>
        <v>2895703</v>
      </c>
      <c r="I8" s="4">
        <f>'תקציב הנדסה 2021'!I8</f>
        <v>0</v>
      </c>
      <c r="J8" s="4">
        <f>'תקציב הנדסה 2021'!J8</f>
        <v>18053</v>
      </c>
      <c r="K8" s="4">
        <f>'תקציב הנדסה 2021'!K8</f>
        <v>18053</v>
      </c>
      <c r="L8" s="4">
        <f>'תקציב הנדסה 2021'!L8</f>
        <v>2913756</v>
      </c>
      <c r="M8" s="4">
        <f>'תקציב הנדסה 2021'!M8</f>
        <v>6244</v>
      </c>
      <c r="N8" s="4">
        <f>'תקציב הנדסה 2021'!N8</f>
        <v>0</v>
      </c>
      <c r="O8" s="4">
        <f>'תקציב הנדסה 2021'!O8</f>
        <v>0</v>
      </c>
      <c r="P8" s="4">
        <f>'תקציב הנדסה 2021'!P8</f>
        <v>6244</v>
      </c>
      <c r="Q8" s="4">
        <f>'תקציב הנדסה 2021'!Q8</f>
        <v>0</v>
      </c>
      <c r="R8" s="4">
        <f>'תקציב הנדסה 2021'!R8</f>
        <v>0</v>
      </c>
      <c r="S8" s="4">
        <f>'תקציב הנדסה 2021'!S8</f>
        <v>0</v>
      </c>
      <c r="T8" s="4">
        <f>'תקציב הנדסה 2021'!T8</f>
        <v>0</v>
      </c>
      <c r="U8" s="4">
        <f>'תקציב הנדסה 2021'!U8</f>
        <v>0</v>
      </c>
      <c r="V8" s="4">
        <f>'תקציב הנדסה 2021'!V8</f>
        <v>0</v>
      </c>
      <c r="W8" s="4">
        <f>'תקציב הנדסה 2021'!W8</f>
        <v>0</v>
      </c>
      <c r="X8" s="4">
        <f>'תקציב הנדסה 2021'!X8</f>
        <v>0</v>
      </c>
      <c r="Y8" s="4">
        <f>'תקציב הנדסה 2021'!Y8</f>
        <v>0</v>
      </c>
      <c r="Z8" s="4">
        <f>'תקציב הנדסה 2021'!Z8</f>
        <v>0</v>
      </c>
      <c r="AA8" s="4">
        <f>'תקציב הנדסה 2021'!AA8</f>
        <v>0</v>
      </c>
      <c r="AB8" s="72" t="str">
        <f>'תקציב הנדסה 2021'!AB8</f>
        <v>התב"ר לסגירה.</v>
      </c>
      <c r="AC8" s="3">
        <f>'תקציב הנדסה 2021'!AC8</f>
        <v>742000</v>
      </c>
      <c r="AD8" s="387"/>
      <c r="AE8" s="387"/>
      <c r="AF8" s="387"/>
    </row>
    <row r="9" spans="1:32" s="5" customFormat="1" ht="30" customHeight="1">
      <c r="A9" s="3">
        <f t="shared" si="0"/>
        <v>5</v>
      </c>
      <c r="B9" s="3">
        <f>'תקציב הנדסה 2021'!B9</f>
        <v>592</v>
      </c>
      <c r="C9" s="280" t="str">
        <f>'תקציב הנדסה 2021'!C9</f>
        <v>מתחם הבריגדה מתחם הר' 1960</v>
      </c>
      <c r="D9" s="4">
        <f>'תקציב הנדסה 2021'!D9</f>
        <v>54893000</v>
      </c>
      <c r="E9" s="4">
        <f>'תקציב הנדסה 2021'!E9</f>
        <v>54893000</v>
      </c>
      <c r="F9" s="4">
        <f>'תקציב הנדסה 2021'!F9</f>
        <v>0</v>
      </c>
      <c r="G9" s="4">
        <f>'תקציב הנדסה 2021'!G9</f>
        <v>22020000</v>
      </c>
      <c r="H9" s="4">
        <f>'תקציב הנדסה 2021'!H9</f>
        <v>19123122</v>
      </c>
      <c r="I9" s="4">
        <f>'תקציב הנדסה 2021'!I9</f>
        <v>149112</v>
      </c>
      <c r="J9" s="4">
        <f>'תקציב הנדסה 2021'!J9</f>
        <v>1050364</v>
      </c>
      <c r="K9" s="4">
        <f>'תקציב הנדסה 2021'!K9</f>
        <v>1199476</v>
      </c>
      <c r="L9" s="4">
        <f>'תקציב הנדסה 2021'!L9</f>
        <v>20322598</v>
      </c>
      <c r="M9" s="4">
        <f>'תקציב הנדסה 2021'!M9</f>
        <v>97402</v>
      </c>
      <c r="N9" s="4">
        <f>'תקציב הנדסה 2021'!N9</f>
        <v>1000000</v>
      </c>
      <c r="O9" s="4">
        <f>'תקציב הנדסה 2021'!O9</f>
        <v>33473000</v>
      </c>
      <c r="P9" s="4">
        <f>'תקציב הנדסה 2021'!P9</f>
        <v>1697402</v>
      </c>
      <c r="Q9" s="4">
        <f>'תקציב הנדסה 2021'!Q9</f>
        <v>0</v>
      </c>
      <c r="R9" s="4">
        <f>'תקציב הנדסה 2021'!R9</f>
        <v>0</v>
      </c>
      <c r="S9" s="4">
        <f>'תקציב הנדסה 2021'!S9</f>
        <v>0</v>
      </c>
      <c r="T9" s="4">
        <f>'תקציב הנדסה 2021'!T9</f>
        <v>1600000</v>
      </c>
      <c r="U9" s="4">
        <f>'תקציב הנדסה 2021'!U9</f>
        <v>-600000</v>
      </c>
      <c r="V9" s="4">
        <f>'תקציב הנדסה 2021'!V9</f>
        <v>-600000</v>
      </c>
      <c r="W9" s="4">
        <f>'תקציב הנדסה 2021'!W9</f>
        <v>0</v>
      </c>
      <c r="X9" s="4">
        <f>'תקציב הנדסה 2021'!X9</f>
        <v>0</v>
      </c>
      <c r="Y9" s="4">
        <f>'תקציב הנדסה 2021'!Y9</f>
        <v>0</v>
      </c>
      <c r="Z9" s="4">
        <f>'תקציב הנדסה 2021'!Z9</f>
        <v>0</v>
      </c>
      <c r="AA9" s="4">
        <f>'תקציב הנדסה 2021'!AA9</f>
        <v>0</v>
      </c>
      <c r="AB9" s="72" t="str">
        <f>'תקציב הנדסה 2021'!AB9</f>
        <v xml:space="preserve">השלמת ביצוע  עבודות סלילה ופיתוח סופי רח' דן שומרון. תכנון רח' דורי. </v>
      </c>
      <c r="AC9" s="3">
        <f>'תקציב הנדסה 2021'!AC9</f>
        <v>742000</v>
      </c>
      <c r="AD9" s="387"/>
      <c r="AE9" s="387"/>
      <c r="AF9" s="387"/>
    </row>
    <row r="10" spans="1:32" s="5" customFormat="1" ht="30" customHeight="1">
      <c r="A10" s="3">
        <f t="shared" si="0"/>
        <v>6</v>
      </c>
      <c r="B10" s="3">
        <f>'תקציב הנדסה 2021'!B10</f>
        <v>608</v>
      </c>
      <c r="C10" s="280" t="str">
        <f>'תקציב הנדסה 2021'!C10</f>
        <v>עבודות ניקוז בעיר</v>
      </c>
      <c r="D10" s="4">
        <f>'תקציב הנדסה 2021'!D10</f>
        <v>8300000</v>
      </c>
      <c r="E10" s="4">
        <f>'תקציב הנדסה 2021'!E10</f>
        <v>8300000</v>
      </c>
      <c r="F10" s="4">
        <f>'תקציב הנדסה 2021'!F10</f>
        <v>0</v>
      </c>
      <c r="G10" s="4">
        <f>'תקציב הנדסה 2021'!G10</f>
        <v>6200000</v>
      </c>
      <c r="H10" s="4">
        <f>'תקציב הנדסה 2021'!H10</f>
        <v>5671797</v>
      </c>
      <c r="I10" s="4">
        <f>'תקציב הנדסה 2021'!I10</f>
        <v>0</v>
      </c>
      <c r="J10" s="4">
        <f>'תקציב הנדסה 2021'!J10</f>
        <v>110351</v>
      </c>
      <c r="K10" s="4">
        <f>'תקציב הנדסה 2021'!K10</f>
        <v>110351</v>
      </c>
      <c r="L10" s="4">
        <f>'תקציב הנדסה 2021'!L10</f>
        <v>5782148</v>
      </c>
      <c r="M10" s="4">
        <f>'תקציב הנדסה 2021'!M10</f>
        <v>17852</v>
      </c>
      <c r="N10" s="4">
        <f>'תקציב הנדסה 2021'!N10</f>
        <v>400000</v>
      </c>
      <c r="O10" s="4">
        <f>'תקציב הנדסה 2021'!O10</f>
        <v>2100000</v>
      </c>
      <c r="P10" s="4">
        <f>'תקציב הנדסה 2021'!P10</f>
        <v>417852</v>
      </c>
      <c r="Q10" s="4">
        <f>'תקציב הנדסה 2021'!Q10</f>
        <v>0</v>
      </c>
      <c r="R10" s="4">
        <f>'תקציב הנדסה 2021'!R10</f>
        <v>0</v>
      </c>
      <c r="S10" s="4">
        <f>'תקציב הנדסה 2021'!S10</f>
        <v>0</v>
      </c>
      <c r="T10" s="4">
        <f>'תקציב הנדסה 2021'!T10</f>
        <v>400000</v>
      </c>
      <c r="U10" s="4">
        <f>'תקציב הנדסה 2021'!U10</f>
        <v>0</v>
      </c>
      <c r="V10" s="4">
        <f>'תקציב הנדסה 2021'!V10</f>
        <v>0</v>
      </c>
      <c r="W10" s="4">
        <f>'תקציב הנדסה 2021'!W10</f>
        <v>0</v>
      </c>
      <c r="X10" s="4">
        <f>'תקציב הנדסה 2021'!X10</f>
        <v>0</v>
      </c>
      <c r="Y10" s="4">
        <f>'תקציב הנדסה 2021'!Y10</f>
        <v>0</v>
      </c>
      <c r="Z10" s="4">
        <f>'תקציב הנדסה 2021'!Z10</f>
        <v>0</v>
      </c>
      <c r="AA10" s="4">
        <f>'תקציב הנדסה 2021'!AA10</f>
        <v>0</v>
      </c>
      <c r="AB10" s="72" t="str">
        <f>'תקציב הנדסה 2021'!AB10</f>
        <v>סל עבודות ניקוז ברחבי העיר .</v>
      </c>
      <c r="AC10" s="3">
        <f>'תקציב הנדסה 2021'!AC10</f>
        <v>745000</v>
      </c>
      <c r="AD10" s="387"/>
      <c r="AE10" s="387"/>
      <c r="AF10" s="387"/>
    </row>
    <row r="11" spans="1:32" s="6" customFormat="1" ht="56">
      <c r="A11" s="3">
        <f t="shared" si="0"/>
        <v>7</v>
      </c>
      <c r="B11" s="3">
        <f>'תקציב הנדסה 2021'!B11</f>
        <v>626</v>
      </c>
      <c r="C11" s="280" t="str">
        <f>'תקציב הנדסה 2021'!C11</f>
        <v xml:space="preserve">תכנון וביצוע  תוכנית אב לשבילי אופניים </v>
      </c>
      <c r="D11" s="4">
        <f>'תקציב הנדסה 2021'!D11</f>
        <v>34775000</v>
      </c>
      <c r="E11" s="4">
        <f>'תקציב הנדסה 2021'!E11</f>
        <v>25195000</v>
      </c>
      <c r="F11" s="4">
        <f>'תקציב הנדסה 2021'!F11</f>
        <v>9580000</v>
      </c>
      <c r="G11" s="4">
        <f>'תקציב הנדסה 2021'!G11</f>
        <v>17775000</v>
      </c>
      <c r="H11" s="4">
        <f>'תקציב הנדסה 2021'!H11</f>
        <v>13581452</v>
      </c>
      <c r="I11" s="4">
        <f>'תקציב הנדסה 2021'!I11</f>
        <v>0</v>
      </c>
      <c r="J11" s="4">
        <f>'תקציב הנדסה 2021'!J11</f>
        <v>378075</v>
      </c>
      <c r="K11" s="4">
        <f>'תקציב הנדסה 2021'!K11</f>
        <v>378075</v>
      </c>
      <c r="L11" s="4">
        <f>'תקציב הנדסה 2021'!L11</f>
        <v>13959527</v>
      </c>
      <c r="M11" s="4">
        <f>'תקציב הנדסה 2021'!M11</f>
        <v>315473</v>
      </c>
      <c r="N11" s="4">
        <f>'תקציב הנדסה 2021'!N11</f>
        <v>8000000</v>
      </c>
      <c r="O11" s="4">
        <f>'תקציב הנדסה 2021'!O11</f>
        <v>12500000</v>
      </c>
      <c r="P11" s="4">
        <f>'תקציב הנדסה 2021'!P11</f>
        <v>3815473</v>
      </c>
      <c r="Q11" s="4">
        <f>'תקציב הנדסה 2021'!Q11</f>
        <v>0</v>
      </c>
      <c r="R11" s="4">
        <f>'תקציב הנדסה 2021'!R11</f>
        <v>0</v>
      </c>
      <c r="S11" s="4">
        <f>'תקציב הנדסה 2021'!S11</f>
        <v>0</v>
      </c>
      <c r="T11" s="4">
        <f>'תקציב הנדסה 2021'!T11</f>
        <v>3500000</v>
      </c>
      <c r="U11" s="4">
        <f>'תקציב הנדסה 2021'!U11</f>
        <v>4500000</v>
      </c>
      <c r="V11" s="4">
        <f>'תקציב הנדסה 2021'!V11</f>
        <v>2500000</v>
      </c>
      <c r="W11" s="4">
        <f>'תקציב הנדסה 2021'!W11</f>
        <v>0</v>
      </c>
      <c r="X11" s="4">
        <f>'תקציב הנדסה 2021'!X11</f>
        <v>0</v>
      </c>
      <c r="Y11" s="4">
        <f>'תקציב הנדסה 2021'!Y11</f>
        <v>0</v>
      </c>
      <c r="Z11" s="4">
        <f>'תקציב הנדסה 2021'!Z11</f>
        <v>0</v>
      </c>
      <c r="AA11" s="4">
        <f>'תקציב הנדסה 2021'!AA11</f>
        <v>2000000</v>
      </c>
      <c r="AB11" s="72" t="str">
        <f>'תקציב הנדסה 2021'!AB11</f>
        <v>תכנון וביצוע שבילי אופנים ברחבי העיר .  תכנון וביצוע: אלטנוילנד , ז'בוטינסקי , העצמאות , הדר. מימון מ. הפיס.</v>
      </c>
      <c r="AC11" s="3">
        <f>'תקציב הנדסה 2021'!AC11</f>
        <v>732000</v>
      </c>
      <c r="AD11" s="387"/>
      <c r="AE11" s="387"/>
      <c r="AF11" s="387"/>
    </row>
    <row r="12" spans="1:32" s="5" customFormat="1" ht="30" customHeight="1">
      <c r="A12" s="3">
        <f t="shared" si="0"/>
        <v>8</v>
      </c>
      <c r="B12" s="3">
        <f>'תקציב הנדסה 2021'!B12</f>
        <v>638</v>
      </c>
      <c r="C12" s="280" t="str">
        <f>'תקציב הנדסה 2021'!C12</f>
        <v>פיתוח מתחם רזיאל מע' תב"ע 1706</v>
      </c>
      <c r="D12" s="4">
        <f>'תקציב הנדסה 2021'!D12</f>
        <v>7000000</v>
      </c>
      <c r="E12" s="4">
        <f>'תקציב הנדסה 2021'!E12</f>
        <v>7000000</v>
      </c>
      <c r="F12" s="4">
        <f>'תקציב הנדסה 2021'!F12</f>
        <v>0</v>
      </c>
      <c r="G12" s="4">
        <f>'תקציב הנדסה 2021'!G12</f>
        <v>3936000</v>
      </c>
      <c r="H12" s="4">
        <f>'תקציב הנדסה 2021'!H12</f>
        <v>3713997</v>
      </c>
      <c r="I12" s="4">
        <f>'תקציב הנדסה 2021'!I12</f>
        <v>0</v>
      </c>
      <c r="J12" s="4">
        <f>'תקציב הנדסה 2021'!J12</f>
        <v>221161</v>
      </c>
      <c r="K12" s="4">
        <f>'תקציב הנדסה 2021'!K12</f>
        <v>221161</v>
      </c>
      <c r="L12" s="4">
        <f>'תקציב הנדסה 2021'!L12</f>
        <v>3935158</v>
      </c>
      <c r="M12" s="4">
        <f>'תקציב הנדסה 2021'!M12</f>
        <v>842</v>
      </c>
      <c r="N12" s="4">
        <f>'תקציב הנדסה 2021'!N12</f>
        <v>1500000</v>
      </c>
      <c r="O12" s="4">
        <f>'תקציב הנדסה 2021'!O12</f>
        <v>1564000</v>
      </c>
      <c r="P12" s="4">
        <f>'תקציב הנדסה 2021'!P12</f>
        <v>842</v>
      </c>
      <c r="Q12" s="4">
        <f>'תקציב הנדסה 2021'!Q12</f>
        <v>0</v>
      </c>
      <c r="R12" s="4">
        <f>'תקציב הנדסה 2021'!R12</f>
        <v>0</v>
      </c>
      <c r="S12" s="4">
        <f>'תקציב הנדסה 2021'!S12</f>
        <v>0</v>
      </c>
      <c r="T12" s="4">
        <f>'תקציב הנדסה 2021'!T12</f>
        <v>0</v>
      </c>
      <c r="U12" s="4">
        <f>'תקציב הנדסה 2021'!U12</f>
        <v>1500000</v>
      </c>
      <c r="V12" s="4">
        <f>'תקציב הנדסה 2021'!V12</f>
        <v>1500000</v>
      </c>
      <c r="W12" s="4">
        <f>'תקציב הנדסה 2021'!W12</f>
        <v>0</v>
      </c>
      <c r="X12" s="4">
        <f>'תקציב הנדסה 2021'!X12</f>
        <v>0</v>
      </c>
      <c r="Y12" s="4">
        <f>'תקציב הנדסה 2021'!Y12</f>
        <v>0</v>
      </c>
      <c r="Z12" s="4">
        <f>'תקציב הנדסה 2021'!Z12</f>
        <v>0</v>
      </c>
      <c r="AA12" s="4">
        <f>'תקציב הנדסה 2021'!AA12</f>
        <v>0</v>
      </c>
      <c r="AB12" s="72" t="str">
        <f>'תקציב הנדסה 2021'!AB12</f>
        <v>פיתוח  סופי ברח' זאב במתחם והתחברות כביש סלילה ליהודה הנשיא.</v>
      </c>
      <c r="AC12" s="3">
        <f>'תקציב הנדסה 2021'!AC12</f>
        <v>742000</v>
      </c>
      <c r="AD12" s="387"/>
      <c r="AE12" s="387"/>
      <c r="AF12" s="387"/>
    </row>
    <row r="13" spans="1:32" s="5" customFormat="1" ht="42">
      <c r="A13" s="3">
        <f t="shared" si="0"/>
        <v>9</v>
      </c>
      <c r="B13" s="3">
        <f>'תקציב הנדסה 2021'!B13</f>
        <v>1018</v>
      </c>
      <c r="C13" s="280" t="str">
        <f>'תקציב הנדסה 2021'!C13</f>
        <v>מחלף הרב מכר</v>
      </c>
      <c r="D13" s="4">
        <f>'תקציב הנדסה 2021'!D13</f>
        <v>31900000</v>
      </c>
      <c r="E13" s="4">
        <f>'תקציב הנדסה 2021'!E13</f>
        <v>31900000</v>
      </c>
      <c r="F13" s="4">
        <f>'תקציב הנדסה 2021'!F13</f>
        <v>0</v>
      </c>
      <c r="G13" s="4">
        <f>'תקציב הנדסה 2021'!G13</f>
        <v>3150000</v>
      </c>
      <c r="H13" s="4">
        <f>'תקציב הנדסה 2021'!H13</f>
        <v>3059671</v>
      </c>
      <c r="I13" s="4">
        <f>'תקציב הנדסה 2021'!I13</f>
        <v>84193</v>
      </c>
      <c r="J13" s="4">
        <f>'תקציב הנדסה 2021'!J13</f>
        <v>0</v>
      </c>
      <c r="K13" s="4">
        <f>'תקציב הנדסה 2021'!K13</f>
        <v>84193</v>
      </c>
      <c r="L13" s="4">
        <f>'תקציב הנדסה 2021'!L13</f>
        <v>3143864</v>
      </c>
      <c r="M13" s="4">
        <f>'תקציב הנדסה 2021'!M13</f>
        <v>6136</v>
      </c>
      <c r="N13" s="4">
        <f>'תקציב הנדסה 2021'!N13</f>
        <v>0</v>
      </c>
      <c r="O13" s="4">
        <f>'תקציב הנדסה 2021'!O13</f>
        <v>28750000</v>
      </c>
      <c r="P13" s="4">
        <f>'תקציב הנדסה 2021'!P13</f>
        <v>6136</v>
      </c>
      <c r="Q13" s="4">
        <f>'תקציב הנדסה 2021'!Q13</f>
        <v>0</v>
      </c>
      <c r="R13" s="4">
        <f>'תקציב הנדסה 2021'!R13</f>
        <v>0</v>
      </c>
      <c r="S13" s="4">
        <f>'תקציב הנדסה 2021'!S13</f>
        <v>0</v>
      </c>
      <c r="T13" s="4">
        <f>'תקציב הנדסה 2021'!T13</f>
        <v>0</v>
      </c>
      <c r="U13" s="4">
        <f>'תקציב הנדסה 2021'!U13</f>
        <v>0</v>
      </c>
      <c r="V13" s="4">
        <f>'תקציב הנדסה 2021'!V13</f>
        <v>0</v>
      </c>
      <c r="W13" s="4">
        <f>'תקציב הנדסה 2021'!W13</f>
        <v>0</v>
      </c>
      <c r="X13" s="4">
        <f>'תקציב הנדסה 2021'!X13</f>
        <v>0</v>
      </c>
      <c r="Y13" s="4">
        <f>'תקציב הנדסה 2021'!Y13</f>
        <v>0</v>
      </c>
      <c r="Z13" s="4">
        <f>'תקציב הנדסה 2021'!Z13</f>
        <v>0</v>
      </c>
      <c r="AA13" s="4">
        <f>'תקציב הנדסה 2021'!AA13</f>
        <v>0</v>
      </c>
      <c r="AB13" s="72" t="str">
        <f>'תקציב הנדסה 2021'!AB13</f>
        <v>פרויקט ממשלתי המתוקצב ע"י המדינה במקביל לרשות. הביצוע העירוני מתעכב עקב בעית פולש והמינהל.</v>
      </c>
      <c r="AC13" s="3">
        <f>'תקציב הנדסה 2021'!AC13</f>
        <v>742000</v>
      </c>
      <c r="AD13" s="387"/>
      <c r="AE13" s="387"/>
      <c r="AF13" s="387"/>
    </row>
    <row r="14" spans="1:32" s="5" customFormat="1" ht="42">
      <c r="A14" s="3">
        <f t="shared" si="0"/>
        <v>10</v>
      </c>
      <c r="B14" s="3">
        <f>'תקציב הנדסה 2021'!B14</f>
        <v>1100</v>
      </c>
      <c r="C14" s="280" t="str">
        <f>'תקציב הנדסה 2021'!C14</f>
        <v>תכנון מתחם הר' 2200</v>
      </c>
      <c r="D14" s="4">
        <f>'תקציב הנדסה 2021'!D14</f>
        <v>7000000</v>
      </c>
      <c r="E14" s="4">
        <f>'תקציב הנדסה 2021'!E14</f>
        <v>7000000</v>
      </c>
      <c r="F14" s="4">
        <f>'תקציב הנדסה 2021'!F14</f>
        <v>0</v>
      </c>
      <c r="G14" s="4">
        <f>'תקציב הנדסה 2021'!G14</f>
        <v>6100000</v>
      </c>
      <c r="H14" s="4">
        <f>'תקציב הנדסה 2021'!H14</f>
        <v>4426878</v>
      </c>
      <c r="I14" s="4">
        <f>'תקציב הנדסה 2021'!I14</f>
        <v>1304715</v>
      </c>
      <c r="J14" s="4">
        <f>'תקציב הנדסה 2021'!J14</f>
        <v>240825</v>
      </c>
      <c r="K14" s="4">
        <f>'תקציב הנדסה 2021'!K14</f>
        <v>1545540</v>
      </c>
      <c r="L14" s="4">
        <f>'תקציב הנדסה 2021'!L14</f>
        <v>5972418</v>
      </c>
      <c r="M14" s="4">
        <f>'תקציב הנדסה 2021'!M14</f>
        <v>127582</v>
      </c>
      <c r="N14" s="4">
        <f>'תקציב הנדסה 2021'!N14</f>
        <v>800000</v>
      </c>
      <c r="O14" s="4">
        <f>'תקציב הנדסה 2021'!O14</f>
        <v>100000</v>
      </c>
      <c r="P14" s="4">
        <f>'תקציב הנדסה 2021'!P14</f>
        <v>127582</v>
      </c>
      <c r="Q14" s="4">
        <f>'תקציב הנדסה 2021'!Q14</f>
        <v>0</v>
      </c>
      <c r="R14" s="4">
        <f>'תקציב הנדסה 2021'!R14</f>
        <v>0</v>
      </c>
      <c r="S14" s="4">
        <f>'תקציב הנדסה 2021'!S14</f>
        <v>0</v>
      </c>
      <c r="T14" s="4">
        <f>'תקציב הנדסה 2021'!T14</f>
        <v>0</v>
      </c>
      <c r="U14" s="4">
        <f>'תקציב הנדסה 2021'!U14</f>
        <v>800000</v>
      </c>
      <c r="V14" s="4">
        <f>'תקציב הנדסה 2021'!V14</f>
        <v>800000</v>
      </c>
      <c r="W14" s="4">
        <f>'תקציב הנדסה 2021'!W14</f>
        <v>0</v>
      </c>
      <c r="X14" s="4">
        <f>'תקציב הנדסה 2021'!X14</f>
        <v>0</v>
      </c>
      <c r="Y14" s="4">
        <f>'תקציב הנדסה 2021'!Y14</f>
        <v>0</v>
      </c>
      <c r="Z14" s="4">
        <f>'תקציב הנדסה 2021'!Z14</f>
        <v>0</v>
      </c>
      <c r="AA14" s="4">
        <f>'תקציב הנדסה 2021'!AA14</f>
        <v>0</v>
      </c>
      <c r="AB14" s="72" t="str">
        <f>'תקציב הנדסה 2021'!AB14</f>
        <v xml:space="preserve">תכנון מתחם חוף התכלת. עתירה של בעלי הקרקע הפרטיים על השתהות בקידום  התוכנית . </v>
      </c>
      <c r="AC14" s="3">
        <f>'תקציב הנדסה 2021'!AC14</f>
        <v>732000</v>
      </c>
      <c r="AD14" s="387"/>
      <c r="AE14" s="387"/>
      <c r="AF14" s="387"/>
    </row>
    <row r="15" spans="1:32" s="6" customFormat="1" ht="30" customHeight="1">
      <c r="A15" s="3">
        <f t="shared" si="0"/>
        <v>11</v>
      </c>
      <c r="B15" s="3">
        <f>'תקציב הנדסה 2021'!B15</f>
        <v>1129</v>
      </c>
      <c r="C15" s="280" t="str">
        <f>'תקציב הנדסה 2021'!C15</f>
        <v>עבודות פיתוח ותשתיות קטנות</v>
      </c>
      <c r="D15" s="4">
        <f>'תקציב הנדסה 2021'!D15</f>
        <v>7000000</v>
      </c>
      <c r="E15" s="4">
        <f>'תקציב הנדסה 2021'!E15</f>
        <v>7000000</v>
      </c>
      <c r="F15" s="4">
        <f>'תקציב הנדסה 2021'!F15</f>
        <v>0</v>
      </c>
      <c r="G15" s="4">
        <f>'תקציב הנדסה 2021'!G15</f>
        <v>6191771</v>
      </c>
      <c r="H15" s="4">
        <f>'תקציב הנדסה 2021'!H15</f>
        <v>5147258</v>
      </c>
      <c r="I15" s="4">
        <f>'תקציב הנדסה 2021'!I15</f>
        <v>0</v>
      </c>
      <c r="J15" s="4">
        <f>'תקציב הנדסה 2021'!J15</f>
        <v>665793</v>
      </c>
      <c r="K15" s="4">
        <f>'תקציב הנדסה 2021'!K15</f>
        <v>665793</v>
      </c>
      <c r="L15" s="4">
        <f>'תקציב הנדסה 2021'!L15</f>
        <v>5813051</v>
      </c>
      <c r="M15" s="4">
        <f>'תקציב הנדסה 2021'!M15</f>
        <v>78720</v>
      </c>
      <c r="N15" s="4">
        <f>'תקציב הנדסה 2021'!N15</f>
        <v>600000</v>
      </c>
      <c r="O15" s="4">
        <f>'תקציב הנדסה 2021'!O15</f>
        <v>508229</v>
      </c>
      <c r="P15" s="4">
        <f>'תקציב הנדסה 2021'!P15</f>
        <v>378720</v>
      </c>
      <c r="Q15" s="4">
        <f>'תקציב הנדסה 2021'!Q15</f>
        <v>0</v>
      </c>
      <c r="R15" s="4">
        <f>'תקציב הנדסה 2021'!R15</f>
        <v>0</v>
      </c>
      <c r="S15" s="4">
        <f>'תקציב הנדסה 2021'!S15</f>
        <v>0</v>
      </c>
      <c r="T15" s="4">
        <f>'תקציב הנדסה 2021'!T15</f>
        <v>300000</v>
      </c>
      <c r="U15" s="4">
        <f>'תקציב הנדסה 2021'!U15</f>
        <v>300000</v>
      </c>
      <c r="V15" s="4">
        <f>'תקציב הנדסה 2021'!V15</f>
        <v>300000</v>
      </c>
      <c r="W15" s="4">
        <f>'תקציב הנדסה 2021'!W15</f>
        <v>0</v>
      </c>
      <c r="X15" s="4">
        <f>'תקציב הנדסה 2021'!X15</f>
        <v>0</v>
      </c>
      <c r="Y15" s="4">
        <f>'תקציב הנדסה 2021'!Y15</f>
        <v>0</v>
      </c>
      <c r="Z15" s="4">
        <f>'תקציב הנדסה 2021'!Z15</f>
        <v>0</v>
      </c>
      <c r="AA15" s="4">
        <f>'תקציב הנדסה 2021'!AA15</f>
        <v>0</v>
      </c>
      <c r="AB15" s="72" t="str">
        <f>'תקציב הנדסה 2021'!AB15</f>
        <v>סל עבודות פיתוח קטנות מזדמנות הנדרשות במהלך השנה.</v>
      </c>
      <c r="AC15" s="3">
        <f>'תקציב הנדסה 2021'!AC15</f>
        <v>742000</v>
      </c>
      <c r="AD15" s="387"/>
      <c r="AE15" s="387"/>
      <c r="AF15" s="387"/>
    </row>
    <row r="16" spans="1:32" s="5" customFormat="1" ht="42">
      <c r="A16" s="3">
        <f t="shared" si="0"/>
        <v>12</v>
      </c>
      <c r="B16" s="3">
        <f>'תקציב הנדסה 2021'!B16</f>
        <v>1220</v>
      </c>
      <c r="C16" s="280" t="str">
        <f>'תקציב הנדסה 2021'!C16</f>
        <v>תכנונים כלליים</v>
      </c>
      <c r="D16" s="4">
        <f>'תקציב הנדסה 2021'!D16</f>
        <v>7000000</v>
      </c>
      <c r="E16" s="4">
        <f>'תקציב הנדסה 2021'!E16</f>
        <v>7000000</v>
      </c>
      <c r="F16" s="4">
        <f>'תקציב הנדסה 2021'!F16</f>
        <v>0</v>
      </c>
      <c r="G16" s="4">
        <f>'תקציב הנדסה 2021'!G16</f>
        <v>5950000</v>
      </c>
      <c r="H16" s="4">
        <f>'תקציב הנדסה 2021'!H16</f>
        <v>5018962</v>
      </c>
      <c r="I16" s="4">
        <f>'תקציב הנדסה 2021'!I16</f>
        <v>113993</v>
      </c>
      <c r="J16" s="4">
        <f>'תקציב הנדסה 2021'!J16</f>
        <v>401881</v>
      </c>
      <c r="K16" s="4">
        <f>'תקציב הנדסה 2021'!K16</f>
        <v>515874</v>
      </c>
      <c r="L16" s="4">
        <f>'תקציב הנדסה 2021'!L16</f>
        <v>5534836</v>
      </c>
      <c r="M16" s="4">
        <f>'תקציב הנדסה 2021'!M16</f>
        <v>15164</v>
      </c>
      <c r="N16" s="4">
        <f>'תקציב הנדסה 2021'!N16</f>
        <v>1400000</v>
      </c>
      <c r="O16" s="4">
        <f>'תקציב הנדסה 2021'!O16</f>
        <v>50000</v>
      </c>
      <c r="P16" s="4">
        <f>'תקציב הנדסה 2021'!P16</f>
        <v>415164</v>
      </c>
      <c r="Q16" s="4">
        <f>'תקציב הנדסה 2021'!Q16</f>
        <v>0</v>
      </c>
      <c r="R16" s="4">
        <f>'תקציב הנדסה 2021'!R16</f>
        <v>0</v>
      </c>
      <c r="S16" s="4">
        <f>'תקציב הנדסה 2021'!S16</f>
        <v>0</v>
      </c>
      <c r="T16" s="4">
        <f>'תקציב הנדסה 2021'!T16</f>
        <v>400000</v>
      </c>
      <c r="U16" s="4">
        <f>'תקציב הנדסה 2021'!U16</f>
        <v>1000000</v>
      </c>
      <c r="V16" s="4">
        <f>'תקציב הנדסה 2021'!V16</f>
        <v>1000000</v>
      </c>
      <c r="W16" s="4">
        <f>'תקציב הנדסה 2021'!W16</f>
        <v>0</v>
      </c>
      <c r="X16" s="4">
        <f>'תקציב הנדסה 2021'!X16</f>
        <v>0</v>
      </c>
      <c r="Y16" s="4">
        <f>'תקציב הנדסה 2021'!Y16</f>
        <v>0</v>
      </c>
      <c r="Z16" s="4">
        <f>'תקציב הנדסה 2021'!Z16</f>
        <v>0</v>
      </c>
      <c r="AA16" s="4">
        <f>'תקציב הנדסה 2021'!AA16</f>
        <v>0</v>
      </c>
      <c r="AB16" s="72" t="str">
        <f>'תקציב הנדסה 2021'!AB16</f>
        <v>סל תכנון של תוכניות ופרויקטים, מדידות ותכנון ראשוני כולל פיתוח רחבת העיריה ,אלתרמן.</v>
      </c>
      <c r="AC16" s="3">
        <f>'תקציב הנדסה 2021'!AC16</f>
        <v>732000</v>
      </c>
      <c r="AD16" s="387"/>
      <c r="AE16" s="387"/>
      <c r="AF16" s="387"/>
    </row>
    <row r="17" spans="1:32" s="5" customFormat="1" ht="30" customHeight="1">
      <c r="A17" s="3">
        <f t="shared" si="0"/>
        <v>13</v>
      </c>
      <c r="B17" s="3">
        <f>'תקציב הנדסה 2021'!B17</f>
        <v>1320</v>
      </c>
      <c r="C17" s="280" t="str">
        <f>'תקציב הנדסה 2021'!C17</f>
        <v>פארק הבאסה שלב ב'</v>
      </c>
      <c r="D17" s="4">
        <f>'תקציב הנדסה 2021'!D17</f>
        <v>21550000</v>
      </c>
      <c r="E17" s="4">
        <f>'תקציב הנדסה 2021'!E17</f>
        <v>23500000</v>
      </c>
      <c r="F17" s="4">
        <f>'תקציב הנדסה 2021'!F17</f>
        <v>-1950000</v>
      </c>
      <c r="G17" s="4">
        <f>'תקציב הנדסה 2021'!G17</f>
        <v>21550000</v>
      </c>
      <c r="H17" s="4">
        <f>'תקציב הנדסה 2021'!H17</f>
        <v>21339439</v>
      </c>
      <c r="I17" s="4">
        <f>'תקציב הנדסה 2021'!I17</f>
        <v>204226</v>
      </c>
      <c r="J17" s="4">
        <f>'תקציב הנדסה 2021'!J17</f>
        <v>0</v>
      </c>
      <c r="K17" s="4">
        <f>'תקציב הנדסה 2021'!K17</f>
        <v>204226</v>
      </c>
      <c r="L17" s="4">
        <f>'תקציב הנדסה 2021'!L17</f>
        <v>21543665</v>
      </c>
      <c r="M17" s="4">
        <f>'תקציב הנדסה 2021'!M17</f>
        <v>6335</v>
      </c>
      <c r="N17" s="4">
        <f>'תקציב הנדסה 2021'!N17</f>
        <v>0</v>
      </c>
      <c r="O17" s="4">
        <f>'תקציב הנדסה 2021'!O17</f>
        <v>0</v>
      </c>
      <c r="P17" s="4">
        <f>'תקציב הנדסה 2021'!P17</f>
        <v>6335</v>
      </c>
      <c r="Q17" s="4">
        <f>'תקציב הנדסה 2021'!Q17</f>
        <v>0</v>
      </c>
      <c r="R17" s="4">
        <f>'תקציב הנדסה 2021'!R17</f>
        <v>0</v>
      </c>
      <c r="S17" s="4">
        <f>'תקציב הנדסה 2021'!S17</f>
        <v>0</v>
      </c>
      <c r="T17" s="4">
        <f>'תקציב הנדסה 2021'!T17</f>
        <v>0</v>
      </c>
      <c r="U17" s="4">
        <f>'תקציב הנדסה 2021'!U17</f>
        <v>0</v>
      </c>
      <c r="V17" s="4">
        <f>'תקציב הנדסה 2021'!V17</f>
        <v>0</v>
      </c>
      <c r="W17" s="4">
        <f>'תקציב הנדסה 2021'!W17</f>
        <v>0</v>
      </c>
      <c r="X17" s="4">
        <f>'תקציב הנדסה 2021'!X17</f>
        <v>0</v>
      </c>
      <c r="Y17" s="4">
        <f>'תקציב הנדסה 2021'!Y17</f>
        <v>0</v>
      </c>
      <c r="Z17" s="4">
        <f>'תקציב הנדסה 2021'!Z17</f>
        <v>0</v>
      </c>
      <c r="AA17" s="4">
        <f>'תקציב הנדסה 2021'!AA17</f>
        <v>0</v>
      </c>
      <c r="AB17" s="72" t="str">
        <f>'תקציב הנדסה 2021'!AB17</f>
        <v>התב"ר לסגירה.</v>
      </c>
      <c r="AC17" s="3">
        <f>'תקציב הנדסה 2021'!AC17</f>
        <v>746000</v>
      </c>
      <c r="AD17" s="387"/>
      <c r="AE17" s="387"/>
      <c r="AF17" s="387"/>
    </row>
    <row r="18" spans="1:32" s="5" customFormat="1" ht="42">
      <c r="A18" s="3">
        <f t="shared" si="0"/>
        <v>14</v>
      </c>
      <c r="B18" s="3">
        <f>'תקציב הנדסה 2021'!B18</f>
        <v>1363</v>
      </c>
      <c r="C18" s="280" t="str">
        <f>'תקציב הנדסה 2021'!C18</f>
        <v>מתחם יהודה המכבי וזוהר טל</v>
      </c>
      <c r="D18" s="4">
        <f>'תקציב הנדסה 2021'!D18</f>
        <v>7550000</v>
      </c>
      <c r="E18" s="4">
        <f>'תקציב הנדסה 2021'!E18</f>
        <v>15500000</v>
      </c>
      <c r="F18" s="4">
        <f>'תקציב הנדסה 2021'!F18</f>
        <v>-7950000</v>
      </c>
      <c r="G18" s="4">
        <f>'תקציב הנדסה 2021'!G18</f>
        <v>8050000</v>
      </c>
      <c r="H18" s="4">
        <f>'תקציב הנדסה 2021'!H18</f>
        <v>5873469</v>
      </c>
      <c r="I18" s="4">
        <f>'תקציב הנדסה 2021'!I18</f>
        <v>72510</v>
      </c>
      <c r="J18" s="4">
        <f>'תקציב הנדסה 2021'!J18</f>
        <v>1132586</v>
      </c>
      <c r="K18" s="4">
        <f>'תקציב הנדסה 2021'!K18</f>
        <v>1205096</v>
      </c>
      <c r="L18" s="4">
        <f>'תקציב הנדסה 2021'!L18</f>
        <v>7078565</v>
      </c>
      <c r="M18" s="4">
        <f>'תקציב הנדסה 2021'!M18</f>
        <v>471435</v>
      </c>
      <c r="N18" s="4">
        <f>'תקציב הנדסה 2021'!N18</f>
        <v>0</v>
      </c>
      <c r="O18" s="4">
        <f>'תקציב הנדסה 2021'!O18</f>
        <v>0</v>
      </c>
      <c r="P18" s="4">
        <f>'תקציב הנדסה 2021'!P18</f>
        <v>971435</v>
      </c>
      <c r="Q18" s="4">
        <f>'תקציב הנדסה 2021'!Q18</f>
        <v>0</v>
      </c>
      <c r="R18" s="4">
        <f>'תקציב הנדסה 2021'!R18</f>
        <v>0</v>
      </c>
      <c r="S18" s="4">
        <f>'תקציב הנדסה 2021'!S18</f>
        <v>0</v>
      </c>
      <c r="T18" s="4">
        <f>'תקציב הנדסה 2021'!T18</f>
        <v>500000</v>
      </c>
      <c r="U18" s="4">
        <f>'תקציב הנדסה 2021'!U18</f>
        <v>-500000</v>
      </c>
      <c r="V18" s="4">
        <f>'תקציב הנדסה 2021'!V18</f>
        <v>-500000</v>
      </c>
      <c r="W18" s="4">
        <f>'תקציב הנדסה 2021'!W18</f>
        <v>0</v>
      </c>
      <c r="X18" s="4">
        <f>'תקציב הנדסה 2021'!X18</f>
        <v>0</v>
      </c>
      <c r="Y18" s="4">
        <f>'תקציב הנדסה 2021'!Y18</f>
        <v>0</v>
      </c>
      <c r="Z18" s="4">
        <f>'תקציב הנדסה 2021'!Z18</f>
        <v>0</v>
      </c>
      <c r="AA18" s="4">
        <f>'תקציב הנדסה 2021'!AA18</f>
        <v>0</v>
      </c>
      <c r="AB18" s="72" t="str">
        <f>'תקציב הנדסה 2021'!AB18</f>
        <v>פיתוח מתחם הרחובות יהודה המכבי, זוהר טל, האצל, הגבורה. סיום. ח-ן סופיים.</v>
      </c>
      <c r="AC18" s="3">
        <f>'תקציב הנדסה 2021'!AC18</f>
        <v>742000</v>
      </c>
      <c r="AD18" s="387"/>
      <c r="AE18" s="387"/>
      <c r="AF18" s="387"/>
    </row>
    <row r="19" spans="1:32" s="6" customFormat="1" ht="56">
      <c r="A19" s="3">
        <f t="shared" si="0"/>
        <v>15</v>
      </c>
      <c r="B19" s="3">
        <f>'תקציב הנדסה 2021'!B19</f>
        <v>1366</v>
      </c>
      <c r="C19" s="280" t="str">
        <f>'תקציב הנדסה 2021'!C19</f>
        <v>ליווי תשתיות לאומיות</v>
      </c>
      <c r="D19" s="4">
        <f>'תקציב הנדסה 2021'!D19</f>
        <v>1500000</v>
      </c>
      <c r="E19" s="4">
        <f>'תקציב הנדסה 2021'!E19</f>
        <v>1500000</v>
      </c>
      <c r="F19" s="4">
        <f>'תקציב הנדסה 2021'!F19</f>
        <v>0</v>
      </c>
      <c r="G19" s="4">
        <f>'תקציב הנדסה 2021'!G19</f>
        <v>846000</v>
      </c>
      <c r="H19" s="4">
        <f>'תקציב הנדסה 2021'!H19</f>
        <v>742521</v>
      </c>
      <c r="I19" s="4">
        <f>'תקציב הנדסה 2021'!I19</f>
        <v>0</v>
      </c>
      <c r="J19" s="4">
        <f>'תקציב הנדסה 2021'!J19</f>
        <v>0</v>
      </c>
      <c r="K19" s="4">
        <f>'תקציב הנדסה 2021'!K19</f>
        <v>0</v>
      </c>
      <c r="L19" s="4">
        <f>'תקציב הנדסה 2021'!L19</f>
        <v>742521</v>
      </c>
      <c r="M19" s="4">
        <f>'תקציב הנדסה 2021'!M19</f>
        <v>3479</v>
      </c>
      <c r="N19" s="4">
        <f>'תקציב הנדסה 2021'!N19</f>
        <v>400000</v>
      </c>
      <c r="O19" s="4">
        <f>'תקציב הנדסה 2021'!O19</f>
        <v>354000</v>
      </c>
      <c r="P19" s="4">
        <f>'תקציב הנדסה 2021'!P19</f>
        <v>103479</v>
      </c>
      <c r="Q19" s="4">
        <f>'תקציב הנדסה 2021'!Q19</f>
        <v>0</v>
      </c>
      <c r="R19" s="4">
        <f>'תקציב הנדסה 2021'!R19</f>
        <v>0</v>
      </c>
      <c r="S19" s="4">
        <f>'תקציב הנדסה 2021'!S19</f>
        <v>0</v>
      </c>
      <c r="T19" s="4">
        <f>'תקציב הנדסה 2021'!T19</f>
        <v>100000</v>
      </c>
      <c r="U19" s="4">
        <f>'תקציב הנדסה 2021'!U19</f>
        <v>300000</v>
      </c>
      <c r="V19" s="4">
        <f>'תקציב הנדסה 2021'!V19</f>
        <v>300000</v>
      </c>
      <c r="W19" s="4">
        <f>'תקציב הנדסה 2021'!W19</f>
        <v>0</v>
      </c>
      <c r="X19" s="4">
        <f>'תקציב הנדסה 2021'!X19</f>
        <v>0</v>
      </c>
      <c r="Y19" s="4">
        <f>'תקציב הנדסה 2021'!Y19</f>
        <v>0</v>
      </c>
      <c r="Z19" s="4">
        <f>'תקציב הנדסה 2021'!Z19</f>
        <v>0</v>
      </c>
      <c r="AA19" s="4">
        <f>'תקציב הנדסה 2021'!AA19</f>
        <v>0</v>
      </c>
      <c r="AB19" s="72" t="str">
        <f>'תקציב הנדסה 2021'!AB19</f>
        <v>ליווי תוכנית הקו הירוק , קו המטרו , מהיר לעיר ואחרים המבוצעים ע"י מ. התחבורה. יועצי תנועה, מפקחים, יועצי בטיחות.</v>
      </c>
      <c r="AC19" s="3">
        <f>'תקציב הנדסה 2021'!AC19</f>
        <v>742000</v>
      </c>
      <c r="AD19" s="387"/>
      <c r="AE19" s="387"/>
      <c r="AF19" s="387"/>
    </row>
    <row r="20" spans="1:32" s="6" customFormat="1" ht="30" customHeight="1">
      <c r="A20" s="3">
        <f t="shared" si="0"/>
        <v>16</v>
      </c>
      <c r="B20" s="3">
        <f>'תקציב הנדסה 2021'!B20</f>
        <v>1406</v>
      </c>
      <c r="C20" s="280" t="str">
        <f>'תקציב הנדסה 2021'!C20</f>
        <v>שימור אתרים</v>
      </c>
      <c r="D20" s="4">
        <f>'תקציב הנדסה 2021'!D20</f>
        <v>1200000</v>
      </c>
      <c r="E20" s="4">
        <f>'תקציב הנדסה 2021'!E20</f>
        <v>1400000</v>
      </c>
      <c r="F20" s="4">
        <f>'תקציב הנדסה 2021'!F20</f>
        <v>-200000</v>
      </c>
      <c r="G20" s="4">
        <f>'תקציב הנדסה 2021'!G20</f>
        <v>1300000</v>
      </c>
      <c r="H20" s="4">
        <f>'תקציב הנדסה 2021'!H20</f>
        <v>852000</v>
      </c>
      <c r="I20" s="4">
        <f>'תקציב הנדסה 2021'!I20</f>
        <v>35528</v>
      </c>
      <c r="J20" s="4">
        <f>'תקציב הנדסה 2021'!J20</f>
        <v>0</v>
      </c>
      <c r="K20" s="4">
        <f>'תקציב הנדסה 2021'!K20</f>
        <v>35528</v>
      </c>
      <c r="L20" s="4">
        <f>'תקציב הנדסה 2021'!L20</f>
        <v>887528</v>
      </c>
      <c r="M20" s="4">
        <f>'תקציב הנדסה 2021'!M20</f>
        <v>12472</v>
      </c>
      <c r="N20" s="4">
        <f>'תקציב הנדסה 2021'!N20</f>
        <v>300000</v>
      </c>
      <c r="O20" s="4">
        <f>'תקציב הנדסה 2021'!O20</f>
        <v>0</v>
      </c>
      <c r="P20" s="4">
        <f>'תקציב הנדסה 2021'!P20</f>
        <v>412472</v>
      </c>
      <c r="Q20" s="4">
        <f>'תקציב הנדסה 2021'!Q20</f>
        <v>0</v>
      </c>
      <c r="R20" s="4">
        <f>'תקציב הנדסה 2021'!R20</f>
        <v>0</v>
      </c>
      <c r="S20" s="4">
        <f>'תקציב הנדסה 2021'!S20</f>
        <v>0</v>
      </c>
      <c r="T20" s="4">
        <f>'תקציב הנדסה 2021'!T20</f>
        <v>400000</v>
      </c>
      <c r="U20" s="4">
        <f>'תקציב הנדסה 2021'!U20</f>
        <v>-100000</v>
      </c>
      <c r="V20" s="4">
        <f>'תקציב הנדסה 2021'!V20</f>
        <v>-100000</v>
      </c>
      <c r="W20" s="4">
        <f>'תקציב הנדסה 2021'!W20</f>
        <v>0</v>
      </c>
      <c r="X20" s="4">
        <f>'תקציב הנדסה 2021'!X20</f>
        <v>0</v>
      </c>
      <c r="Y20" s="4">
        <f>'תקציב הנדסה 2021'!Y20</f>
        <v>0</v>
      </c>
      <c r="Z20" s="4">
        <f>'תקציב הנדסה 2021'!Z20</f>
        <v>0</v>
      </c>
      <c r="AA20" s="4">
        <f>'תקציב הנדסה 2021'!AA20</f>
        <v>0</v>
      </c>
      <c r="AB20" s="72" t="str">
        <f>'תקציב הנדסה 2021'!AB20</f>
        <v>סל תכנון הכנת תב"עות לשימור אתרים. השלמת תנאים למתן תוקף.</v>
      </c>
      <c r="AC20" s="3">
        <f>'תקציב הנדסה 2021'!AC20</f>
        <v>732000</v>
      </c>
      <c r="AD20" s="387"/>
      <c r="AE20" s="387"/>
      <c r="AF20" s="387"/>
    </row>
    <row r="21" spans="1:32" s="6" customFormat="1" ht="42">
      <c r="A21" s="3">
        <f t="shared" si="0"/>
        <v>17</v>
      </c>
      <c r="B21" s="3">
        <f>'תקציב הנדסה 2021'!B21</f>
        <v>1407</v>
      </c>
      <c r="C21" s="280" t="str">
        <f>'תקציב הנדסה 2021'!C21</f>
        <v>תב"עות קטנות</v>
      </c>
      <c r="D21" s="4">
        <f>'תקציב הנדסה 2021'!D21</f>
        <v>5295000</v>
      </c>
      <c r="E21" s="4">
        <f>'תקציב הנדסה 2021'!E21</f>
        <v>4895000</v>
      </c>
      <c r="F21" s="4">
        <f>'תקציב הנדסה 2021'!F21</f>
        <v>400000</v>
      </c>
      <c r="G21" s="4">
        <f>'תקציב הנדסה 2021'!G21</f>
        <v>4095000</v>
      </c>
      <c r="H21" s="4">
        <f>'תקציב הנדסה 2021'!H21</f>
        <v>2650861</v>
      </c>
      <c r="I21" s="4">
        <f>'תקציב הנדסה 2021'!I21</f>
        <v>292816</v>
      </c>
      <c r="J21" s="4">
        <f>'תקציב הנדסה 2021'!J21</f>
        <v>308343</v>
      </c>
      <c r="K21" s="4">
        <f>'תקציב הנדסה 2021'!K21</f>
        <v>601159</v>
      </c>
      <c r="L21" s="4">
        <f>'תקציב הנדסה 2021'!L21</f>
        <v>3252020</v>
      </c>
      <c r="M21" s="4">
        <f>'תקציב הנדסה 2021'!M21</f>
        <v>42980</v>
      </c>
      <c r="N21" s="4">
        <f>'תקציב הנדסה 2021'!N21</f>
        <v>2000000</v>
      </c>
      <c r="O21" s="4">
        <f>'תקציב הנדסה 2021'!O21</f>
        <v>0</v>
      </c>
      <c r="P21" s="4">
        <f>'תקציב הנדסה 2021'!P21</f>
        <v>842980</v>
      </c>
      <c r="Q21" s="4">
        <f>'תקציב הנדסה 2021'!Q21</f>
        <v>0</v>
      </c>
      <c r="R21" s="4">
        <f>'תקציב הנדסה 2021'!R21</f>
        <v>0</v>
      </c>
      <c r="S21" s="4">
        <f>'תקציב הנדסה 2021'!S21</f>
        <v>0</v>
      </c>
      <c r="T21" s="4">
        <f>'תקציב הנדסה 2021'!T21</f>
        <v>800000</v>
      </c>
      <c r="U21" s="4">
        <f>'תקציב הנדסה 2021'!U21</f>
        <v>1200000</v>
      </c>
      <c r="V21" s="4">
        <f>'תקציב הנדסה 2021'!V21</f>
        <v>1200000</v>
      </c>
      <c r="W21" s="4">
        <f>'תקציב הנדסה 2021'!W21</f>
        <v>0</v>
      </c>
      <c r="X21" s="4">
        <f>'תקציב הנדסה 2021'!X21</f>
        <v>0</v>
      </c>
      <c r="Y21" s="4">
        <f>'תקציב הנדסה 2021'!Y21</f>
        <v>0</v>
      </c>
      <c r="Z21" s="4">
        <f>'תקציב הנדסה 2021'!Z21</f>
        <v>0</v>
      </c>
      <c r="AA21" s="4">
        <f>'תקציב הנדסה 2021'!AA21</f>
        <v>0</v>
      </c>
      <c r="AB21" s="72" t="str">
        <f>'תקציב הנדסה 2021'!AB21</f>
        <v>סל תכנון של תב"עות הנדרשות במהלך השנה כולל  תוכניות גגות מרתפים מבנים ציבוריים.</v>
      </c>
      <c r="AC21" s="3">
        <f>'תקציב הנדסה 2021'!AC21</f>
        <v>732000</v>
      </c>
      <c r="AD21" s="387"/>
      <c r="AE21" s="387"/>
      <c r="AF21" s="387"/>
    </row>
    <row r="22" spans="1:32" s="5" customFormat="1" ht="42">
      <c r="A22" s="3">
        <f t="shared" si="0"/>
        <v>18</v>
      </c>
      <c r="B22" s="3">
        <f>'תקציב הנדסה 2021'!B22</f>
        <v>1409</v>
      </c>
      <c r="C22" s="280" t="str">
        <f>'תקציב הנדסה 2021'!C22</f>
        <v xml:space="preserve"> תוכנית המתאר הכוללנית </v>
      </c>
      <c r="D22" s="4">
        <f>'תקציב הנדסה 2021'!D22</f>
        <v>7680000</v>
      </c>
      <c r="E22" s="4">
        <f>'תקציב הנדסה 2021'!E22</f>
        <v>7680000</v>
      </c>
      <c r="F22" s="4">
        <f>'תקציב הנדסה 2021'!F22</f>
        <v>0</v>
      </c>
      <c r="G22" s="4">
        <f>'תקציב הנדסה 2021'!G22</f>
        <v>7330000</v>
      </c>
      <c r="H22" s="4">
        <f>'תקציב הנדסה 2021'!H22</f>
        <v>5099564</v>
      </c>
      <c r="I22" s="4">
        <f>'תקציב הנדסה 2021'!I22</f>
        <v>1314720</v>
      </c>
      <c r="J22" s="4">
        <f>'תקציב הנדסה 2021'!J22</f>
        <v>8190</v>
      </c>
      <c r="K22" s="4">
        <f>'תקציב הנדסה 2021'!K22</f>
        <v>1322910</v>
      </c>
      <c r="L22" s="4">
        <f>'תקציב הנדסה 2021'!L22</f>
        <v>6422474</v>
      </c>
      <c r="M22" s="4">
        <f>'תקציב הנדסה 2021'!M22</f>
        <v>7526</v>
      </c>
      <c r="N22" s="4">
        <f>'תקציב הנדסה 2021'!N22</f>
        <v>900000</v>
      </c>
      <c r="O22" s="4">
        <f>'תקציב הנדסה 2021'!O22</f>
        <v>350000</v>
      </c>
      <c r="P22" s="4">
        <f>'תקציב הנדסה 2021'!P22</f>
        <v>907526</v>
      </c>
      <c r="Q22" s="4">
        <f>'תקציב הנדסה 2021'!Q22</f>
        <v>0</v>
      </c>
      <c r="R22" s="4">
        <f>'תקציב הנדסה 2021'!R22</f>
        <v>0</v>
      </c>
      <c r="S22" s="4">
        <f>'תקציב הנדסה 2021'!S22</f>
        <v>0</v>
      </c>
      <c r="T22" s="4">
        <f>'תקציב הנדסה 2021'!T22</f>
        <v>900000</v>
      </c>
      <c r="U22" s="4">
        <f>'תקציב הנדסה 2021'!U22</f>
        <v>0</v>
      </c>
      <c r="V22" s="4">
        <f>'תקציב הנדסה 2021'!V22</f>
        <v>0</v>
      </c>
      <c r="W22" s="4">
        <f>'תקציב הנדסה 2021'!W22</f>
        <v>0</v>
      </c>
      <c r="X22" s="4">
        <f>'תקציב הנדסה 2021'!X22</f>
        <v>0</v>
      </c>
      <c r="Y22" s="4">
        <f>'תקציב הנדסה 2021'!Y22</f>
        <v>0</v>
      </c>
      <c r="Z22" s="4">
        <f>'תקציב הנדסה 2021'!Z22</f>
        <v>0</v>
      </c>
      <c r="AA22" s="4">
        <f>'תקציב הנדסה 2021'!AA22</f>
        <v>0</v>
      </c>
      <c r="AB22" s="72" t="str">
        <f>'תקציב הנדסה 2021'!AB22</f>
        <v xml:space="preserve">הכנת תוכנית מתאר כוללנית על מנת לאפשר לעיריה לתכנן תוכניות בסמכות וועדה מקומית. </v>
      </c>
      <c r="AC22" s="3">
        <f>'תקציב הנדסה 2021'!AC22</f>
        <v>732000</v>
      </c>
      <c r="AD22" s="387"/>
      <c r="AE22" s="387"/>
      <c r="AF22" s="387"/>
    </row>
    <row r="23" spans="1:32" s="5" customFormat="1" ht="42">
      <c r="A23" s="3">
        <f t="shared" si="0"/>
        <v>19</v>
      </c>
      <c r="B23" s="3">
        <f>'תקציב הנדסה 2021'!B23</f>
        <v>1457</v>
      </c>
      <c r="C23" s="280" t="str">
        <f>'תקציב הנדסה 2021'!C23</f>
        <v xml:space="preserve">ליווי "מהיר" לעיר </v>
      </c>
      <c r="D23" s="4">
        <f>'תקציב הנדסה 2021'!D23</f>
        <v>230000</v>
      </c>
      <c r="E23" s="4">
        <f>'תקציב הנדסה 2021'!E23</f>
        <v>1100000</v>
      </c>
      <c r="F23" s="4">
        <f>'תקציב הנדסה 2021'!F23</f>
        <v>-870000</v>
      </c>
      <c r="G23" s="4">
        <f>'תקציב הנדסה 2021'!G23</f>
        <v>430000</v>
      </c>
      <c r="H23" s="4">
        <f>'תקציב הנדסה 2021'!H23</f>
        <v>171904</v>
      </c>
      <c r="I23" s="4">
        <f>'תקציב הנדסה 2021'!I23</f>
        <v>0</v>
      </c>
      <c r="J23" s="4">
        <f>'תקציב הנדסה 2021'!J23</f>
        <v>28846</v>
      </c>
      <c r="K23" s="4">
        <f>'תקציב הנדסה 2021'!K23</f>
        <v>28846</v>
      </c>
      <c r="L23" s="4">
        <f>'תקציב הנדסה 2021'!L23</f>
        <v>200750</v>
      </c>
      <c r="M23" s="4">
        <f>'תקציב הנדסה 2021'!M23</f>
        <v>29250</v>
      </c>
      <c r="N23" s="4">
        <f>'תקציב הנדסה 2021'!N23</f>
        <v>0</v>
      </c>
      <c r="O23" s="4">
        <f>'תקציב הנדסה 2021'!O23</f>
        <v>0</v>
      </c>
      <c r="P23" s="4">
        <f>'תקציב הנדסה 2021'!P23</f>
        <v>229250</v>
      </c>
      <c r="Q23" s="4">
        <f>'תקציב הנדסה 2021'!Q23</f>
        <v>0</v>
      </c>
      <c r="R23" s="4">
        <f>'תקציב הנדסה 2021'!R23</f>
        <v>0</v>
      </c>
      <c r="S23" s="4">
        <f>'תקציב הנדסה 2021'!S23</f>
        <v>0</v>
      </c>
      <c r="T23" s="4">
        <f>'תקציב הנדסה 2021'!T23</f>
        <v>200000</v>
      </c>
      <c r="U23" s="4">
        <f>'תקציב הנדסה 2021'!U23</f>
        <v>-200000</v>
      </c>
      <c r="V23" s="4">
        <f>'תקציב הנדסה 2021'!V23</f>
        <v>-200000</v>
      </c>
      <c r="W23" s="4">
        <f>'תקציב הנדסה 2021'!W23</f>
        <v>0</v>
      </c>
      <c r="X23" s="4">
        <f>'תקציב הנדסה 2021'!X23</f>
        <v>0</v>
      </c>
      <c r="Y23" s="4">
        <f>'תקציב הנדסה 2021'!Y23</f>
        <v>0</v>
      </c>
      <c r="Z23" s="4">
        <f>'תקציב הנדסה 2021'!Z23</f>
        <v>0</v>
      </c>
      <c r="AA23" s="4">
        <f>'תקציב הנדסה 2021'!AA23</f>
        <v>0</v>
      </c>
      <c r="AB23" s="72" t="str">
        <f>'תקציב הנדסה 2021'!AB23</f>
        <v>העסקת צוות יועצים שילווה את התכנון והביצוע של הפרויקט. התב"ר לסגירה. ראה תב"ר 1366.</v>
      </c>
      <c r="AC23" s="3">
        <f>'תקציב הנדסה 2021'!AC23</f>
        <v>742000</v>
      </c>
      <c r="AD23" s="387"/>
      <c r="AE23" s="387"/>
      <c r="AF23" s="387"/>
    </row>
    <row r="24" spans="1:32" s="5" customFormat="1" ht="70">
      <c r="A24" s="3">
        <f t="shared" si="0"/>
        <v>20</v>
      </c>
      <c r="B24" s="3">
        <f>'תקציב הנדסה 2021'!B24</f>
        <v>1466</v>
      </c>
      <c r="C24" s="280" t="str">
        <f>'תקציב הנדסה 2021'!C24</f>
        <v>תמ"א 38</v>
      </c>
      <c r="D24" s="4">
        <f>'תקציב הנדסה 2021'!D24</f>
        <v>2200000</v>
      </c>
      <c r="E24" s="4">
        <f>'תקציב הנדסה 2021'!E24</f>
        <v>2200000</v>
      </c>
      <c r="F24" s="4">
        <f>'תקציב הנדסה 2021'!F24</f>
        <v>0</v>
      </c>
      <c r="G24" s="4">
        <f>'תקציב הנדסה 2021'!G24</f>
        <v>1500000</v>
      </c>
      <c r="H24" s="4">
        <f>'תקציב הנדסה 2021'!H24</f>
        <v>1242093</v>
      </c>
      <c r="I24" s="4">
        <f>'תקציב הנדסה 2021'!I24</f>
        <v>0</v>
      </c>
      <c r="J24" s="4">
        <f>'תקציב הנדסה 2021'!J24</f>
        <v>0</v>
      </c>
      <c r="K24" s="4">
        <f>'תקציב הנדסה 2021'!K24</f>
        <v>0</v>
      </c>
      <c r="L24" s="4">
        <f>'תקציב הנדסה 2021'!L24</f>
        <v>1242093</v>
      </c>
      <c r="M24" s="4">
        <f>'תקציב הנדסה 2021'!M24</f>
        <v>7907</v>
      </c>
      <c r="N24" s="4">
        <f>'תקציב הנדסה 2021'!N24</f>
        <v>500000</v>
      </c>
      <c r="O24" s="4">
        <f>'תקציב הנדסה 2021'!O24</f>
        <v>450000</v>
      </c>
      <c r="P24" s="4">
        <f>'תקציב הנדסה 2021'!P24</f>
        <v>257907</v>
      </c>
      <c r="Q24" s="4">
        <f>'תקציב הנדסה 2021'!Q24</f>
        <v>0</v>
      </c>
      <c r="R24" s="4">
        <f>'תקציב הנדסה 2021'!R24</f>
        <v>0</v>
      </c>
      <c r="S24" s="4">
        <f>'תקציב הנדסה 2021'!S24</f>
        <v>0</v>
      </c>
      <c r="T24" s="4">
        <f>'תקציב הנדסה 2021'!T24</f>
        <v>250000</v>
      </c>
      <c r="U24" s="4">
        <f>'תקציב הנדסה 2021'!U24</f>
        <v>250000</v>
      </c>
      <c r="V24" s="4">
        <f>'תקציב הנדסה 2021'!V24</f>
        <v>250000</v>
      </c>
      <c r="W24" s="4">
        <f>'תקציב הנדסה 2021'!W24</f>
        <v>0</v>
      </c>
      <c r="X24" s="4">
        <f>'תקציב הנדסה 2021'!X24</f>
        <v>0</v>
      </c>
      <c r="Y24" s="4">
        <f>'תקציב הנדסה 2021'!Y24</f>
        <v>0</v>
      </c>
      <c r="Z24" s="4">
        <f>'תקציב הנדסה 2021'!Z24</f>
        <v>0</v>
      </c>
      <c r="AA24" s="4">
        <f>'תקציב הנדסה 2021'!AA24</f>
        <v>0</v>
      </c>
      <c r="AB24" s="72" t="str">
        <f>'תקציב הנדסה 2021'!AB24</f>
        <v>העצמת הזכויות הנוספות לבנינים לצורך הגברת הכדאיות של ביצוע חיזוק מבנים. בדיקת מבנים קיימים להיתכנות תמ"א והתאמת המדיניות בעיר לתמ"א החדשה שטרם סוכמה.</v>
      </c>
      <c r="AC24" s="3">
        <f>'תקציב הנדסה 2021'!AC24</f>
        <v>732000</v>
      </c>
      <c r="AD24" s="387"/>
      <c r="AE24" s="387"/>
      <c r="AF24" s="387"/>
    </row>
    <row r="25" spans="1:32" s="5" customFormat="1" ht="56">
      <c r="A25" s="3">
        <f t="shared" si="0"/>
        <v>21</v>
      </c>
      <c r="B25" s="3">
        <f>'תקציב הנדסה 2021'!B25</f>
        <v>1511</v>
      </c>
      <c r="C25" s="280" t="str">
        <f>'תקציב הנדסה 2021'!C25</f>
        <v>פתוח קטעי רח' דרך ירושלים גולומב</v>
      </c>
      <c r="D25" s="4">
        <f>'תקציב הנדסה 2021'!D25</f>
        <v>960000</v>
      </c>
      <c r="E25" s="4">
        <f>'תקציב הנדסה 2021'!E25</f>
        <v>960000</v>
      </c>
      <c r="F25" s="4">
        <f>'תקציב הנדסה 2021'!F25</f>
        <v>0</v>
      </c>
      <c r="G25" s="4">
        <f>'תקציב הנדסה 2021'!G25</f>
        <v>100000</v>
      </c>
      <c r="H25" s="4">
        <f>'תקציב הנדסה 2021'!H25</f>
        <v>17284</v>
      </c>
      <c r="I25" s="4">
        <f>'תקציב הנדסה 2021'!I25</f>
        <v>0</v>
      </c>
      <c r="J25" s="4">
        <f>'תקציב הנדסה 2021'!J25</f>
        <v>0</v>
      </c>
      <c r="K25" s="4">
        <f>'תקציב הנדסה 2021'!K25</f>
        <v>0</v>
      </c>
      <c r="L25" s="4">
        <f>'תקציב הנדסה 2021'!L25</f>
        <v>17284</v>
      </c>
      <c r="M25" s="4">
        <f>'תקציב הנדסה 2021'!M25</f>
        <v>82716</v>
      </c>
      <c r="N25" s="4">
        <f>'תקציב הנדסה 2021'!N25</f>
        <v>0</v>
      </c>
      <c r="O25" s="4">
        <f>'תקציב הנדסה 2021'!O25</f>
        <v>860000</v>
      </c>
      <c r="P25" s="4">
        <f>'תקציב הנדסה 2021'!P25</f>
        <v>82716</v>
      </c>
      <c r="Q25" s="4">
        <f>'תקציב הנדסה 2021'!Q25</f>
        <v>0</v>
      </c>
      <c r="R25" s="4">
        <f>'תקציב הנדסה 2021'!R25</f>
        <v>0</v>
      </c>
      <c r="S25" s="4">
        <f>'תקציב הנדסה 2021'!S25</f>
        <v>0</v>
      </c>
      <c r="T25" s="4">
        <f>'תקציב הנדסה 2021'!T25</f>
        <v>0</v>
      </c>
      <c r="U25" s="4">
        <f>'תקציב הנדסה 2021'!U25</f>
        <v>0</v>
      </c>
      <c r="V25" s="4">
        <f>'תקציב הנדסה 2021'!V25</f>
        <v>0</v>
      </c>
      <c r="W25" s="4">
        <f>'תקציב הנדסה 2021'!W25</f>
        <v>0</v>
      </c>
      <c r="X25" s="4">
        <f>'תקציב הנדסה 2021'!X25</f>
        <v>0</v>
      </c>
      <c r="Y25" s="4">
        <f>'תקציב הנדסה 2021'!Y25</f>
        <v>0</v>
      </c>
      <c r="Z25" s="4">
        <f>'תקציב הנדסה 2021'!Z25</f>
        <v>0</v>
      </c>
      <c r="AA25" s="4">
        <f>'תקציב הנדסה 2021'!AA25</f>
        <v>0</v>
      </c>
      <c r="AB25" s="72" t="str">
        <f>'תקציב הנדסה 2021'!AB25</f>
        <v xml:space="preserve">הקמת חניות והסדרים גיאומטרים ליד מבנה לזכר השואה שיוקם ע"י היזם (ליאור דינור ואחרים). מימון היזם מובטח בערבות. </v>
      </c>
      <c r="AC25" s="3">
        <f>'תקציב הנדסה 2021'!AC25</f>
        <v>742000</v>
      </c>
      <c r="AD25" s="387"/>
      <c r="AE25" s="387"/>
      <c r="AF25" s="387"/>
    </row>
    <row r="26" spans="1:32" s="5" customFormat="1" ht="42">
      <c r="A26" s="3">
        <f t="shared" si="0"/>
        <v>22</v>
      </c>
      <c r="B26" s="3">
        <f>'תקציב הנדסה 2021'!B26</f>
        <v>1527</v>
      </c>
      <c r="C26" s="280" t="str">
        <f>'תקציב הנדסה 2021'!C26</f>
        <v xml:space="preserve">התחדשות עירונית יד  התשעה </v>
      </c>
      <c r="D26" s="4">
        <f>'תקציב הנדסה 2021'!D26</f>
        <v>3000000</v>
      </c>
      <c r="E26" s="4">
        <f>'תקציב הנדסה 2021'!E26</f>
        <v>3000000</v>
      </c>
      <c r="F26" s="4">
        <f>'תקציב הנדסה 2021'!F26</f>
        <v>0</v>
      </c>
      <c r="G26" s="4">
        <f>'תקציב הנדסה 2021'!G26</f>
        <v>1200000</v>
      </c>
      <c r="H26" s="4">
        <f>'תקציב הנדסה 2021'!H26</f>
        <v>821144</v>
      </c>
      <c r="I26" s="4">
        <f>'תקציב הנדסה 2021'!I26</f>
        <v>0</v>
      </c>
      <c r="J26" s="4">
        <f>'תקציב הנדסה 2021'!J26</f>
        <v>0</v>
      </c>
      <c r="K26" s="4">
        <f>'תקציב הנדסה 2021'!K26</f>
        <v>0</v>
      </c>
      <c r="L26" s="4">
        <f>'תקציב הנדסה 2021'!L26</f>
        <v>821144</v>
      </c>
      <c r="M26" s="4">
        <f>'תקציב הנדסה 2021'!M26</f>
        <v>28856</v>
      </c>
      <c r="N26" s="4">
        <f>'תקציב הנדסה 2021'!N26</f>
        <v>700000</v>
      </c>
      <c r="O26" s="4">
        <f>'תקציב הנדסה 2021'!O26</f>
        <v>1450000</v>
      </c>
      <c r="P26" s="4">
        <f>'תקציב הנדסה 2021'!P26</f>
        <v>378856</v>
      </c>
      <c r="Q26" s="4">
        <f>'תקציב הנדסה 2021'!Q26</f>
        <v>0</v>
      </c>
      <c r="R26" s="4">
        <f>'תקציב הנדסה 2021'!R26</f>
        <v>0</v>
      </c>
      <c r="S26" s="4">
        <f>'תקציב הנדסה 2021'!S26</f>
        <v>0</v>
      </c>
      <c r="T26" s="4">
        <f>'תקציב הנדסה 2021'!T26</f>
        <v>350000</v>
      </c>
      <c r="U26" s="4">
        <f>'תקציב הנדסה 2021'!U26</f>
        <v>350000</v>
      </c>
      <c r="V26" s="4">
        <f>'תקציב הנדסה 2021'!V26</f>
        <v>350000</v>
      </c>
      <c r="W26" s="4">
        <f>'תקציב הנדסה 2021'!W26</f>
        <v>0</v>
      </c>
      <c r="X26" s="4">
        <f>'תקציב הנדסה 2021'!X26</f>
        <v>0</v>
      </c>
      <c r="Y26" s="4">
        <f>'תקציב הנדסה 2021'!Y26</f>
        <v>0</v>
      </c>
      <c r="Z26" s="4">
        <f>'תקציב הנדסה 2021'!Z26</f>
        <v>0</v>
      </c>
      <c r="AA26" s="4">
        <f>'תקציב הנדסה 2021'!AA26</f>
        <v>0</v>
      </c>
      <c r="AB26" s="72" t="str">
        <f>'תקציב הנדסה 2021'!AB26</f>
        <v>תכנון התחדשות עירונית ביד התשעה במסגרת תוכנית כללית/תוכניות מתחמיות.</v>
      </c>
      <c r="AC26" s="3">
        <f>'תקציב הנדסה 2021'!AC26</f>
        <v>732000</v>
      </c>
      <c r="AD26" s="387"/>
      <c r="AE26" s="387"/>
      <c r="AF26" s="387"/>
    </row>
    <row r="27" spans="1:32" s="5" customFormat="1" ht="30" customHeight="1">
      <c r="A27" s="3">
        <f t="shared" si="0"/>
        <v>23</v>
      </c>
      <c r="B27" s="3">
        <f>'תקציב הנדסה 2021'!B27</f>
        <v>1529</v>
      </c>
      <c r="C27" s="280" t="str">
        <f>'תקציב הנדסה 2021'!C27</f>
        <v>הוצאות בקשר עם תביעות סעיף 197</v>
      </c>
      <c r="D27" s="4">
        <f>'תקציב הנדסה 2021'!D27</f>
        <v>500000</v>
      </c>
      <c r="E27" s="4">
        <f>'תקציב הנדסה 2021'!E27</f>
        <v>500000</v>
      </c>
      <c r="F27" s="4">
        <f>'תקציב הנדסה 2021'!F27</f>
        <v>0</v>
      </c>
      <c r="G27" s="4">
        <f>'תקציב הנדסה 2021'!G27</f>
        <v>500000</v>
      </c>
      <c r="H27" s="4">
        <f>'תקציב הנדסה 2021'!H27</f>
        <v>367382</v>
      </c>
      <c r="I27" s="4">
        <f>'תקציב הנדסה 2021'!I27</f>
        <v>0</v>
      </c>
      <c r="J27" s="4">
        <f>'תקציב הנדסה 2021'!J27</f>
        <v>0</v>
      </c>
      <c r="K27" s="4">
        <f>'תקציב הנדסה 2021'!K27</f>
        <v>0</v>
      </c>
      <c r="L27" s="4">
        <f>'תקציב הנדסה 2021'!L27</f>
        <v>367382</v>
      </c>
      <c r="M27" s="4">
        <f>'תקציב הנדסה 2021'!M27</f>
        <v>2618</v>
      </c>
      <c r="N27" s="4">
        <f>'תקציב הנדסה 2021'!N27</f>
        <v>130000</v>
      </c>
      <c r="O27" s="4">
        <f>'תקציב הנדסה 2021'!O27</f>
        <v>0</v>
      </c>
      <c r="P27" s="4">
        <f>'תקציב הנדסה 2021'!P27</f>
        <v>132618</v>
      </c>
      <c r="Q27" s="4">
        <f>'תקציב הנדסה 2021'!Q27</f>
        <v>0</v>
      </c>
      <c r="R27" s="4">
        <f>'תקציב הנדסה 2021'!R27</f>
        <v>0</v>
      </c>
      <c r="S27" s="4">
        <f>'תקציב הנדסה 2021'!S27</f>
        <v>0</v>
      </c>
      <c r="T27" s="4">
        <f>'תקציב הנדסה 2021'!T27</f>
        <v>130000</v>
      </c>
      <c r="U27" s="4">
        <f>'תקציב הנדסה 2021'!U27</f>
        <v>0</v>
      </c>
      <c r="V27" s="4">
        <f>'תקציב הנדסה 2021'!V27</f>
        <v>0</v>
      </c>
      <c r="W27" s="4">
        <f>'תקציב הנדסה 2021'!W27</f>
        <v>0</v>
      </c>
      <c r="X27" s="4">
        <f>'תקציב הנדסה 2021'!X27</f>
        <v>0</v>
      </c>
      <c r="Y27" s="4">
        <f>'תקציב הנדסה 2021'!Y27</f>
        <v>0</v>
      </c>
      <c r="Z27" s="4">
        <f>'תקציב הנדסה 2021'!Z27</f>
        <v>0</v>
      </c>
      <c r="AA27" s="4">
        <f>'תקציב הנדסה 2021'!AA27</f>
        <v>0</v>
      </c>
      <c r="AB27" s="72" t="str">
        <f>'תקציב הנדסה 2021'!AB27</f>
        <v>סל הוצאות בקשר עם תביעות סעיף 197.</v>
      </c>
      <c r="AC27" s="3">
        <f>'תקציב הנדסה 2021'!AC27</f>
        <v>760000</v>
      </c>
      <c r="AD27" s="387"/>
      <c r="AE27" s="387"/>
      <c r="AF27" s="387"/>
    </row>
    <row r="28" spans="1:32" s="5" customFormat="1" ht="56">
      <c r="A28" s="3">
        <f t="shared" si="0"/>
        <v>24</v>
      </c>
      <c r="B28" s="3">
        <f>'תקציב הנדסה 2021'!B28</f>
        <v>1551</v>
      </c>
      <c r="C28" s="280" t="str">
        <f>'תקציב הנדסה 2021'!C28</f>
        <v>צפון הרצליה הר' 2035</v>
      </c>
      <c r="D28" s="4">
        <f>'תקציב הנדסה 2021'!D28</f>
        <v>525240</v>
      </c>
      <c r="E28" s="4">
        <f>'תקציב הנדסה 2021'!E28</f>
        <v>525240</v>
      </c>
      <c r="F28" s="4">
        <f>'תקציב הנדסה 2021'!F28</f>
        <v>0</v>
      </c>
      <c r="G28" s="4">
        <f>'תקציב הנדסה 2021'!G28</f>
        <v>375240</v>
      </c>
      <c r="H28" s="4">
        <f>'תקציב הנדסה 2021'!H28</f>
        <v>225965</v>
      </c>
      <c r="I28" s="4">
        <f>'תקציב הנדסה 2021'!I28</f>
        <v>18729</v>
      </c>
      <c r="J28" s="4">
        <f>'תקציב הנדסה 2021'!J28</f>
        <v>0</v>
      </c>
      <c r="K28" s="4">
        <f>'תקציב הנדסה 2021'!K28</f>
        <v>18729</v>
      </c>
      <c r="L28" s="4">
        <f>'תקציב הנדסה 2021'!L28</f>
        <v>244694</v>
      </c>
      <c r="M28" s="4">
        <f>'תקציב הנדסה 2021'!M28</f>
        <v>546</v>
      </c>
      <c r="N28" s="4">
        <f>'תקציב הנדסה 2021'!N28</f>
        <v>200000</v>
      </c>
      <c r="O28" s="4">
        <f>'תקציב הנדסה 2021'!O28</f>
        <v>80000</v>
      </c>
      <c r="P28" s="4">
        <f>'תקציב הנדסה 2021'!P28</f>
        <v>130546</v>
      </c>
      <c r="Q28" s="4">
        <f>'תקציב הנדסה 2021'!Q28</f>
        <v>0</v>
      </c>
      <c r="R28" s="4">
        <f>'תקציב הנדסה 2021'!R28</f>
        <v>0</v>
      </c>
      <c r="S28" s="4">
        <f>'תקציב הנדסה 2021'!S28</f>
        <v>0</v>
      </c>
      <c r="T28" s="4">
        <f>'תקציב הנדסה 2021'!T28</f>
        <v>130000</v>
      </c>
      <c r="U28" s="4">
        <f>'תקציב הנדסה 2021'!U28</f>
        <v>70000</v>
      </c>
      <c r="V28" s="4">
        <f>'תקציב הנדסה 2021'!V28</f>
        <v>70000</v>
      </c>
      <c r="W28" s="4">
        <f>'תקציב הנדסה 2021'!W28</f>
        <v>0</v>
      </c>
      <c r="X28" s="4">
        <f>'תקציב הנדסה 2021'!X28</f>
        <v>0</v>
      </c>
      <c r="Y28" s="4">
        <f>'תקציב הנדסה 2021'!Y28</f>
        <v>0</v>
      </c>
      <c r="Z28" s="4">
        <f>'תקציב הנדסה 2021'!Z28</f>
        <v>0</v>
      </c>
      <c r="AA28" s="4">
        <f>'תקציב הנדסה 2021'!AA28</f>
        <v>0</v>
      </c>
      <c r="AB28" s="72" t="str">
        <f>'תקציב הנדסה 2021'!AB28</f>
        <v xml:space="preserve">הכנת חוו"ד תכנונית והערכות להתנגדות לתוכנית שמקדם מינהל התכנון והועדה המחוזית לכל צפון הרצליה ללא שיתוף העירייה. </v>
      </c>
      <c r="AC28" s="3">
        <f>'תקציב הנדסה 2021'!AC28</f>
        <v>732000</v>
      </c>
      <c r="AD28" s="387"/>
      <c r="AE28" s="387"/>
      <c r="AF28" s="387"/>
    </row>
    <row r="29" spans="1:32" s="6" customFormat="1" ht="30" customHeight="1">
      <c r="A29" s="3">
        <f t="shared" si="0"/>
        <v>25</v>
      </c>
      <c r="B29" s="3">
        <f>'תקציב הנדסה 2021'!B29</f>
        <v>1568</v>
      </c>
      <c r="C29" s="280" t="str">
        <f>'תקציב הנדסה 2021'!C29</f>
        <v>פיתוח פארק שלב ג'</v>
      </c>
      <c r="D29" s="4">
        <f>'תקציב הנדסה 2021'!D29</f>
        <v>46375301</v>
      </c>
      <c r="E29" s="4">
        <f>'תקציב הנדסה 2021'!E29</f>
        <v>46375301</v>
      </c>
      <c r="F29" s="4">
        <f>'תקציב הנדסה 2021'!F29</f>
        <v>0</v>
      </c>
      <c r="G29" s="4">
        <f>'תקציב הנדסה 2021'!G29</f>
        <v>28875301</v>
      </c>
      <c r="H29" s="4">
        <f>'תקציב הנדסה 2021'!H29</f>
        <v>27763907</v>
      </c>
      <c r="I29" s="4">
        <f>'תקציב הנדסה 2021'!I29</f>
        <v>822126</v>
      </c>
      <c r="J29" s="4">
        <f>'תקציב הנדסה 2021'!J29</f>
        <v>37672</v>
      </c>
      <c r="K29" s="4">
        <f>'תקציב הנדסה 2021'!K29</f>
        <v>859798</v>
      </c>
      <c r="L29" s="4">
        <f>'תקציב הנדסה 2021'!L29</f>
        <v>28623705</v>
      </c>
      <c r="M29" s="4">
        <f>'תקציב הנדסה 2021'!M29</f>
        <v>1596</v>
      </c>
      <c r="N29" s="4">
        <f>'תקציב הנדסה 2021'!N29</f>
        <v>0</v>
      </c>
      <c r="O29" s="4">
        <f>'תקציב הנדסה 2021'!O29</f>
        <v>17750000</v>
      </c>
      <c r="P29" s="4">
        <f>'תקציב הנדסה 2021'!P29</f>
        <v>251596</v>
      </c>
      <c r="Q29" s="4">
        <f>'תקציב הנדסה 2021'!Q29</f>
        <v>0</v>
      </c>
      <c r="R29" s="4">
        <f>'תקציב הנדסה 2021'!R29</f>
        <v>0</v>
      </c>
      <c r="S29" s="4">
        <f>'תקציב הנדסה 2021'!S29</f>
        <v>0</v>
      </c>
      <c r="T29" s="4">
        <f>'תקציב הנדסה 2021'!T29</f>
        <v>250000</v>
      </c>
      <c r="U29" s="4">
        <f>'תקציב הנדסה 2021'!U29</f>
        <v>-250000</v>
      </c>
      <c r="V29" s="4">
        <f>'תקציב הנדסה 2021'!V29</f>
        <v>-250000</v>
      </c>
      <c r="W29" s="4">
        <f>'תקציב הנדסה 2021'!W29</f>
        <v>0</v>
      </c>
      <c r="X29" s="4">
        <f>'תקציב הנדסה 2021'!X29</f>
        <v>0</v>
      </c>
      <c r="Y29" s="4">
        <f>'תקציב הנדסה 2021'!Y29</f>
        <v>0</v>
      </c>
      <c r="Z29" s="4">
        <f>'תקציב הנדסה 2021'!Z29</f>
        <v>0</v>
      </c>
      <c r="AA29" s="4">
        <f>'תקציב הנדסה 2021'!AA29</f>
        <v>0</v>
      </c>
      <c r="AB29" s="72">
        <f>'תקציב הנדסה 2021'!AB29</f>
        <v>0</v>
      </c>
      <c r="AC29" s="3">
        <f>'תקציב הנדסה 2021'!AC29</f>
        <v>746000</v>
      </c>
      <c r="AD29" s="387"/>
      <c r="AE29" s="387"/>
      <c r="AF29" s="387"/>
    </row>
    <row r="30" spans="1:32" s="5" customFormat="1" ht="30" customHeight="1">
      <c r="A30" s="3">
        <f t="shared" si="0"/>
        <v>26</v>
      </c>
      <c r="B30" s="3">
        <f>'תקציב הנדסה 2021'!B30</f>
        <v>1576</v>
      </c>
      <c r="C30" s="280" t="str">
        <f>'תקציב הנדסה 2021'!C30</f>
        <v>הוצאות אכיפה-דירות נופש במרינה</v>
      </c>
      <c r="D30" s="4">
        <f>'תקציב הנדסה 2021'!D30</f>
        <v>1000000</v>
      </c>
      <c r="E30" s="4">
        <f>'תקציב הנדסה 2021'!E30</f>
        <v>1000000</v>
      </c>
      <c r="F30" s="4">
        <f>'תקציב הנדסה 2021'!F30</f>
        <v>0</v>
      </c>
      <c r="G30" s="4">
        <f>'תקציב הנדסה 2021'!G30</f>
        <v>450000</v>
      </c>
      <c r="H30" s="4">
        <f>'תקציב הנדסה 2021'!H30</f>
        <v>372800</v>
      </c>
      <c r="I30" s="4">
        <f>'תקציב הנדסה 2021'!I30</f>
        <v>25973</v>
      </c>
      <c r="J30" s="4">
        <f>'תקציב הנדסה 2021'!J30</f>
        <v>0</v>
      </c>
      <c r="K30" s="4">
        <f>'תקציב הנדסה 2021'!K30</f>
        <v>25973</v>
      </c>
      <c r="L30" s="4">
        <f>'תקציב הנדסה 2021'!L30</f>
        <v>398773</v>
      </c>
      <c r="M30" s="4">
        <f>'תקציב הנדסה 2021'!M30</f>
        <v>1227</v>
      </c>
      <c r="N30" s="4">
        <f>'תקציב הנדסה 2021'!N30</f>
        <v>50000</v>
      </c>
      <c r="O30" s="4">
        <f>'תקציב הנדסה 2021'!O30</f>
        <v>550000</v>
      </c>
      <c r="P30" s="4">
        <f>'תקציב הנדסה 2021'!P30</f>
        <v>51227</v>
      </c>
      <c r="Q30" s="4">
        <f>'תקציב הנדסה 2021'!Q30</f>
        <v>0</v>
      </c>
      <c r="R30" s="4">
        <f>'תקציב הנדסה 2021'!R30</f>
        <v>0</v>
      </c>
      <c r="S30" s="4">
        <f>'תקציב הנדסה 2021'!S30</f>
        <v>0</v>
      </c>
      <c r="T30" s="4">
        <f>'תקציב הנדסה 2021'!T30</f>
        <v>50000</v>
      </c>
      <c r="U30" s="4">
        <f>'תקציב הנדסה 2021'!U30</f>
        <v>0</v>
      </c>
      <c r="V30" s="4">
        <f>'תקציב הנדסה 2021'!V30</f>
        <v>0</v>
      </c>
      <c r="W30" s="4">
        <f>'תקציב הנדסה 2021'!W30</f>
        <v>0</v>
      </c>
      <c r="X30" s="4">
        <f>'תקציב הנדסה 2021'!X30</f>
        <v>0</v>
      </c>
      <c r="Y30" s="4">
        <f>'תקציב הנדסה 2021'!Y30</f>
        <v>0</v>
      </c>
      <c r="Z30" s="4">
        <f>'תקציב הנדסה 2021'!Z30</f>
        <v>0</v>
      </c>
      <c r="AA30" s="4">
        <f>'תקציב הנדסה 2021'!AA30</f>
        <v>0</v>
      </c>
      <c r="AB30" s="72" t="str">
        <f>'תקציב הנדסה 2021'!AB30</f>
        <v>עלויות אכיפה צווי בית משפט במרינה.</v>
      </c>
      <c r="AC30" s="3">
        <f>'תקציב הנדסה 2021'!AC30</f>
        <v>732000</v>
      </c>
      <c r="AD30" s="387"/>
      <c r="AE30" s="387"/>
      <c r="AF30" s="387"/>
    </row>
    <row r="31" spans="1:32" s="6" customFormat="1" ht="30" customHeight="1">
      <c r="A31" s="3">
        <f t="shared" si="0"/>
        <v>27</v>
      </c>
      <c r="B31" s="3">
        <f>'תקציב הנדסה 2021'!B31</f>
        <v>1587</v>
      </c>
      <c r="C31" s="280" t="str">
        <f>'תקציב הנדסה 2021'!C31</f>
        <v>פיתוח מתחם המכללות הר' 1920/1</v>
      </c>
      <c r="D31" s="4">
        <f>'תקציב הנדסה 2021'!D31</f>
        <v>34200000</v>
      </c>
      <c r="E31" s="4">
        <f>'תקציב הנדסה 2021'!E31</f>
        <v>34200000</v>
      </c>
      <c r="F31" s="4">
        <f>'תקציב הנדסה 2021'!F31</f>
        <v>0</v>
      </c>
      <c r="G31" s="4">
        <f>'תקציב הנדסה 2021'!G31</f>
        <v>12550000</v>
      </c>
      <c r="H31" s="4">
        <f>'תקציב הנדסה 2021'!H31</f>
        <v>8932630</v>
      </c>
      <c r="I31" s="4">
        <f>'תקציב הנדסה 2021'!I31</f>
        <v>1089975</v>
      </c>
      <c r="J31" s="4">
        <f>'תקציב הנדסה 2021'!J31</f>
        <v>1077252</v>
      </c>
      <c r="K31" s="4">
        <f>'תקציב הנדסה 2021'!K31</f>
        <v>2167227</v>
      </c>
      <c r="L31" s="4">
        <f>'תקציב הנדסה 2021'!L31</f>
        <v>11099857</v>
      </c>
      <c r="M31" s="4">
        <f>'תקציב הנדסה 2021'!M31</f>
        <v>50143</v>
      </c>
      <c r="N31" s="4">
        <f>'תקציב הנדסה 2021'!N31</f>
        <v>1500000</v>
      </c>
      <c r="O31" s="4">
        <f>'תקציב הנדסה 2021'!O31</f>
        <v>21550000</v>
      </c>
      <c r="P31" s="4">
        <f>'תקציב הנדסה 2021'!P31</f>
        <v>1450143</v>
      </c>
      <c r="Q31" s="4">
        <f>'תקציב הנדסה 2021'!Q31</f>
        <v>0</v>
      </c>
      <c r="R31" s="4">
        <f>'תקציב הנדסה 2021'!R31</f>
        <v>0</v>
      </c>
      <c r="S31" s="4">
        <f>'תקציב הנדסה 2021'!S31</f>
        <v>0</v>
      </c>
      <c r="T31" s="4">
        <f>'תקציב הנדסה 2021'!T31</f>
        <v>1400000</v>
      </c>
      <c r="U31" s="4">
        <f>'תקציב הנדסה 2021'!U31</f>
        <v>100000</v>
      </c>
      <c r="V31" s="4">
        <f>'תקציב הנדסה 2021'!V31</f>
        <v>100000</v>
      </c>
      <c r="W31" s="4">
        <f>'תקציב הנדסה 2021'!W31</f>
        <v>0</v>
      </c>
      <c r="X31" s="4">
        <f>'תקציב הנדסה 2021'!X31</f>
        <v>0</v>
      </c>
      <c r="Y31" s="4">
        <f>'תקציב הנדסה 2021'!Y31</f>
        <v>0</v>
      </c>
      <c r="Z31" s="4">
        <f>'תקציב הנדסה 2021'!Z31</f>
        <v>0</v>
      </c>
      <c r="AA31" s="4">
        <f>'תקציב הנדסה 2021'!AA31</f>
        <v>0</v>
      </c>
      <c r="AB31" s="72" t="str">
        <f>'תקציב הנדסה 2021'!AB31</f>
        <v xml:space="preserve">עבודה סלילה, גינון ותאורה במתחם. </v>
      </c>
      <c r="AC31" s="3">
        <f>'תקציב הנדסה 2021'!AC31</f>
        <v>742000</v>
      </c>
      <c r="AD31" s="387"/>
      <c r="AE31" s="387"/>
      <c r="AF31" s="387"/>
    </row>
    <row r="32" spans="1:32" s="5" customFormat="1" ht="30" customHeight="1">
      <c r="A32" s="3">
        <f t="shared" si="0"/>
        <v>28</v>
      </c>
      <c r="B32" s="3">
        <f>'תקציב הנדסה 2021'!B32</f>
        <v>1601</v>
      </c>
      <c r="C32" s="280" t="str">
        <f>'תקציב הנדסה 2021'!C32</f>
        <v>העתקות פרויקטים שונים</v>
      </c>
      <c r="D32" s="4">
        <f>'תקציב הנדסה 2021'!D32</f>
        <v>700000</v>
      </c>
      <c r="E32" s="4">
        <f>'תקציב הנדסה 2021'!E32</f>
        <v>700000</v>
      </c>
      <c r="F32" s="4">
        <f>'תקציב הנדסה 2021'!F32</f>
        <v>0</v>
      </c>
      <c r="G32" s="4">
        <f>'תקציב הנדסה 2021'!G32</f>
        <v>650000</v>
      </c>
      <c r="H32" s="4">
        <f>'תקציב הנדסה 2021'!H32</f>
        <v>538227</v>
      </c>
      <c r="I32" s="4">
        <f>'תקציב הנדסה 2021'!I32</f>
        <v>0</v>
      </c>
      <c r="J32" s="4">
        <f>'תקציב הנדסה 2021'!J32</f>
        <v>0</v>
      </c>
      <c r="K32" s="4">
        <f>'תקציב הנדסה 2021'!K32</f>
        <v>0</v>
      </c>
      <c r="L32" s="4">
        <f>'תקציב הנדסה 2021'!L32</f>
        <v>538227</v>
      </c>
      <c r="M32" s="4">
        <f>'תקציב הנדסה 2021'!M32</f>
        <v>11773</v>
      </c>
      <c r="N32" s="4">
        <f>'תקציב הנדסה 2021'!N32</f>
        <v>100000</v>
      </c>
      <c r="O32" s="4">
        <f>'תקציב הנדסה 2021'!O32</f>
        <v>50000</v>
      </c>
      <c r="P32" s="4">
        <f>'תקציב הנדסה 2021'!P32</f>
        <v>111773</v>
      </c>
      <c r="Q32" s="4">
        <f>'תקציב הנדסה 2021'!Q32</f>
        <v>0</v>
      </c>
      <c r="R32" s="4">
        <f>'תקציב הנדסה 2021'!R32</f>
        <v>0</v>
      </c>
      <c r="S32" s="4">
        <f>'תקציב הנדסה 2021'!S32</f>
        <v>0</v>
      </c>
      <c r="T32" s="4">
        <f>'תקציב הנדסה 2021'!T32</f>
        <v>100000</v>
      </c>
      <c r="U32" s="4">
        <f>'תקציב הנדסה 2021'!U32</f>
        <v>0</v>
      </c>
      <c r="V32" s="4">
        <f>'תקציב הנדסה 2021'!V32</f>
        <v>0</v>
      </c>
      <c r="W32" s="4">
        <f>'תקציב הנדסה 2021'!W32</f>
        <v>0</v>
      </c>
      <c r="X32" s="4">
        <f>'תקציב הנדסה 2021'!X32</f>
        <v>0</v>
      </c>
      <c r="Y32" s="4">
        <f>'תקציב הנדסה 2021'!Y32</f>
        <v>0</v>
      </c>
      <c r="Z32" s="4">
        <f>'תקציב הנדסה 2021'!Z32</f>
        <v>0</v>
      </c>
      <c r="AA32" s="4">
        <f>'תקציב הנדסה 2021'!AA32</f>
        <v>0</v>
      </c>
      <c r="AB32" s="72" t="str">
        <f>'תקציב הנדסה 2021'!AB32</f>
        <v>סל העתקות אור של תוכניות הפרויקטים השונים.</v>
      </c>
      <c r="AC32" s="3">
        <f>'תקציב הנדסה 2021'!AC32</f>
        <v>742000</v>
      </c>
      <c r="AD32" s="387"/>
      <c r="AE32" s="387"/>
      <c r="AF32" s="387"/>
    </row>
    <row r="33" spans="1:32" s="5" customFormat="1" ht="30" customHeight="1">
      <c r="A33" s="3">
        <f t="shared" si="0"/>
        <v>29</v>
      </c>
      <c r="B33" s="3">
        <f>'תקציב הנדסה 2021'!B33</f>
        <v>1602</v>
      </c>
      <c r="C33" s="280" t="str">
        <f>'תקציב הנדסה 2021'!C33</f>
        <v>רח' ז'בוטינסקי אלתרמן הבריגדה</v>
      </c>
      <c r="D33" s="4">
        <f>'תקציב הנדסה 2021'!D33</f>
        <v>32000000</v>
      </c>
      <c r="E33" s="4">
        <f>'תקציב הנדסה 2021'!E33</f>
        <v>32500000</v>
      </c>
      <c r="F33" s="4">
        <f>'תקציב הנדסה 2021'!F33</f>
        <v>-500000</v>
      </c>
      <c r="G33" s="4">
        <f>'תקציב הנדסה 2021'!G33</f>
        <v>32500000</v>
      </c>
      <c r="H33" s="4">
        <f>'תקציב הנדסה 2021'!H33</f>
        <v>29113324</v>
      </c>
      <c r="I33" s="4">
        <f>'תקציב הנדסה 2021'!I33</f>
        <v>2559506</v>
      </c>
      <c r="J33" s="4">
        <f>'תקציב הנדסה 2021'!J33</f>
        <v>119805</v>
      </c>
      <c r="K33" s="4">
        <f>'תקציב הנדסה 2021'!K33</f>
        <v>2679311</v>
      </c>
      <c r="L33" s="4">
        <f>'תקציב הנדסה 2021'!L33</f>
        <v>31792635</v>
      </c>
      <c r="M33" s="4">
        <f>'תקציב הנדסה 2021'!M33</f>
        <v>207365</v>
      </c>
      <c r="N33" s="4">
        <f>'תקציב הנדסה 2021'!N33</f>
        <v>0</v>
      </c>
      <c r="O33" s="4">
        <f>'תקציב הנדסה 2021'!O33</f>
        <v>0</v>
      </c>
      <c r="P33" s="4">
        <f>'תקציב הנדסה 2021'!P33</f>
        <v>707365</v>
      </c>
      <c r="Q33" s="4">
        <f>'תקציב הנדסה 2021'!Q33</f>
        <v>0</v>
      </c>
      <c r="R33" s="4">
        <f>'תקציב הנדסה 2021'!R33</f>
        <v>0</v>
      </c>
      <c r="S33" s="4">
        <f>'תקציב הנדסה 2021'!S33</f>
        <v>0</v>
      </c>
      <c r="T33" s="4">
        <f>'תקציב הנדסה 2021'!T33</f>
        <v>500000</v>
      </c>
      <c r="U33" s="4">
        <f>'תקציב הנדסה 2021'!U33</f>
        <v>-500000</v>
      </c>
      <c r="V33" s="4">
        <f>'תקציב הנדסה 2021'!V33</f>
        <v>-500000</v>
      </c>
      <c r="W33" s="4">
        <f>'תקציב הנדסה 2021'!W33</f>
        <v>0</v>
      </c>
      <c r="X33" s="4">
        <f>'תקציב הנדסה 2021'!X33</f>
        <v>0</v>
      </c>
      <c r="Y33" s="4">
        <f>'תקציב הנדסה 2021'!Y33</f>
        <v>0</v>
      </c>
      <c r="Z33" s="4">
        <f>'תקציב הנדסה 2021'!Z33</f>
        <v>0</v>
      </c>
      <c r="AA33" s="4">
        <f>'תקציב הנדסה 2021'!AA33</f>
        <v>0</v>
      </c>
      <c r="AB33" s="72" t="str">
        <f>'תקציב הנדסה 2021'!AB33</f>
        <v>עבודות פיתוח במתחם הרחובות והרחבתם.סיום. ח-ן סופיים.</v>
      </c>
      <c r="AC33" s="3">
        <f>'תקציב הנדסה 2021'!AC33</f>
        <v>742000</v>
      </c>
      <c r="AD33" s="387"/>
      <c r="AE33" s="387"/>
      <c r="AF33" s="387"/>
    </row>
    <row r="34" spans="1:32" s="5" customFormat="1" ht="42">
      <c r="A34" s="3">
        <f t="shared" si="0"/>
        <v>30</v>
      </c>
      <c r="B34" s="3">
        <f>'תקציב הנדסה 2021'!B34</f>
        <v>1620</v>
      </c>
      <c r="C34" s="280" t="str">
        <f>'תקציב הנדסה 2021'!C34</f>
        <v xml:space="preserve"> תכנון חיבוריות בין מזרח למערב </v>
      </c>
      <c r="D34" s="4">
        <f>'תקציב הנדסה 2021'!D34</f>
        <v>1000000</v>
      </c>
      <c r="E34" s="4">
        <f>'תקציב הנדסה 2021'!E34</f>
        <v>1000000</v>
      </c>
      <c r="F34" s="4">
        <f>'תקציב הנדסה 2021'!F34</f>
        <v>0</v>
      </c>
      <c r="G34" s="4">
        <f>'תקציב הנדסה 2021'!G34</f>
        <v>300000</v>
      </c>
      <c r="H34" s="4">
        <f>'תקציב הנדסה 2021'!H34</f>
        <v>0</v>
      </c>
      <c r="I34" s="4">
        <f>'תקציב הנדסה 2021'!I34</f>
        <v>0</v>
      </c>
      <c r="J34" s="4">
        <f>'תקציב הנדסה 2021'!J34</f>
        <v>0</v>
      </c>
      <c r="K34" s="4">
        <f>'תקציב הנדסה 2021'!K34</f>
        <v>0</v>
      </c>
      <c r="L34" s="4">
        <f>'תקציב הנדסה 2021'!L34</f>
        <v>0</v>
      </c>
      <c r="M34" s="4">
        <f>'תקציב הנדסה 2021'!M34</f>
        <v>0</v>
      </c>
      <c r="N34" s="4">
        <f>'תקציב הנדסה 2021'!N34</f>
        <v>300000</v>
      </c>
      <c r="O34" s="4">
        <f>'תקציב הנדסה 2021'!O34</f>
        <v>700000</v>
      </c>
      <c r="P34" s="4">
        <f>'תקציב הנדסה 2021'!P34</f>
        <v>300000</v>
      </c>
      <c r="Q34" s="4">
        <f>'תקציב הנדסה 2021'!Q34</f>
        <v>0</v>
      </c>
      <c r="R34" s="4">
        <f>'תקציב הנדסה 2021'!R34</f>
        <v>0</v>
      </c>
      <c r="S34" s="4">
        <f>'תקציב הנדסה 2021'!S34</f>
        <v>0</v>
      </c>
      <c r="T34" s="4">
        <f>'תקציב הנדסה 2021'!T34</f>
        <v>300000</v>
      </c>
      <c r="U34" s="4">
        <f>'תקציב הנדסה 2021'!U34</f>
        <v>0</v>
      </c>
      <c r="V34" s="4">
        <f>'תקציב הנדסה 2021'!V34</f>
        <v>0</v>
      </c>
      <c r="W34" s="4">
        <f>'תקציב הנדסה 2021'!W34</f>
        <v>0</v>
      </c>
      <c r="X34" s="4">
        <f>'תקציב הנדסה 2021'!X34</f>
        <v>0</v>
      </c>
      <c r="Y34" s="4">
        <f>'תקציב הנדסה 2021'!Y34</f>
        <v>0</v>
      </c>
      <c r="Z34" s="4">
        <f>'תקציב הנדסה 2021'!Z34</f>
        <v>0</v>
      </c>
      <c r="AA34" s="4">
        <f>'תקציב הנדסה 2021'!AA34</f>
        <v>0</v>
      </c>
      <c r="AB34" s="72" t="str">
        <f>'תקציב הנדסה 2021'!AB34</f>
        <v>תכנון כולל לסוגיית חיזוק הקשר בין מזרח העיר למערבה באמצעות תוספות של גשרים להולכי רגל ורכב דו גלגלי.</v>
      </c>
      <c r="AC34" s="3">
        <f>'תקציב הנדסה 2021'!AC34</f>
        <v>732000</v>
      </c>
      <c r="AD34" s="387"/>
      <c r="AE34" s="387"/>
      <c r="AF34" s="387"/>
    </row>
    <row r="35" spans="1:32" s="6" customFormat="1" ht="42">
      <c r="A35" s="3">
        <f t="shared" si="0"/>
        <v>31</v>
      </c>
      <c r="B35" s="3">
        <f>'תקציב הנדסה 2021'!B35</f>
        <v>1660</v>
      </c>
      <c r="C35" s="280" t="str">
        <f>'תקציב הנדסה 2021'!C35</f>
        <v>תכנון פרויקטים פינוי בינוי</v>
      </c>
      <c r="D35" s="4">
        <f>'תקציב הנדסה 2021'!D35</f>
        <v>2000000</v>
      </c>
      <c r="E35" s="4">
        <f>'תקציב הנדסה 2021'!E35</f>
        <v>2000000</v>
      </c>
      <c r="F35" s="4">
        <f>'תקציב הנדסה 2021'!F35</f>
        <v>0</v>
      </c>
      <c r="G35" s="4">
        <f>'תקציב הנדסה 2021'!G35</f>
        <v>1100000</v>
      </c>
      <c r="H35" s="4">
        <f>'תקציב הנדסה 2021'!H35</f>
        <v>126220</v>
      </c>
      <c r="I35" s="4">
        <f>'תקציב הנדסה 2021'!I35</f>
        <v>345150</v>
      </c>
      <c r="J35" s="4">
        <f>'תקציב הנדסה 2021'!J35</f>
        <v>9966</v>
      </c>
      <c r="K35" s="4">
        <f>'תקציב הנדסה 2021'!K35</f>
        <v>355116</v>
      </c>
      <c r="L35" s="4">
        <f>'תקציב הנדסה 2021'!L35</f>
        <v>481336</v>
      </c>
      <c r="M35" s="4">
        <f>'תקציב הנדסה 2021'!M35</f>
        <v>18664</v>
      </c>
      <c r="N35" s="4">
        <f>'תקציב הנדסה 2021'!N35</f>
        <v>800000</v>
      </c>
      <c r="O35" s="4">
        <f>'תקציב הנדסה 2021'!O35</f>
        <v>700000</v>
      </c>
      <c r="P35" s="4">
        <f>'תקציב הנדסה 2021'!P35</f>
        <v>618664</v>
      </c>
      <c r="Q35" s="4">
        <f>'תקציב הנדסה 2021'!Q35</f>
        <v>0</v>
      </c>
      <c r="R35" s="4">
        <f>'תקציב הנדסה 2021'!R35</f>
        <v>0</v>
      </c>
      <c r="S35" s="4">
        <f>'תקציב הנדסה 2021'!S35</f>
        <v>0</v>
      </c>
      <c r="T35" s="4">
        <f>'תקציב הנדסה 2021'!T35</f>
        <v>600000</v>
      </c>
      <c r="U35" s="4">
        <f>'תקציב הנדסה 2021'!U35</f>
        <v>200000</v>
      </c>
      <c r="V35" s="4">
        <f>'תקציב הנדסה 2021'!V35</f>
        <v>200000</v>
      </c>
      <c r="W35" s="4">
        <f>'תקציב הנדסה 2021'!W35</f>
        <v>0</v>
      </c>
      <c r="X35" s="4">
        <f>'תקציב הנדסה 2021'!X35</f>
        <v>0</v>
      </c>
      <c r="Y35" s="4">
        <f>'תקציב הנדסה 2021'!Y35</f>
        <v>0</v>
      </c>
      <c r="Z35" s="4">
        <f>'תקציב הנדסה 2021'!Z35</f>
        <v>0</v>
      </c>
      <c r="AA35" s="4">
        <f>'תקציב הנדסה 2021'!AA35</f>
        <v>0</v>
      </c>
      <c r="AB35" s="72" t="str">
        <f>'תקציב הנדסה 2021'!AB35</f>
        <v>בדיקת התכנות של מתחמי פינוי בינוי ותכנון פרויקטים להתחדשות עירונית ופינוי בינוי. איחוד עם תב"ר 1674.</v>
      </c>
      <c r="AC35" s="3">
        <f>'תקציב הנדסה 2021'!AC35</f>
        <v>732000</v>
      </c>
      <c r="AD35" s="387"/>
      <c r="AE35" s="387"/>
      <c r="AF35" s="387"/>
    </row>
    <row r="36" spans="1:32" s="5" customFormat="1" ht="36" customHeight="1">
      <c r="A36" s="3">
        <f t="shared" si="0"/>
        <v>32</v>
      </c>
      <c r="B36" s="3">
        <f>'תקציב הנדסה 2021'!B36</f>
        <v>1670</v>
      </c>
      <c r="C36" s="280" t="str">
        <f>'תקציב הנדסה 2021'!C36</f>
        <v>פתוח מתחם הר' 1972 תחנה מרכזית</v>
      </c>
      <c r="D36" s="4">
        <f>'תקציב הנדסה 2021'!D36</f>
        <v>17800000</v>
      </c>
      <c r="E36" s="4">
        <f>'תקציב הנדסה 2021'!E36</f>
        <v>12500000</v>
      </c>
      <c r="F36" s="4">
        <f>'תקציב הנדסה 2021'!F36</f>
        <v>5300000</v>
      </c>
      <c r="G36" s="4">
        <f>'תקציב הנדסה 2021'!G36</f>
        <v>1550000</v>
      </c>
      <c r="H36" s="4">
        <f>'תקציב הנדסה 2021'!H36</f>
        <v>191608</v>
      </c>
      <c r="I36" s="4">
        <f>'תקציב הנדסה 2021'!I36</f>
        <v>195570</v>
      </c>
      <c r="J36" s="4">
        <f>'תקציב הנדסה 2021'!J36</f>
        <v>78302</v>
      </c>
      <c r="K36" s="4">
        <f>'תקציב הנדסה 2021'!K36</f>
        <v>273872</v>
      </c>
      <c r="L36" s="4">
        <f>'תקציב הנדסה 2021'!L36</f>
        <v>465480</v>
      </c>
      <c r="M36" s="4">
        <f>'תקציב הנדסה 2021'!M36</f>
        <v>84520</v>
      </c>
      <c r="N36" s="4">
        <f>'תקציב הנדסה 2021'!N36</f>
        <v>1800000</v>
      </c>
      <c r="O36" s="4">
        <f>'תקציב הנדסה 2021'!O36</f>
        <v>15450000</v>
      </c>
      <c r="P36" s="4">
        <f>'תקציב הנדסה 2021'!P36</f>
        <v>1084520</v>
      </c>
      <c r="Q36" s="4">
        <f>'תקציב הנדסה 2021'!Q36</f>
        <v>0</v>
      </c>
      <c r="R36" s="4">
        <f>'תקציב הנדסה 2021'!R36</f>
        <v>0</v>
      </c>
      <c r="S36" s="4">
        <f>'תקציב הנדסה 2021'!S36</f>
        <v>0</v>
      </c>
      <c r="T36" s="4">
        <f>'תקציב הנדסה 2021'!T36</f>
        <v>1000000</v>
      </c>
      <c r="U36" s="4">
        <f>'תקציב הנדסה 2021'!U36</f>
        <v>800000</v>
      </c>
      <c r="V36" s="4">
        <f>'תקציב הנדסה 2021'!V36</f>
        <v>800000</v>
      </c>
      <c r="W36" s="4">
        <f>'תקציב הנדסה 2021'!W36</f>
        <v>0</v>
      </c>
      <c r="X36" s="4">
        <f>'תקציב הנדסה 2021'!X36</f>
        <v>0</v>
      </c>
      <c r="Y36" s="4">
        <f>'תקציב הנדסה 2021'!Y36</f>
        <v>0</v>
      </c>
      <c r="Z36" s="4">
        <f>'תקציב הנדסה 2021'!Z36</f>
        <v>0</v>
      </c>
      <c r="AA36" s="4">
        <f>'תקציב הנדסה 2021'!AA36</f>
        <v>0</v>
      </c>
      <c r="AB36" s="72" t="str">
        <f>'תקציב הנדסה 2021'!AB36</f>
        <v xml:space="preserve">תכנון פיתוח מתחם "ניצבא" כולל פיתוח רחוב העצמאות מבן גוריון עד קהילת ציון. </v>
      </c>
      <c r="AC36" s="3">
        <f>'תקציב הנדסה 2021'!AC36</f>
        <v>742000</v>
      </c>
      <c r="AD36" s="387"/>
      <c r="AE36" s="387"/>
      <c r="AF36" s="387"/>
    </row>
    <row r="37" spans="1:32" s="6" customFormat="1" ht="42">
      <c r="A37" s="3">
        <f t="shared" si="0"/>
        <v>33</v>
      </c>
      <c r="B37" s="3">
        <f>'תקציב הנדסה 2021'!B37</f>
        <v>1674</v>
      </c>
      <c r="C37" s="280" t="str">
        <f>'תקציב הנדסה 2021'!C37</f>
        <v>התחדשות עירונית</v>
      </c>
      <c r="D37" s="4">
        <f>'תקציב הנדסה 2021'!D37</f>
        <v>1800000</v>
      </c>
      <c r="E37" s="4">
        <f>'תקציב הנדסה 2021'!E37</f>
        <v>2300000</v>
      </c>
      <c r="F37" s="4">
        <f>'תקציב הנדסה 2021'!F37</f>
        <v>-500000</v>
      </c>
      <c r="G37" s="4">
        <f>'תקציב הנדסה 2021'!G37</f>
        <v>2300000</v>
      </c>
      <c r="H37" s="4">
        <f>'תקציב הנדסה 2021'!H37</f>
        <v>1565978</v>
      </c>
      <c r="I37" s="4">
        <f>'תקציב הנדסה 2021'!I37</f>
        <v>127422</v>
      </c>
      <c r="J37" s="4">
        <f>'תקציב הנדסה 2021'!J37</f>
        <v>88003</v>
      </c>
      <c r="K37" s="4">
        <f>'תקציב הנדסה 2021'!K37</f>
        <v>215425</v>
      </c>
      <c r="L37" s="4">
        <f>'תקציב הנדסה 2021'!L37</f>
        <v>1781403</v>
      </c>
      <c r="M37" s="4">
        <f>'תקציב הנדסה 2021'!M37</f>
        <v>18597</v>
      </c>
      <c r="N37" s="4">
        <f>'תקציב הנדסה 2021'!N37</f>
        <v>0</v>
      </c>
      <c r="O37" s="4">
        <f>'תקציב הנדסה 2021'!O37</f>
        <v>0</v>
      </c>
      <c r="P37" s="4">
        <f>'תקציב הנדסה 2021'!P37</f>
        <v>518597</v>
      </c>
      <c r="Q37" s="4">
        <f>'תקציב הנדסה 2021'!Q37</f>
        <v>0</v>
      </c>
      <c r="R37" s="4">
        <f>'תקציב הנדסה 2021'!R37</f>
        <v>0</v>
      </c>
      <c r="S37" s="4">
        <f>'תקציב הנדסה 2021'!S37</f>
        <v>0</v>
      </c>
      <c r="T37" s="4">
        <f>'תקציב הנדסה 2021'!T37</f>
        <v>500000</v>
      </c>
      <c r="U37" s="4">
        <f>'תקציב הנדסה 2021'!U37</f>
        <v>-500000</v>
      </c>
      <c r="V37" s="4">
        <f>'תקציב הנדסה 2021'!V37</f>
        <v>-500000</v>
      </c>
      <c r="W37" s="4">
        <f>'תקציב הנדסה 2021'!W37</f>
        <v>0</v>
      </c>
      <c r="X37" s="4">
        <f>'תקציב הנדסה 2021'!X37</f>
        <v>0</v>
      </c>
      <c r="Y37" s="4">
        <f>'תקציב הנדסה 2021'!Y37</f>
        <v>0</v>
      </c>
      <c r="Z37" s="4">
        <f>'תקציב הנדסה 2021'!Z37</f>
        <v>0</v>
      </c>
      <c r="AA37" s="4">
        <f>'תקציב הנדסה 2021'!AA37</f>
        <v>0</v>
      </c>
      <c r="AB37" s="72" t="str">
        <f>'תקציב הנדסה 2021'!AB37</f>
        <v>בדיקת התכנות טרם קביעת ותוך כדי בחינת מתחמי פינוי בינוי. ראה תב"ר 1660.</v>
      </c>
      <c r="AC37" s="3">
        <f>'תקציב הנדסה 2021'!AC37</f>
        <v>732000</v>
      </c>
      <c r="AD37" s="387"/>
      <c r="AE37" s="387"/>
      <c r="AF37" s="387"/>
    </row>
    <row r="38" spans="1:32" s="5" customFormat="1" ht="42">
      <c r="A38" s="3">
        <f t="shared" si="0"/>
        <v>34</v>
      </c>
      <c r="B38" s="3">
        <f>'תקציב הנדסה 2021'!B38</f>
        <v>1692</v>
      </c>
      <c r="C38" s="280" t="str">
        <f>'תקציב הנדסה 2021'!C38</f>
        <v>פינוי בינוי מעונות שרה</v>
      </c>
      <c r="D38" s="4">
        <f>'תקציב הנדסה 2021'!D38</f>
        <v>2450000</v>
      </c>
      <c r="E38" s="4">
        <f>'תקציב הנדסה 2021'!E38</f>
        <v>2450000</v>
      </c>
      <c r="F38" s="4">
        <f>'תקציב הנדסה 2021'!F38</f>
        <v>0</v>
      </c>
      <c r="G38" s="4">
        <f>'תקציב הנדסה 2021'!G38</f>
        <v>1746509</v>
      </c>
      <c r="H38" s="4">
        <f>'תקציב הנדסה 2021'!H38</f>
        <v>578671</v>
      </c>
      <c r="I38" s="4">
        <f>'תקציב הנדסה 2021'!I38</f>
        <v>128716</v>
      </c>
      <c r="J38" s="4">
        <f>'תקציב הנדסה 2021'!J38</f>
        <v>0</v>
      </c>
      <c r="K38" s="4">
        <f>'תקציב הנדסה 2021'!K38</f>
        <v>128716</v>
      </c>
      <c r="L38" s="4">
        <f>'תקציב הנדסה 2021'!L38</f>
        <v>707387</v>
      </c>
      <c r="M38" s="4">
        <f>'תקציב הנדסה 2021'!M38</f>
        <v>1039122</v>
      </c>
      <c r="N38" s="4">
        <f>'תקציב הנדסה 2021'!N38</f>
        <v>0</v>
      </c>
      <c r="O38" s="4">
        <f>'תקציב הנדסה 2021'!O38</f>
        <v>703491</v>
      </c>
      <c r="P38" s="4">
        <f>'תקציב הנדסה 2021'!P38</f>
        <v>1039122</v>
      </c>
      <c r="Q38" s="4">
        <f>'תקציב הנדסה 2021'!Q38</f>
        <v>0</v>
      </c>
      <c r="R38" s="4">
        <f>'תקציב הנדסה 2021'!R38</f>
        <v>0</v>
      </c>
      <c r="S38" s="4">
        <f>'תקציב הנדסה 2021'!S38</f>
        <v>0</v>
      </c>
      <c r="T38" s="4">
        <f>'תקציב הנדסה 2021'!T38</f>
        <v>0</v>
      </c>
      <c r="U38" s="4">
        <f>'תקציב הנדסה 2021'!U38</f>
        <v>0</v>
      </c>
      <c r="V38" s="4">
        <f>'תקציב הנדסה 2021'!V38</f>
        <v>0</v>
      </c>
      <c r="W38" s="4">
        <f>'תקציב הנדסה 2021'!W38</f>
        <v>0</v>
      </c>
      <c r="X38" s="4">
        <f>'תקציב הנדסה 2021'!X38</f>
        <v>0</v>
      </c>
      <c r="Y38" s="4">
        <f>'תקציב הנדסה 2021'!Y38</f>
        <v>0</v>
      </c>
      <c r="Z38" s="4">
        <f>'תקציב הנדסה 2021'!Z38</f>
        <v>0</v>
      </c>
      <c r="AA38" s="4">
        <f>'תקציב הנדסה 2021'!AA38</f>
        <v>0</v>
      </c>
      <c r="AB38" s="72" t="str">
        <f>'תקציב הנדסה 2021'!AB38</f>
        <v>תכנון מתחם מעונות שרה לפינוי ובינוי.התוכנית בשלב סטוטורי מתקדם - בשלב הפקדה. מימון מ. הבינוי.</v>
      </c>
      <c r="AC38" s="3">
        <f>'תקציב הנדסה 2021'!AC38</f>
        <v>732000</v>
      </c>
      <c r="AD38" s="387"/>
      <c r="AE38" s="387"/>
      <c r="AF38" s="387"/>
    </row>
    <row r="39" spans="1:32" s="5" customFormat="1" ht="42">
      <c r="A39" s="3">
        <f t="shared" si="0"/>
        <v>35</v>
      </c>
      <c r="B39" s="3">
        <f>'תקציב הנדסה 2021'!B39</f>
        <v>1693</v>
      </c>
      <c r="C39" s="280" t="str">
        <f>'תקציב הנדסה 2021'!C39</f>
        <v xml:space="preserve">פינוי בינוי צומת כדורי </v>
      </c>
      <c r="D39" s="4">
        <f>'תקציב הנדסה 2021'!D39</f>
        <v>4500000</v>
      </c>
      <c r="E39" s="4">
        <f>'תקציב הנדסה 2021'!E39</f>
        <v>4500000</v>
      </c>
      <c r="F39" s="4">
        <f>'תקציב הנדסה 2021'!F39</f>
        <v>0</v>
      </c>
      <c r="G39" s="4">
        <f>'תקציב הנדסה 2021'!G39</f>
        <v>2235481</v>
      </c>
      <c r="H39" s="4">
        <f>'תקציב הנדסה 2021'!H39</f>
        <v>312539</v>
      </c>
      <c r="I39" s="4">
        <f>'תקציב הנדסה 2021'!I39</f>
        <v>48063</v>
      </c>
      <c r="J39" s="4">
        <f>'תקציב הנדסה 2021'!J39</f>
        <v>0</v>
      </c>
      <c r="K39" s="4">
        <f>'תקציב הנדסה 2021'!K39</f>
        <v>48063</v>
      </c>
      <c r="L39" s="4">
        <f>'תקציב הנדסה 2021'!L39</f>
        <v>360602</v>
      </c>
      <c r="M39" s="4">
        <f>'תקציב הנדסה 2021'!M39</f>
        <v>1874879</v>
      </c>
      <c r="N39" s="4">
        <f>'תקציב הנדסה 2021'!N39</f>
        <v>0</v>
      </c>
      <c r="O39" s="4">
        <f>'תקציב הנדסה 2021'!O39</f>
        <v>2264519</v>
      </c>
      <c r="P39" s="4">
        <f>'תקציב הנדסה 2021'!P39</f>
        <v>1874879</v>
      </c>
      <c r="Q39" s="4">
        <f>'תקציב הנדסה 2021'!Q39</f>
        <v>0</v>
      </c>
      <c r="R39" s="4">
        <f>'תקציב הנדסה 2021'!R39</f>
        <v>0</v>
      </c>
      <c r="S39" s="4">
        <f>'תקציב הנדסה 2021'!S39</f>
        <v>0</v>
      </c>
      <c r="T39" s="4">
        <f>'תקציב הנדסה 2021'!T39</f>
        <v>0</v>
      </c>
      <c r="U39" s="4">
        <f>'תקציב הנדסה 2021'!U39</f>
        <v>0</v>
      </c>
      <c r="V39" s="4">
        <f>'תקציב הנדסה 2021'!V39</f>
        <v>0</v>
      </c>
      <c r="W39" s="4">
        <f>'תקציב הנדסה 2021'!W39</f>
        <v>0</v>
      </c>
      <c r="X39" s="4">
        <f>'תקציב הנדסה 2021'!X39</f>
        <v>0</v>
      </c>
      <c r="Y39" s="4">
        <f>'תקציב הנדסה 2021'!Y39</f>
        <v>0</v>
      </c>
      <c r="Z39" s="4">
        <f>'תקציב הנדסה 2021'!Z39</f>
        <v>0</v>
      </c>
      <c r="AA39" s="4">
        <f>'תקציב הנדסה 2021'!AA39</f>
        <v>0</v>
      </c>
      <c r="AB39" s="72" t="str">
        <f>'תקציב הנדסה 2021'!AB39</f>
        <v>תכנון מתחם צומת כדורי לפינוי ובינוי.התוכנית בשלב של הנעת התכנון לשלבים סטטוטוריים.מימון מ. הבינוי.</v>
      </c>
      <c r="AC39" s="3">
        <f>'תקציב הנדסה 2021'!AC39</f>
        <v>732000</v>
      </c>
      <c r="AD39" s="387"/>
      <c r="AE39" s="387"/>
      <c r="AF39" s="387"/>
    </row>
    <row r="40" spans="1:32" s="5" customFormat="1" ht="42">
      <c r="A40" s="3">
        <f t="shared" si="0"/>
        <v>36</v>
      </c>
      <c r="B40" s="3">
        <f>'תקציב הנדסה 2021'!B40</f>
        <v>1701</v>
      </c>
      <c r="C40" s="280" t="str">
        <f>'תקציב הנדסה 2021'!C40</f>
        <v>תב"ע הר' 2394 (לשעבר הר  2159 )</v>
      </c>
      <c r="D40" s="4">
        <f>'תקציב הנדסה 2021'!D40</f>
        <v>1250000</v>
      </c>
      <c r="E40" s="4">
        <f>'תקציב הנדסה 2021'!E40</f>
        <v>1250000</v>
      </c>
      <c r="F40" s="4">
        <f>'תקציב הנדסה 2021'!F40</f>
        <v>0</v>
      </c>
      <c r="G40" s="4">
        <f>'תקציב הנדסה 2021'!G40</f>
        <v>570000</v>
      </c>
      <c r="H40" s="4">
        <f>'תקציב הנדסה 2021'!H40</f>
        <v>149316</v>
      </c>
      <c r="I40" s="4">
        <f>'תקציב הנדסה 2021'!I40</f>
        <v>75117</v>
      </c>
      <c r="J40" s="4">
        <f>'תקציב הנדסה 2021'!J40</f>
        <v>263559</v>
      </c>
      <c r="K40" s="4">
        <f>'תקציב הנדסה 2021'!K40</f>
        <v>338676</v>
      </c>
      <c r="L40" s="4">
        <f>'תקציב הנדסה 2021'!L40</f>
        <v>487992</v>
      </c>
      <c r="M40" s="4">
        <f>'תקציב הנדסה 2021'!M40</f>
        <v>32008</v>
      </c>
      <c r="N40" s="4">
        <f>'תקציב הנדסה 2021'!N40</f>
        <v>200000</v>
      </c>
      <c r="O40" s="4">
        <f>'תקציב הנדסה 2021'!O40</f>
        <v>530000</v>
      </c>
      <c r="P40" s="4">
        <f>'תקציב הנדסה 2021'!P40</f>
        <v>82008</v>
      </c>
      <c r="Q40" s="4">
        <f>'תקציב הנדסה 2021'!Q40</f>
        <v>0</v>
      </c>
      <c r="R40" s="4">
        <f>'תקציב הנדסה 2021'!R40</f>
        <v>0</v>
      </c>
      <c r="S40" s="4">
        <f>'תקציב הנדסה 2021'!S40</f>
        <v>0</v>
      </c>
      <c r="T40" s="4">
        <f>'תקציב הנדסה 2021'!T40</f>
        <v>50000</v>
      </c>
      <c r="U40" s="4">
        <f>'תקציב הנדסה 2021'!U40</f>
        <v>150000</v>
      </c>
      <c r="V40" s="4">
        <f>'תקציב הנדסה 2021'!V40</f>
        <v>150000</v>
      </c>
      <c r="W40" s="4">
        <f>'תקציב הנדסה 2021'!W40</f>
        <v>0</v>
      </c>
      <c r="X40" s="4">
        <f>'תקציב הנדסה 2021'!X40</f>
        <v>0</v>
      </c>
      <c r="Y40" s="4">
        <f>'תקציב הנדסה 2021'!Y40</f>
        <v>0</v>
      </c>
      <c r="Z40" s="4">
        <f>'תקציב הנדסה 2021'!Z40</f>
        <v>0</v>
      </c>
      <c r="AA40" s="4">
        <f>'תקציב הנדסה 2021'!AA40</f>
        <v>0</v>
      </c>
      <c r="AB40" s="72" t="str">
        <f>'תקציב הנדסה 2021'!AB40</f>
        <v xml:space="preserve">תכנון תב"ע לשכונה חדשה בהרצליה הצעירה. שטח בגודל של כ - 50 דונם , כ - 300 יח"ד. </v>
      </c>
      <c r="AC40" s="3">
        <f>'תקציב הנדסה 2021'!AC40</f>
        <v>732000</v>
      </c>
      <c r="AD40" s="387"/>
      <c r="AE40" s="387"/>
      <c r="AF40" s="387"/>
    </row>
    <row r="41" spans="1:32" s="5" customFormat="1" ht="30" customHeight="1">
      <c r="A41" s="3">
        <f t="shared" si="0"/>
        <v>37</v>
      </c>
      <c r="B41" s="3">
        <f>'תקציב הנדסה 2021'!B41</f>
        <v>1722</v>
      </c>
      <c r="C41" s="280" t="str">
        <f>'תקציב הנדסה 2021'!C41</f>
        <v>חיבור גשר הולכי רגל כביש 20</v>
      </c>
      <c r="D41" s="4">
        <f>'תקציב הנדסה 2021'!D41</f>
        <v>2400000</v>
      </c>
      <c r="E41" s="4">
        <f>'תקציב הנדסה 2021'!E41</f>
        <v>2400000</v>
      </c>
      <c r="F41" s="4">
        <f>'תקציב הנדסה 2021'!F41</f>
        <v>0</v>
      </c>
      <c r="G41" s="4">
        <f>'תקציב הנדסה 2021'!G41</f>
        <v>300000</v>
      </c>
      <c r="H41" s="4">
        <f>'תקציב הנדסה 2021'!H41</f>
        <v>98067</v>
      </c>
      <c r="I41" s="4">
        <f>'תקציב הנדסה 2021'!I41</f>
        <v>67053</v>
      </c>
      <c r="J41" s="4">
        <f>'תקציב הנדסה 2021'!J41</f>
        <v>8850</v>
      </c>
      <c r="K41" s="4">
        <f>'תקציב הנדסה 2021'!K41</f>
        <v>75903</v>
      </c>
      <c r="L41" s="4">
        <f>'תקציב הנדסה 2021'!L41</f>
        <v>173970</v>
      </c>
      <c r="M41" s="4">
        <f>'תקציב הנדסה 2021'!M41</f>
        <v>26030</v>
      </c>
      <c r="N41" s="4">
        <f>'תקציב הנדסה 2021'!N41</f>
        <v>100000</v>
      </c>
      <c r="O41" s="4">
        <f>'תקציב הנדסה 2021'!O41</f>
        <v>2100000</v>
      </c>
      <c r="P41" s="4">
        <f>'תקציב הנדסה 2021'!P41</f>
        <v>126030</v>
      </c>
      <c r="Q41" s="4">
        <f>'תקציב הנדסה 2021'!Q41</f>
        <v>0</v>
      </c>
      <c r="R41" s="4">
        <f>'תקציב הנדסה 2021'!R41</f>
        <v>0</v>
      </c>
      <c r="S41" s="4">
        <f>'תקציב הנדסה 2021'!S41</f>
        <v>0</v>
      </c>
      <c r="T41" s="4">
        <f>'תקציב הנדסה 2021'!T41</f>
        <v>100000</v>
      </c>
      <c r="U41" s="4">
        <f>'תקציב הנדסה 2021'!U41</f>
        <v>0</v>
      </c>
      <c r="V41" s="4">
        <f>'תקציב הנדסה 2021'!V41</f>
        <v>0</v>
      </c>
      <c r="W41" s="4">
        <f>'תקציב הנדסה 2021'!W41</f>
        <v>0</v>
      </c>
      <c r="X41" s="4">
        <f>'תקציב הנדסה 2021'!X41</f>
        <v>0</v>
      </c>
      <c r="Y41" s="4">
        <f>'תקציב הנדסה 2021'!Y41</f>
        <v>0</v>
      </c>
      <c r="Z41" s="4">
        <f>'תקציב הנדסה 2021'!Z41</f>
        <v>0</v>
      </c>
      <c r="AA41" s="4">
        <f>'תקציב הנדסה 2021'!AA41</f>
        <v>0</v>
      </c>
      <c r="AB41" s="72" t="str">
        <f>'תקציב הנדסה 2021'!AB41</f>
        <v>חיבור פארק שלב ב' עם שכונת המסילה בגשר הולכי רגל מעל כביש 20.</v>
      </c>
      <c r="AC41" s="3">
        <f>'תקציב הנדסה 2021'!AC41</f>
        <v>742000</v>
      </c>
      <c r="AD41" s="387"/>
      <c r="AE41" s="387"/>
      <c r="AF41" s="387"/>
    </row>
    <row r="42" spans="1:32" s="6" customFormat="1" ht="42">
      <c r="A42" s="3">
        <f t="shared" si="0"/>
        <v>38</v>
      </c>
      <c r="B42" s="3">
        <f>'תקציב הנדסה 2021'!B42</f>
        <v>1744</v>
      </c>
      <c r="C42" s="280" t="str">
        <f>'תקציב הנדסה 2021'!C42</f>
        <v>מערכת בקרת רמזורים</v>
      </c>
      <c r="D42" s="4">
        <f>'תקציב הנדסה 2021'!D42</f>
        <v>13000000</v>
      </c>
      <c r="E42" s="4">
        <f>'תקציב הנדסה 2021'!E42</f>
        <v>13000000</v>
      </c>
      <c r="F42" s="4">
        <f>'תקציב הנדסה 2021'!F42</f>
        <v>0</v>
      </c>
      <c r="G42" s="4">
        <f>'תקציב הנדסה 2021'!G42</f>
        <v>8700000</v>
      </c>
      <c r="H42" s="4">
        <f>'תקציב הנדסה 2021'!H42</f>
        <v>5930332</v>
      </c>
      <c r="I42" s="4">
        <f>'תקציב הנדסה 2021'!I42</f>
        <v>0</v>
      </c>
      <c r="J42" s="4">
        <f>'תקציב הנדסה 2021'!J42</f>
        <v>1315502</v>
      </c>
      <c r="K42" s="4">
        <f>'תקציב הנדסה 2021'!K42</f>
        <v>1315502</v>
      </c>
      <c r="L42" s="4">
        <f>'תקציב הנדסה 2021'!L42</f>
        <v>7245834</v>
      </c>
      <c r="M42" s="4">
        <f>'תקציב הנדסה 2021'!M42</f>
        <v>54166</v>
      </c>
      <c r="N42" s="4">
        <f>'תקציב הנדסה 2021'!N42</f>
        <v>500000</v>
      </c>
      <c r="O42" s="4">
        <f>'תקציב הנדסה 2021'!O42</f>
        <v>5200000</v>
      </c>
      <c r="P42" s="4">
        <f>'תקציב הנדסה 2021'!P42</f>
        <v>1454166</v>
      </c>
      <c r="Q42" s="4">
        <f>'תקציב הנדסה 2021'!Q42</f>
        <v>0</v>
      </c>
      <c r="R42" s="4">
        <f>'תקציב הנדסה 2021'!R42</f>
        <v>0</v>
      </c>
      <c r="S42" s="4">
        <f>'תקציב הנדסה 2021'!S42</f>
        <v>0</v>
      </c>
      <c r="T42" s="4">
        <f>'תקציב הנדסה 2021'!T42</f>
        <v>1400000</v>
      </c>
      <c r="U42" s="4">
        <f>'תקציב הנדסה 2021'!U42</f>
        <v>-900000</v>
      </c>
      <c r="V42" s="4">
        <f>'תקציב הנדסה 2021'!V42</f>
        <v>-900000</v>
      </c>
      <c r="W42" s="4">
        <f>'תקציב הנדסה 2021'!W42</f>
        <v>0</v>
      </c>
      <c r="X42" s="4">
        <f>'תקציב הנדסה 2021'!X42</f>
        <v>0</v>
      </c>
      <c r="Y42" s="4">
        <f>'תקציב הנדסה 2021'!Y42</f>
        <v>0</v>
      </c>
      <c r="Z42" s="4">
        <f>'תקציב הנדסה 2021'!Z42</f>
        <v>0</v>
      </c>
      <c r="AA42" s="4">
        <f>'תקציב הנדסה 2021'!AA42</f>
        <v>0</v>
      </c>
      <c r="AB42" s="72" t="str">
        <f>'תקציב הנדסה 2021'!AB42</f>
        <v>ליווי ותכנון יועץ רמזורים לעדכון מערכת בקרת רמזורים ברחבי העיר עקב צמתים ורמזורים חדשים.</v>
      </c>
      <c r="AC42" s="3">
        <f>'תקציב הנדסה 2021'!AC42</f>
        <v>742000</v>
      </c>
      <c r="AD42" s="387"/>
      <c r="AE42" s="387"/>
      <c r="AF42" s="387"/>
    </row>
    <row r="43" spans="1:32" s="5" customFormat="1" ht="70">
      <c r="A43" s="3">
        <f t="shared" si="0"/>
        <v>39</v>
      </c>
      <c r="B43" s="3">
        <f>'תקציב הנדסה 2021'!B43</f>
        <v>1756</v>
      </c>
      <c r="C43" s="280" t="str">
        <f>'תקציב הנדסה 2021'!C43</f>
        <v xml:space="preserve">מסמכי מדיניות  ותוכניות אסטרטגיות להתחדשות עירונית בשכונות </v>
      </c>
      <c r="D43" s="4">
        <f>'תקציב הנדסה 2021'!D43</f>
        <v>1700000</v>
      </c>
      <c r="E43" s="4">
        <f>'תקציב הנדסה 2021'!E43</f>
        <v>1400000</v>
      </c>
      <c r="F43" s="4">
        <f>'תקציב הנדסה 2021'!F43</f>
        <v>300000</v>
      </c>
      <c r="G43" s="4">
        <f>'תקציב הנדסה 2021'!G43</f>
        <v>1100000</v>
      </c>
      <c r="H43" s="4">
        <f>'תקציב הנדסה 2021'!H43</f>
        <v>239672</v>
      </c>
      <c r="I43" s="4">
        <f>'תקציב הנדסה 2021'!I43</f>
        <v>173160</v>
      </c>
      <c r="J43" s="4">
        <f>'תקציב הנדסה 2021'!J43</f>
        <v>44604</v>
      </c>
      <c r="K43" s="4">
        <f>'תקציב הנדסה 2021'!K43</f>
        <v>217764</v>
      </c>
      <c r="L43" s="4">
        <f>'תקציב הנדסה 2021'!L43</f>
        <v>457436</v>
      </c>
      <c r="M43" s="4">
        <f>'תקציב הנדסה 2021'!M43</f>
        <v>42564</v>
      </c>
      <c r="N43" s="4">
        <f>'תקציב הנדסה 2021'!N43</f>
        <v>900000</v>
      </c>
      <c r="O43" s="4">
        <f>'תקציב הנדסה 2021'!O43</f>
        <v>300000</v>
      </c>
      <c r="P43" s="4">
        <f>'תקציב הנדסה 2021'!P43</f>
        <v>642564</v>
      </c>
      <c r="Q43" s="4">
        <f>'תקציב הנדסה 2021'!Q43</f>
        <v>0</v>
      </c>
      <c r="R43" s="4">
        <f>'תקציב הנדסה 2021'!R43</f>
        <v>0</v>
      </c>
      <c r="S43" s="4">
        <f>'תקציב הנדסה 2021'!S43</f>
        <v>0</v>
      </c>
      <c r="T43" s="4">
        <f>'תקציב הנדסה 2021'!T43</f>
        <v>600000</v>
      </c>
      <c r="U43" s="4">
        <f>'תקציב הנדסה 2021'!U43</f>
        <v>300000</v>
      </c>
      <c r="V43" s="4">
        <f>'תקציב הנדסה 2021'!V43</f>
        <v>300000</v>
      </c>
      <c r="W43" s="4">
        <f>'תקציב הנדסה 2021'!W43</f>
        <v>0</v>
      </c>
      <c r="X43" s="4">
        <f>'תקציב הנדסה 2021'!X43</f>
        <v>0</v>
      </c>
      <c r="Y43" s="4">
        <f>'תקציב הנדסה 2021'!Y43</f>
        <v>0</v>
      </c>
      <c r="Z43" s="4">
        <f>'תקציב הנדסה 2021'!Z43</f>
        <v>0</v>
      </c>
      <c r="AA43" s="4">
        <f>'תקציב הנדסה 2021'!AA43</f>
        <v>0</v>
      </c>
      <c r="AB43" s="72" t="str">
        <f>'תקציב הנדסה 2021'!AB43</f>
        <v>הכנת מסמכי מדיניות להתחדשות עירונית בשכונות לגיבוש מדיניות לחידוש המרקם הקיים בשכונות. רח' הרב קוק  , רח' בן גוריון ,תוכנית הר/2213. איחוד עם תב"ר 1759.</v>
      </c>
      <c r="AC43" s="3">
        <f>'תקציב הנדסה 2021'!AC43</f>
        <v>732000</v>
      </c>
      <c r="AD43" s="387"/>
      <c r="AE43" s="387"/>
      <c r="AF43" s="387"/>
    </row>
    <row r="44" spans="1:32" s="5" customFormat="1" ht="70">
      <c r="A44" s="3">
        <f t="shared" si="0"/>
        <v>40</v>
      </c>
      <c r="B44" s="3">
        <f>'תקציב הנדסה 2021'!B44</f>
        <v>1759</v>
      </c>
      <c r="C44" s="280" t="str">
        <f>'תקציב הנדסה 2021'!C44</f>
        <v xml:space="preserve">תוכנית אסטרטגית להתייעלות עירונית במרכז העיר ובשכונות </v>
      </c>
      <c r="D44" s="4">
        <f>'תקציב הנדסה 2021'!D44</f>
        <v>500000</v>
      </c>
      <c r="E44" s="4">
        <f>'תקציב הנדסה 2021'!E44</f>
        <v>940000</v>
      </c>
      <c r="F44" s="4">
        <f>'תקציב הנדסה 2021'!F44</f>
        <v>-440000</v>
      </c>
      <c r="G44" s="4">
        <f>'תקציב הנדסה 2021'!G44</f>
        <v>540000</v>
      </c>
      <c r="H44" s="4">
        <f>'תקציב הנדסה 2021'!H44</f>
        <v>478660</v>
      </c>
      <c r="I44" s="4">
        <f>'תקציב הנדסה 2021'!I44</f>
        <v>0</v>
      </c>
      <c r="J44" s="4">
        <f>'תקציב הנדסה 2021'!J44</f>
        <v>17152</v>
      </c>
      <c r="K44" s="4">
        <f>'תקציב הנדסה 2021'!K44</f>
        <v>17152</v>
      </c>
      <c r="L44" s="4">
        <f>'תקציב הנדסה 2021'!L44</f>
        <v>495812</v>
      </c>
      <c r="M44" s="4">
        <f>'תקציב הנדסה 2021'!M44</f>
        <v>4188</v>
      </c>
      <c r="N44" s="4">
        <f>'תקציב הנדסה 2021'!N44</f>
        <v>0</v>
      </c>
      <c r="O44" s="4">
        <f>'תקציב הנדסה 2021'!O44</f>
        <v>0</v>
      </c>
      <c r="P44" s="4">
        <f>'תקציב הנדסה 2021'!P44</f>
        <v>44188</v>
      </c>
      <c r="Q44" s="4">
        <f>'תקציב הנדסה 2021'!Q44</f>
        <v>0</v>
      </c>
      <c r="R44" s="4">
        <f>'תקציב הנדסה 2021'!R44</f>
        <v>0</v>
      </c>
      <c r="S44" s="4">
        <f>'תקציב הנדסה 2021'!S44</f>
        <v>0</v>
      </c>
      <c r="T44" s="4">
        <f>'תקציב הנדסה 2021'!T44</f>
        <v>40000</v>
      </c>
      <c r="U44" s="4">
        <f>'תקציב הנדסה 2021'!U44</f>
        <v>-40000</v>
      </c>
      <c r="V44" s="4">
        <f>'תקציב הנדסה 2021'!V44</f>
        <v>-40000</v>
      </c>
      <c r="W44" s="4">
        <f>'תקציב הנדסה 2021'!W44</f>
        <v>0</v>
      </c>
      <c r="X44" s="4">
        <f>'תקציב הנדסה 2021'!X44</f>
        <v>0</v>
      </c>
      <c r="Y44" s="4">
        <f>'תקציב הנדסה 2021'!Y44</f>
        <v>0</v>
      </c>
      <c r="Z44" s="4">
        <f>'תקציב הנדסה 2021'!Z44</f>
        <v>0</v>
      </c>
      <c r="AA44" s="4">
        <f>'תקציב הנדסה 2021'!AA44</f>
        <v>0</v>
      </c>
      <c r="AB44" s="72" t="str">
        <f>'תקציב הנדסה 2021'!AB44</f>
        <v xml:space="preserve">תוכנית לצורך מידע מה וכמה ניתן לבנות  בהתאם לתשתיות הקיימות במרכז ותוכנית לבחינת הנדרש לאוכלוסיה בשכונות עפ"י תחזיות גידול האוכלוסיה. ראה תב"ר 1756. </v>
      </c>
      <c r="AC44" s="3">
        <f>'תקציב הנדסה 2021'!AC44</f>
        <v>732000</v>
      </c>
      <c r="AD44" s="387"/>
      <c r="AE44" s="387"/>
      <c r="AF44" s="387"/>
    </row>
    <row r="45" spans="1:32" s="5" customFormat="1" ht="42">
      <c r="A45" s="3">
        <f t="shared" si="0"/>
        <v>41</v>
      </c>
      <c r="B45" s="3">
        <f>'תקציב הנדסה 2021'!B45</f>
        <v>1760</v>
      </c>
      <c r="C45" s="280" t="str">
        <f>'תקציב הנדסה 2021'!C45</f>
        <v xml:space="preserve">תוכנית אסטרטגית באזהת"ש </v>
      </c>
      <c r="D45" s="4">
        <f>'תקציב הנדסה 2021'!D45</f>
        <v>900000</v>
      </c>
      <c r="E45" s="4">
        <f>'תקציב הנדסה 2021'!E45</f>
        <v>900000</v>
      </c>
      <c r="F45" s="4">
        <f>'תקציב הנדסה 2021'!F45</f>
        <v>0</v>
      </c>
      <c r="G45" s="4">
        <f>'תקציב הנדסה 2021'!G45</f>
        <v>300000</v>
      </c>
      <c r="H45" s="4">
        <f>'תקציב הנדסה 2021'!H45</f>
        <v>38898</v>
      </c>
      <c r="I45" s="4">
        <f>'תקציב הנדסה 2021'!I45</f>
        <v>0</v>
      </c>
      <c r="J45" s="4">
        <f>'תקציב הנדסה 2021'!J45</f>
        <v>1228</v>
      </c>
      <c r="K45" s="4">
        <f>'תקציב הנדסה 2021'!K45</f>
        <v>1228</v>
      </c>
      <c r="L45" s="4">
        <f>'תקציב הנדסה 2021'!L45</f>
        <v>40126</v>
      </c>
      <c r="M45" s="4">
        <f>'תקציב הנדסה 2021'!M45</f>
        <v>9874</v>
      </c>
      <c r="N45" s="4">
        <f>'תקציב הנדסה 2021'!N45</f>
        <v>250000</v>
      </c>
      <c r="O45" s="4">
        <f>'תקציב הנדסה 2021'!O45</f>
        <v>600000</v>
      </c>
      <c r="P45" s="4">
        <f>'תקציב הנדסה 2021'!P45</f>
        <v>259874</v>
      </c>
      <c r="Q45" s="4">
        <f>'תקציב הנדסה 2021'!Q45</f>
        <v>0</v>
      </c>
      <c r="R45" s="4">
        <f>'תקציב הנדסה 2021'!R45</f>
        <v>0</v>
      </c>
      <c r="S45" s="4">
        <f>'תקציב הנדסה 2021'!S45</f>
        <v>0</v>
      </c>
      <c r="T45" s="4">
        <f>'תקציב הנדסה 2021'!T45</f>
        <v>250000</v>
      </c>
      <c r="U45" s="4">
        <f>'תקציב הנדסה 2021'!U45</f>
        <v>0</v>
      </c>
      <c r="V45" s="4">
        <f>'תקציב הנדסה 2021'!V45</f>
        <v>0</v>
      </c>
      <c r="W45" s="4">
        <f>'תקציב הנדסה 2021'!W45</f>
        <v>0</v>
      </c>
      <c r="X45" s="4">
        <f>'תקציב הנדסה 2021'!X45</f>
        <v>0</v>
      </c>
      <c r="Y45" s="4">
        <f>'תקציב הנדסה 2021'!Y45</f>
        <v>0</v>
      </c>
      <c r="Z45" s="4">
        <f>'תקציב הנדסה 2021'!Z45</f>
        <v>0</v>
      </c>
      <c r="AA45" s="4">
        <f>'תקציב הנדסה 2021'!AA45</f>
        <v>0</v>
      </c>
      <c r="AB45" s="72" t="str">
        <f>'תקציב הנדסה 2021'!AB45</f>
        <v xml:space="preserve">בדיקת התכנות והכנת תב"עות של מתחמים מפוצלים בין מס' בעלים באיזהת"ש החשובים מבחינה ציבורית. </v>
      </c>
      <c r="AC45" s="3">
        <f>'תקציב הנדסה 2021'!AC45</f>
        <v>732000</v>
      </c>
      <c r="AD45" s="387"/>
      <c r="AE45" s="387"/>
      <c r="AF45" s="387"/>
    </row>
    <row r="46" spans="1:32" s="5" customFormat="1" ht="30" customHeight="1">
      <c r="A46" s="3">
        <f t="shared" si="0"/>
        <v>42</v>
      </c>
      <c r="B46" s="3">
        <f>'תקציב הנדסה 2021'!B46</f>
        <v>1799</v>
      </c>
      <c r="C46" s="280" t="str">
        <f>'תקציב הנדסה 2021'!C46</f>
        <v>תב"ע קרית השחקים</v>
      </c>
      <c r="D46" s="4">
        <f>'תקציב הנדסה 2021'!D46</f>
        <v>1000000</v>
      </c>
      <c r="E46" s="4">
        <f>'תקציב הנדסה 2021'!E46</f>
        <v>1000000</v>
      </c>
      <c r="F46" s="4">
        <f>'תקציב הנדסה 2021'!F46</f>
        <v>0</v>
      </c>
      <c r="G46" s="4">
        <f>'תקציב הנדסה 2021'!G46</f>
        <v>350000</v>
      </c>
      <c r="H46" s="4">
        <f>'תקציב הנדסה 2021'!H46</f>
        <v>183189</v>
      </c>
      <c r="I46" s="4">
        <f>'תקציב הנדסה 2021'!I46</f>
        <v>32175</v>
      </c>
      <c r="J46" s="4">
        <f>'תקציב הנדסה 2021'!J46</f>
        <v>6426</v>
      </c>
      <c r="K46" s="4">
        <f>'תקציב הנדסה 2021'!K46</f>
        <v>38601</v>
      </c>
      <c r="L46" s="4">
        <f>'תקציב הנדסה 2021'!L46</f>
        <v>221790</v>
      </c>
      <c r="M46" s="4">
        <f>'תקציב הנדסה 2021'!M46</f>
        <v>28210</v>
      </c>
      <c r="N46" s="4">
        <f>'תקציב הנדסה 2021'!N46</f>
        <v>550000</v>
      </c>
      <c r="O46" s="4">
        <f>'תקציב הנדסה 2021'!O46</f>
        <v>200000</v>
      </c>
      <c r="P46" s="4">
        <f>'תקציב הנדסה 2021'!P46</f>
        <v>128210</v>
      </c>
      <c r="Q46" s="4">
        <f>'תקציב הנדסה 2021'!Q46</f>
        <v>0</v>
      </c>
      <c r="R46" s="4">
        <f>'תקציב הנדסה 2021'!R46</f>
        <v>0</v>
      </c>
      <c r="S46" s="4">
        <f>'תקציב הנדסה 2021'!S46</f>
        <v>0</v>
      </c>
      <c r="T46" s="4">
        <f>'תקציב הנדסה 2021'!T46</f>
        <v>100000</v>
      </c>
      <c r="U46" s="4">
        <f>'תקציב הנדסה 2021'!U46</f>
        <v>450000</v>
      </c>
      <c r="V46" s="4">
        <f>'תקציב הנדסה 2021'!V46</f>
        <v>450000</v>
      </c>
      <c r="W46" s="4">
        <f>'תקציב הנדסה 2021'!W46</f>
        <v>0</v>
      </c>
      <c r="X46" s="4">
        <f>'תקציב הנדסה 2021'!X46</f>
        <v>0</v>
      </c>
      <c r="Y46" s="4">
        <f>'תקציב הנדסה 2021'!Y46</f>
        <v>0</v>
      </c>
      <c r="Z46" s="4">
        <f>'תקציב הנדסה 2021'!Z46</f>
        <v>0</v>
      </c>
      <c r="AA46" s="4">
        <f>'תקציב הנדסה 2021'!AA46</f>
        <v>0</v>
      </c>
      <c r="AB46" s="72" t="str">
        <f>'תקציב הנדסה 2021'!AB46</f>
        <v xml:space="preserve">תכנון איזור תעשיה ושכונת מגורים במשולש התחבורה. מקודם בותמ"ל .  </v>
      </c>
      <c r="AC46" s="3">
        <f>'תקציב הנדסה 2021'!AC46</f>
        <v>732000</v>
      </c>
      <c r="AD46" s="387"/>
      <c r="AE46" s="387"/>
      <c r="AF46" s="387"/>
    </row>
    <row r="47" spans="1:32" s="5" customFormat="1" ht="30" customHeight="1">
      <c r="A47" s="3">
        <f t="shared" si="0"/>
        <v>43</v>
      </c>
      <c r="B47" s="3">
        <f>'תקציב הנדסה 2021'!B47</f>
        <v>1805</v>
      </c>
      <c r="C47" s="280" t="str">
        <f>'תקציב הנדסה 2021'!C47</f>
        <v>שביל אופניים הרצליה-ת"א הפקעות</v>
      </c>
      <c r="D47" s="4">
        <f>'תקציב הנדסה 2021'!D47</f>
        <v>1000000</v>
      </c>
      <c r="E47" s="4">
        <f>'תקציב הנדסה 2021'!E47</f>
        <v>1000000</v>
      </c>
      <c r="F47" s="4">
        <f>'תקציב הנדסה 2021'!F47</f>
        <v>0</v>
      </c>
      <c r="G47" s="4">
        <f>'תקציב הנדסה 2021'!G47</f>
        <v>1000000</v>
      </c>
      <c r="H47" s="4">
        <f>'תקציב הנדסה 2021'!H47</f>
        <v>9976</v>
      </c>
      <c r="I47" s="4">
        <f>'תקציב הנדסה 2021'!I47</f>
        <v>0</v>
      </c>
      <c r="J47" s="4">
        <f>'תקציב הנדסה 2021'!J47</f>
        <v>14716</v>
      </c>
      <c r="K47" s="4">
        <f>'תקציב הנדסה 2021'!K47</f>
        <v>14716</v>
      </c>
      <c r="L47" s="4">
        <f>'תקציב הנדסה 2021'!L47</f>
        <v>24692</v>
      </c>
      <c r="M47" s="4">
        <f>'תקציב הנדסה 2021'!M47</f>
        <v>25308</v>
      </c>
      <c r="N47" s="4">
        <f>'תקציב הנדסה 2021'!N47</f>
        <v>500000</v>
      </c>
      <c r="O47" s="4">
        <f>'תקציב הנדסה 2021'!O47</f>
        <v>450000</v>
      </c>
      <c r="P47" s="4">
        <f>'תקציב הנדסה 2021'!P47</f>
        <v>975308</v>
      </c>
      <c r="Q47" s="4">
        <f>'תקציב הנדסה 2021'!Q47</f>
        <v>0</v>
      </c>
      <c r="R47" s="4">
        <f>'תקציב הנדסה 2021'!R47</f>
        <v>0</v>
      </c>
      <c r="S47" s="4">
        <f>'תקציב הנדסה 2021'!S47</f>
        <v>0</v>
      </c>
      <c r="T47" s="4">
        <f>'תקציב הנדסה 2021'!T47</f>
        <v>950000</v>
      </c>
      <c r="U47" s="4">
        <f>'תקציב הנדסה 2021'!U47</f>
        <v>-450000</v>
      </c>
      <c r="V47" s="4">
        <f>'תקציב הנדסה 2021'!V47</f>
        <v>-450000</v>
      </c>
      <c r="W47" s="4">
        <f>'תקציב הנדסה 2021'!W47</f>
        <v>0</v>
      </c>
      <c r="X47" s="4">
        <f>'תקציב הנדסה 2021'!X47</f>
        <v>0</v>
      </c>
      <c r="Y47" s="4">
        <f>'תקציב הנדסה 2021'!Y47</f>
        <v>0</v>
      </c>
      <c r="Z47" s="4">
        <f>'תקציב הנדסה 2021'!Z47</f>
        <v>0</v>
      </c>
      <c r="AA47" s="4">
        <f>'תקציב הנדסה 2021'!AA47</f>
        <v>0</v>
      </c>
      <c r="AB47" s="72" t="str">
        <f>'תקציב הנדסה 2021'!AB47</f>
        <v>תשלומי פיצויים להפקעות לביצוע שביל אופניים זמני ע"י משרד התחבורה.</v>
      </c>
      <c r="AC47" s="3">
        <f>'תקציב הנדסה 2021'!AC47</f>
        <v>742000</v>
      </c>
      <c r="AD47" s="387"/>
      <c r="AE47" s="387"/>
      <c r="AF47" s="387"/>
    </row>
    <row r="48" spans="1:32" s="5" customFormat="1" ht="30" customHeight="1">
      <c r="A48" s="3">
        <f t="shared" si="0"/>
        <v>44</v>
      </c>
      <c r="B48" s="3">
        <f>'תקציב הנדסה 2021'!B48</f>
        <v>1811</v>
      </c>
      <c r="C48" s="280" t="str">
        <f>'תקציב הנדסה 2021'!C48</f>
        <v>תכנון דיור בן ציון מיכאלי</v>
      </c>
      <c r="D48" s="4">
        <f>'תקציב הנדסה 2021'!D48</f>
        <v>250000</v>
      </c>
      <c r="E48" s="4">
        <f>'תקציב הנדסה 2021'!E48</f>
        <v>250000</v>
      </c>
      <c r="F48" s="4">
        <f>'תקציב הנדסה 2021'!F48</f>
        <v>0</v>
      </c>
      <c r="G48" s="4">
        <f>'תקציב הנדסה 2021'!G48</f>
        <v>250000</v>
      </c>
      <c r="H48" s="4">
        <f>'תקציב הנדסה 2021'!H48</f>
        <v>0</v>
      </c>
      <c r="I48" s="4">
        <f>'תקציב הנדסה 2021'!I48</f>
        <v>0</v>
      </c>
      <c r="J48" s="4">
        <f>'תקציב הנדסה 2021'!J48</f>
        <v>0</v>
      </c>
      <c r="K48" s="4">
        <f>'תקציב הנדסה 2021'!K48</f>
        <v>0</v>
      </c>
      <c r="L48" s="4">
        <f>'תקציב הנדסה 2021'!L48</f>
        <v>0</v>
      </c>
      <c r="M48" s="4">
        <f>'תקציב הנדסה 2021'!M48</f>
        <v>250000</v>
      </c>
      <c r="N48" s="4">
        <f>'תקציב הנדסה 2021'!N48</f>
        <v>0</v>
      </c>
      <c r="O48" s="4">
        <f>'תקציב הנדסה 2021'!O48</f>
        <v>0</v>
      </c>
      <c r="P48" s="4">
        <f>'תקציב הנדסה 2021'!P48</f>
        <v>250000</v>
      </c>
      <c r="Q48" s="4">
        <f>'תקציב הנדסה 2021'!Q48</f>
        <v>0</v>
      </c>
      <c r="R48" s="4">
        <f>'תקציב הנדסה 2021'!R48</f>
        <v>0</v>
      </c>
      <c r="S48" s="4">
        <f>'תקציב הנדסה 2021'!S48</f>
        <v>0</v>
      </c>
      <c r="T48" s="4">
        <f>'תקציב הנדסה 2021'!T48</f>
        <v>0</v>
      </c>
      <c r="U48" s="4">
        <f>'תקציב הנדסה 2021'!U48</f>
        <v>0</v>
      </c>
      <c r="V48" s="4">
        <f>'תקציב הנדסה 2021'!V48</f>
        <v>0</v>
      </c>
      <c r="W48" s="4">
        <f>'תקציב הנדסה 2021'!W48</f>
        <v>0</v>
      </c>
      <c r="X48" s="4">
        <f>'תקציב הנדסה 2021'!X48</f>
        <v>0</v>
      </c>
      <c r="Y48" s="4">
        <f>'תקציב הנדסה 2021'!Y48</f>
        <v>0</v>
      </c>
      <c r="Z48" s="4">
        <f>'תקציב הנדסה 2021'!Z48</f>
        <v>0</v>
      </c>
      <c r="AA48" s="4">
        <f>'תקציב הנדסה 2021'!AA48</f>
        <v>0</v>
      </c>
      <c r="AB48" s="72" t="str">
        <f>'תקציב הנדסה 2021'!AB48</f>
        <v xml:space="preserve">העסקת צוות יועצים לתכנון התב"ע  לדיור בר השגה רח' בן ציון. </v>
      </c>
      <c r="AC48" s="3">
        <f>'תקציב הנדסה 2021'!AC48</f>
        <v>732000</v>
      </c>
      <c r="AD48" s="387"/>
      <c r="AE48" s="387"/>
      <c r="AF48" s="387"/>
    </row>
    <row r="49" spans="1:32" s="617" customFormat="1" ht="30" customHeight="1">
      <c r="A49" s="3">
        <f t="shared" si="0"/>
        <v>45</v>
      </c>
      <c r="B49" s="3">
        <f>'תקציב הנדסה 2021'!B49</f>
        <v>1843</v>
      </c>
      <c r="C49" s="280" t="str">
        <f>'תקציב הנדסה 2021'!C49</f>
        <v>פינוי בינוי מול התחנה</v>
      </c>
      <c r="D49" s="4">
        <f>'תקציב הנדסה 2021'!D49</f>
        <v>380000</v>
      </c>
      <c r="E49" s="4">
        <f>'תקציב הנדסה 2021'!E49</f>
        <v>380000</v>
      </c>
      <c r="F49" s="4">
        <f>'תקציב הנדסה 2021'!F49</f>
        <v>0</v>
      </c>
      <c r="G49" s="4">
        <f>'תקציב הנדסה 2021'!G49</f>
        <v>0</v>
      </c>
      <c r="H49" s="4">
        <f>'תקציב הנדסה 2021'!H49</f>
        <v>0</v>
      </c>
      <c r="I49" s="4">
        <f>'תקציב הנדסה 2021'!I49</f>
        <v>0</v>
      </c>
      <c r="J49" s="4">
        <f>'תקציב הנדסה 2021'!J49</f>
        <v>0</v>
      </c>
      <c r="K49" s="4">
        <f>'תקציב הנדסה 2021'!K49</f>
        <v>0</v>
      </c>
      <c r="L49" s="4">
        <f>'תקציב הנדסה 2021'!L49</f>
        <v>0</v>
      </c>
      <c r="M49" s="4">
        <f>'תקציב הנדסה 2021'!M49</f>
        <v>0</v>
      </c>
      <c r="N49" s="4">
        <f>'תקציב הנדסה 2021'!N49</f>
        <v>200000</v>
      </c>
      <c r="O49" s="4">
        <f>'תקציב הנדסה 2021'!O49</f>
        <v>180000</v>
      </c>
      <c r="P49" s="4">
        <f>'תקציב הנדסה 2021'!P49</f>
        <v>0</v>
      </c>
      <c r="Q49" s="4">
        <f>'תקציב הנדסה 2021'!Q49</f>
        <v>0</v>
      </c>
      <c r="R49" s="4">
        <f>'תקציב הנדסה 2021'!R49</f>
        <v>0</v>
      </c>
      <c r="S49" s="4">
        <f>'תקציב הנדסה 2021'!S49</f>
        <v>0</v>
      </c>
      <c r="T49" s="4">
        <f>'תקציב הנדסה 2021'!T49</f>
        <v>0</v>
      </c>
      <c r="U49" s="4">
        <f>'תקציב הנדסה 2021'!U49</f>
        <v>200000</v>
      </c>
      <c r="V49" s="4">
        <f>'תקציב הנדסה 2021'!V49</f>
        <v>200000</v>
      </c>
      <c r="W49" s="4">
        <f>'תקציב הנדסה 2021'!W49</f>
        <v>0</v>
      </c>
      <c r="X49" s="4">
        <f>'תקציב הנדסה 2021'!X49</f>
        <v>0</v>
      </c>
      <c r="Y49" s="4">
        <f>'תקציב הנדסה 2021'!Y49</f>
        <v>0</v>
      </c>
      <c r="Z49" s="4">
        <f>'תקציב הנדסה 2021'!Z49</f>
        <v>0</v>
      </c>
      <c r="AA49" s="4">
        <f>'תקציב הנדסה 2021'!AA49</f>
        <v>0</v>
      </c>
      <c r="AB49" s="72" t="str">
        <f>'תקציב הנדסה 2021'!AB49</f>
        <v xml:space="preserve">הליך התנעה לתכנון מתחם לפינוי בינוי מול התחנה. </v>
      </c>
      <c r="AC49" s="3">
        <f>'תקציב הנדסה 2021'!AC49</f>
        <v>732000</v>
      </c>
      <c r="AD49" s="387"/>
      <c r="AE49" s="387"/>
      <c r="AF49" s="387"/>
    </row>
    <row r="50" spans="1:32" s="5" customFormat="1" ht="30" customHeight="1">
      <c r="A50" s="3">
        <f t="shared" si="0"/>
        <v>46</v>
      </c>
      <c r="B50" s="3">
        <f>'תקציב הנדסה 2021'!B50</f>
        <v>1882</v>
      </c>
      <c r="C50" s="280" t="str">
        <f>'תקציב הנדסה 2021'!C50</f>
        <v>פיתוח מתחם אולפני הרצליה</v>
      </c>
      <c r="D50" s="4">
        <f>'תקציב הנדסה 2021'!D50</f>
        <v>14300000</v>
      </c>
      <c r="E50" s="4">
        <f>'תקציב הנדסה 2021'!E50</f>
        <v>14300000</v>
      </c>
      <c r="F50" s="4">
        <f>'תקציב הנדסה 2021'!F50</f>
        <v>0</v>
      </c>
      <c r="G50" s="4">
        <f>'תקציב הנדסה 2021'!G50</f>
        <v>200000</v>
      </c>
      <c r="H50" s="4">
        <f>'תקציב הנדסה 2021'!H50</f>
        <v>0</v>
      </c>
      <c r="I50" s="4">
        <f>'תקציב הנדסה 2021'!I50</f>
        <v>0</v>
      </c>
      <c r="J50" s="4">
        <f>'תקציב הנדסה 2021'!J50</f>
        <v>0</v>
      </c>
      <c r="K50" s="4">
        <f>'תקציב הנדסה 2021'!K50</f>
        <v>0</v>
      </c>
      <c r="L50" s="4">
        <f>'תקציב הנדסה 2021'!L50</f>
        <v>0</v>
      </c>
      <c r="M50" s="4">
        <f>'תקציב הנדסה 2021'!M50</f>
        <v>0</v>
      </c>
      <c r="N50" s="4">
        <f>'תקציב הנדסה 2021'!N50</f>
        <v>250000</v>
      </c>
      <c r="O50" s="4">
        <f>'תקציב הנדסה 2021'!O50</f>
        <v>14050000</v>
      </c>
      <c r="P50" s="4">
        <f>'תקציב הנדסה 2021'!P50</f>
        <v>200000</v>
      </c>
      <c r="Q50" s="4">
        <f>'תקציב הנדסה 2021'!Q50</f>
        <v>0</v>
      </c>
      <c r="R50" s="4">
        <f>'תקציב הנדסה 2021'!R50</f>
        <v>0</v>
      </c>
      <c r="S50" s="4">
        <f>'תקציב הנדסה 2021'!S50</f>
        <v>0</v>
      </c>
      <c r="T50" s="4">
        <f>'תקציב הנדסה 2021'!T50</f>
        <v>200000</v>
      </c>
      <c r="U50" s="4">
        <f>'תקציב הנדסה 2021'!U50</f>
        <v>50000</v>
      </c>
      <c r="V50" s="4">
        <f>'תקציב הנדסה 2021'!V50</f>
        <v>50000</v>
      </c>
      <c r="W50" s="4">
        <f>'תקציב הנדסה 2021'!W50</f>
        <v>0</v>
      </c>
      <c r="X50" s="4">
        <f>'תקציב הנדסה 2021'!X50</f>
        <v>0</v>
      </c>
      <c r="Y50" s="4">
        <f>'תקציב הנדסה 2021'!Y50</f>
        <v>0</v>
      </c>
      <c r="Z50" s="4">
        <f>'תקציב הנדסה 2021'!Z50</f>
        <v>0</v>
      </c>
      <c r="AA50" s="4">
        <f>'תקציב הנדסה 2021'!AA50</f>
        <v>0</v>
      </c>
      <c r="AB50" s="72" t="str">
        <f>'תקציב הנדסה 2021'!AB50</f>
        <v xml:space="preserve">פיתוח מתחם אולפני הרצליה תב"ע הר' 2180. תכנון. </v>
      </c>
      <c r="AC50" s="3">
        <f>'תקציב הנדסה 2021'!AC50</f>
        <v>742000</v>
      </c>
      <c r="AD50" s="387"/>
      <c r="AE50" s="387"/>
      <c r="AF50" s="387"/>
    </row>
    <row r="51" spans="1:32" s="6" customFormat="1" ht="56">
      <c r="A51" s="3">
        <f t="shared" si="0"/>
        <v>47</v>
      </c>
      <c r="B51" s="3">
        <f>'תקציב הנדסה 2021'!B51</f>
        <v>1937</v>
      </c>
      <c r="C51" s="280" t="str">
        <f>'תקציב הנדסה 2021'!C51</f>
        <v>תב"ע משולש המנהרה הר' 2350</v>
      </c>
      <c r="D51" s="4">
        <f>'תקציב הנדסה 2021'!D51</f>
        <v>1050000</v>
      </c>
      <c r="E51" s="4">
        <f>'תקציב הנדסה 2021'!E51</f>
        <v>1050000</v>
      </c>
      <c r="F51" s="4">
        <f>'תקציב הנדסה 2021'!F51</f>
        <v>0</v>
      </c>
      <c r="G51" s="4">
        <f>'תקציב הנדסה 2021'!G51</f>
        <v>750000</v>
      </c>
      <c r="H51" s="4">
        <f>'תקציב הנדסה 2021'!H51</f>
        <v>56082</v>
      </c>
      <c r="I51" s="4">
        <f>'תקציב הנדסה 2021'!I51</f>
        <v>244936</v>
      </c>
      <c r="J51" s="4">
        <f>'תקציב הנדסה 2021'!J51</f>
        <v>40358</v>
      </c>
      <c r="K51" s="4">
        <f>'תקציב הנדסה 2021'!K51</f>
        <v>285294</v>
      </c>
      <c r="L51" s="4">
        <f>'תקציב הנדסה 2021'!L51</f>
        <v>341376</v>
      </c>
      <c r="M51" s="4">
        <f>'תקציב הנדסה 2021'!M51</f>
        <v>8624</v>
      </c>
      <c r="N51" s="4">
        <f>'תקציב הנדסה 2021'!N51</f>
        <v>300000</v>
      </c>
      <c r="O51" s="4">
        <f>'תקציב הנדסה 2021'!O51</f>
        <v>400000</v>
      </c>
      <c r="P51" s="4">
        <f>'תקציב הנדסה 2021'!P51</f>
        <v>408624</v>
      </c>
      <c r="Q51" s="4">
        <f>'תקציב הנדסה 2021'!Q51</f>
        <v>0</v>
      </c>
      <c r="R51" s="4">
        <f>'תקציב הנדסה 2021'!R51</f>
        <v>0</v>
      </c>
      <c r="S51" s="4">
        <f>'תקציב הנדסה 2021'!S51</f>
        <v>0</v>
      </c>
      <c r="T51" s="4">
        <f>'תקציב הנדסה 2021'!T51</f>
        <v>400000</v>
      </c>
      <c r="U51" s="4">
        <f>'תקציב הנדסה 2021'!U51</f>
        <v>-100000</v>
      </c>
      <c r="V51" s="4">
        <f>'תקציב הנדסה 2021'!V51</f>
        <v>-100000</v>
      </c>
      <c r="W51" s="4">
        <f>'תקציב הנדסה 2021'!W51</f>
        <v>0</v>
      </c>
      <c r="X51" s="4">
        <f>'תקציב הנדסה 2021'!X51</f>
        <v>0</v>
      </c>
      <c r="Y51" s="4">
        <f>'תקציב הנדסה 2021'!Y51</f>
        <v>0</v>
      </c>
      <c r="Z51" s="4">
        <f>'תקציב הנדסה 2021'!Z51</f>
        <v>0</v>
      </c>
      <c r="AA51" s="4">
        <f>'תקציב הנדסה 2021'!AA51</f>
        <v>0</v>
      </c>
      <c r="AB51" s="72" t="str">
        <f>'תקציב הנדסה 2021'!AB51</f>
        <v xml:space="preserve">תוכנית מתארית ומפורטת חלקית לאורך רחוב המנהרה ועד פארק הואדי. התוכנית כוללת מתחם לשימור. יש עתירה לבימ"ש של בעלי קרקע פרטיים. </v>
      </c>
      <c r="AC51" s="3">
        <f>'תקציב הנדסה 2021'!AC51</f>
        <v>732000</v>
      </c>
      <c r="AD51" s="387"/>
      <c r="AE51" s="387"/>
      <c r="AF51" s="387"/>
    </row>
    <row r="52" spans="1:32" s="5" customFormat="1" ht="30" customHeight="1">
      <c r="A52" s="3">
        <f>A51+1</f>
        <v>48</v>
      </c>
      <c r="B52" s="3">
        <f>'תקציב הנדסה 2021'!B52</f>
        <v>1943</v>
      </c>
      <c r="C52" s="280" t="str">
        <f>'תקציב הנדסה 2021'!C52</f>
        <v xml:space="preserve">מגרש סימולציה לאופניים </v>
      </c>
      <c r="D52" s="4">
        <f>'תקציב הנדסה 2021'!D52</f>
        <v>6350000</v>
      </c>
      <c r="E52" s="4">
        <f>'תקציב הנדסה 2021'!E52</f>
        <v>6750000</v>
      </c>
      <c r="F52" s="4">
        <f>'תקציב הנדסה 2021'!F52</f>
        <v>-400000</v>
      </c>
      <c r="G52" s="4">
        <f>'תקציב הנדסה 2021'!G52</f>
        <v>6750000</v>
      </c>
      <c r="H52" s="4">
        <f>'תקציב הנדסה 2021'!H52</f>
        <v>5715003</v>
      </c>
      <c r="I52" s="4">
        <f>'תקציב הנדסה 2021'!I52</f>
        <v>51510</v>
      </c>
      <c r="J52" s="4">
        <f>'תקציב הנדסה 2021'!J52</f>
        <v>532878</v>
      </c>
      <c r="K52" s="4">
        <f>'תקציב הנדסה 2021'!K52</f>
        <v>584388</v>
      </c>
      <c r="L52" s="4">
        <f>'תקציב הנדסה 2021'!L52</f>
        <v>6299391</v>
      </c>
      <c r="M52" s="4">
        <f>'תקציב הנדסה 2021'!M52</f>
        <v>50609</v>
      </c>
      <c r="N52" s="4">
        <f>'תקציב הנדסה 2021'!N52</f>
        <v>0</v>
      </c>
      <c r="O52" s="4">
        <f>'תקציב הנדסה 2021'!O52</f>
        <v>0</v>
      </c>
      <c r="P52" s="4">
        <f>'תקציב הנדסה 2021'!P52</f>
        <v>450609</v>
      </c>
      <c r="Q52" s="4">
        <f>'תקציב הנדסה 2021'!Q52</f>
        <v>0</v>
      </c>
      <c r="R52" s="4">
        <f>'תקציב הנדסה 2021'!R52</f>
        <v>0</v>
      </c>
      <c r="S52" s="4">
        <f>'תקציב הנדסה 2021'!S52</f>
        <v>0</v>
      </c>
      <c r="T52" s="4">
        <f>'תקציב הנדסה 2021'!T52</f>
        <v>400000</v>
      </c>
      <c r="U52" s="4">
        <f>'תקציב הנדסה 2021'!U52</f>
        <v>-400000</v>
      </c>
      <c r="V52" s="4">
        <f>'תקציב הנדסה 2021'!V52</f>
        <v>-400000</v>
      </c>
      <c r="W52" s="4">
        <f>'תקציב הנדסה 2021'!W52</f>
        <v>0</v>
      </c>
      <c r="X52" s="4">
        <f>'תקציב הנדסה 2021'!X52</f>
        <v>0</v>
      </c>
      <c r="Y52" s="4">
        <f>'תקציב הנדסה 2021'!Y52</f>
        <v>0</v>
      </c>
      <c r="Z52" s="4">
        <f>'תקציב הנדסה 2021'!Z52</f>
        <v>0</v>
      </c>
      <c r="AA52" s="4">
        <f>'תקציב הנדסה 2021'!AA52</f>
        <v>0</v>
      </c>
      <c r="AB52" s="72" t="str">
        <f>'תקציב הנדסה 2021'!AB52</f>
        <v xml:space="preserve">עבודות השלמה סופיות . ח-ן סופיים. </v>
      </c>
      <c r="AC52" s="3">
        <f>'תקציב הנדסה 2021'!AC52</f>
        <v>744000</v>
      </c>
      <c r="AD52" s="387"/>
      <c r="AE52" s="387"/>
      <c r="AF52" s="387"/>
    </row>
    <row r="53" spans="1:32" s="5" customFormat="1" ht="42">
      <c r="A53" s="3">
        <f t="shared" si="0"/>
        <v>49</v>
      </c>
      <c r="B53" s="3">
        <f>'תקציב הנדסה 2021'!B53</f>
        <v>1950</v>
      </c>
      <c r="C53" s="280" t="str">
        <f>'תקציב הנדסה 2021'!C53</f>
        <v>תכנון שינוי גבולות העיר</v>
      </c>
      <c r="D53" s="4">
        <f>'תקציב הנדסה 2021'!D53</f>
        <v>500000</v>
      </c>
      <c r="E53" s="4">
        <f>'תקציב הנדסה 2021'!E53</f>
        <v>500000</v>
      </c>
      <c r="F53" s="4">
        <f>'תקציב הנדסה 2021'!F53</f>
        <v>0</v>
      </c>
      <c r="G53" s="4">
        <f>'תקציב הנדסה 2021'!G53</f>
        <v>100000</v>
      </c>
      <c r="H53" s="4">
        <f>'תקציב הנדסה 2021'!H53</f>
        <v>0</v>
      </c>
      <c r="I53" s="4">
        <f>'תקציב הנדסה 2021'!I53</f>
        <v>0</v>
      </c>
      <c r="J53" s="4">
        <f>'תקציב הנדסה 2021'!J53</f>
        <v>0</v>
      </c>
      <c r="K53" s="4">
        <f>'תקציב הנדסה 2021'!K53</f>
        <v>0</v>
      </c>
      <c r="L53" s="4">
        <f>'תקציב הנדסה 2021'!L53</f>
        <v>0</v>
      </c>
      <c r="M53" s="4">
        <f>'תקציב הנדסה 2021'!M53</f>
        <v>100000</v>
      </c>
      <c r="N53" s="4">
        <f>'תקציב הנדסה 2021'!N53</f>
        <v>0</v>
      </c>
      <c r="O53" s="4">
        <f>'תקציב הנדסה 2021'!O53</f>
        <v>400000</v>
      </c>
      <c r="P53" s="4">
        <f>'תקציב הנדסה 2021'!P53</f>
        <v>100000</v>
      </c>
      <c r="Q53" s="4">
        <f>'תקציב הנדסה 2021'!Q53</f>
        <v>0</v>
      </c>
      <c r="R53" s="4">
        <f>'תקציב הנדסה 2021'!R53</f>
        <v>0</v>
      </c>
      <c r="S53" s="4">
        <f>'תקציב הנדסה 2021'!S53</f>
        <v>0</v>
      </c>
      <c r="T53" s="4">
        <f>'תקציב הנדסה 2021'!T53</f>
        <v>0</v>
      </c>
      <c r="U53" s="4">
        <f>'תקציב הנדסה 2021'!U53</f>
        <v>0</v>
      </c>
      <c r="V53" s="4">
        <f>'תקציב הנדסה 2021'!V53</f>
        <v>0</v>
      </c>
      <c r="W53" s="4">
        <f>'תקציב הנדסה 2021'!W53</f>
        <v>0</v>
      </c>
      <c r="X53" s="4">
        <f>'תקציב הנדסה 2021'!X53</f>
        <v>0</v>
      </c>
      <c r="Y53" s="4">
        <f>'תקציב הנדסה 2021'!Y53</f>
        <v>0</v>
      </c>
      <c r="Z53" s="4">
        <f>'תקציב הנדסה 2021'!Z53</f>
        <v>0</v>
      </c>
      <c r="AA53" s="4">
        <f>'תקציב הנדסה 2021'!AA53</f>
        <v>0</v>
      </c>
      <c r="AB53" s="72" t="str">
        <f>'תקציב הנדסה 2021'!AB53</f>
        <v xml:space="preserve">עלויות לצורך מתן מענה לדיון במשרד הפנים עקב אישורה של תוכנית תמ"ל מס' 1068. </v>
      </c>
      <c r="AC53" s="3">
        <f>'תקציב הנדסה 2021'!AC53</f>
        <v>732000</v>
      </c>
      <c r="AD53" s="387"/>
      <c r="AE53" s="387"/>
      <c r="AF53" s="387"/>
    </row>
    <row r="54" spans="1:32" s="5" customFormat="1" ht="56">
      <c r="A54" s="3">
        <f t="shared" si="0"/>
        <v>50</v>
      </c>
      <c r="B54" s="3">
        <f>'תקציב הנדסה 2021'!B54</f>
        <v>2009</v>
      </c>
      <c r="C54" s="280" t="str">
        <f>'תקציב הנדסה 2021'!C54</f>
        <v>סמטת ניסנוב</v>
      </c>
      <c r="D54" s="4">
        <f>'תקציב הנדסה 2021'!D54</f>
        <v>13700000</v>
      </c>
      <c r="E54" s="4">
        <f>'תקציב הנדסה 2021'!E54</f>
        <v>9000000</v>
      </c>
      <c r="F54" s="4">
        <f>'תקציב הנדסה 2021'!F54</f>
        <v>4700000</v>
      </c>
      <c r="G54" s="4">
        <f>'תקציב הנדסה 2021'!G54</f>
        <v>2200000</v>
      </c>
      <c r="H54" s="4">
        <f>'תקציב הנדסה 2021'!H54</f>
        <v>11776</v>
      </c>
      <c r="I54" s="4">
        <f>'תקציב הנדסה 2021'!I54</f>
        <v>292500</v>
      </c>
      <c r="J54" s="4">
        <f>'תקציב הנדסה 2021'!J54</f>
        <v>35675</v>
      </c>
      <c r="K54" s="4">
        <f>'תקציב הנדסה 2021'!K54</f>
        <v>328175</v>
      </c>
      <c r="L54" s="4">
        <f>'תקציב הנדסה 2021'!L54</f>
        <v>339951</v>
      </c>
      <c r="M54" s="4">
        <f>'תקציב הנדסה 2021'!M54</f>
        <v>60049</v>
      </c>
      <c r="N54" s="4">
        <f>'תקציב הנדסה 2021'!N54</f>
        <v>5000000</v>
      </c>
      <c r="O54" s="4">
        <f>'תקציב הנדסה 2021'!O54</f>
        <v>8300000</v>
      </c>
      <c r="P54" s="4">
        <f>'תקציב הנדסה 2021'!P54</f>
        <v>1860049</v>
      </c>
      <c r="Q54" s="4">
        <f>'תקציב הנדסה 2021'!Q54</f>
        <v>0</v>
      </c>
      <c r="R54" s="4">
        <f>'תקציב הנדסה 2021'!R54</f>
        <v>0</v>
      </c>
      <c r="S54" s="4">
        <f>'תקציב הנדסה 2021'!S54</f>
        <v>0</v>
      </c>
      <c r="T54" s="4">
        <f>'תקציב הנדסה 2021'!T54</f>
        <v>1800000</v>
      </c>
      <c r="U54" s="4">
        <f>'תקציב הנדסה 2021'!U54</f>
        <v>3200000</v>
      </c>
      <c r="V54" s="4">
        <f>'תקציב הנדסה 2021'!V54</f>
        <v>3200000</v>
      </c>
      <c r="W54" s="4">
        <f>'תקציב הנדסה 2021'!W54</f>
        <v>0</v>
      </c>
      <c r="X54" s="4">
        <f>'תקציב הנדסה 2021'!X54</f>
        <v>0</v>
      </c>
      <c r="Y54" s="4">
        <f>'תקציב הנדסה 2021'!Y54</f>
        <v>0</v>
      </c>
      <c r="Z54" s="4">
        <f>'תקציב הנדסה 2021'!Z54</f>
        <v>0</v>
      </c>
      <c r="AA54" s="4">
        <f>'תקציב הנדסה 2021'!AA54</f>
        <v>0</v>
      </c>
      <c r="AB54" s="72" t="str">
        <f>'תקציב הנדסה 2021'!AB54</f>
        <v>פיתוח סימטה שהפכה לדרך במסגרת תב"ע 2029 בנווה עמל. העבודות כוללות החלפת תשתיות תת קרקעיות,הריסת מבנה והתחברות לרח' כצלנסון.</v>
      </c>
      <c r="AC54" s="3">
        <f>'תקציב הנדסה 2021'!AC54</f>
        <v>742000</v>
      </c>
      <c r="AD54" s="387"/>
      <c r="AE54" s="387"/>
      <c r="AF54" s="387"/>
    </row>
    <row r="55" spans="1:32" s="5" customFormat="1" ht="42">
      <c r="A55" s="3">
        <f t="shared" si="0"/>
        <v>51</v>
      </c>
      <c r="B55" s="3">
        <f>'תקציב הנדסה 2021'!B55</f>
        <v>2014</v>
      </c>
      <c r="C55" s="280" t="str">
        <f>'תקציב הנדסה 2021'!C55</f>
        <v>תכנון אסטרטגי ציר מעפילים</v>
      </c>
      <c r="D55" s="4">
        <f>'תקציב הנדסה 2021'!D55</f>
        <v>750000</v>
      </c>
      <c r="E55" s="4">
        <f>'תקציב הנדסה 2021'!E55</f>
        <v>750000</v>
      </c>
      <c r="F55" s="4">
        <f>'תקציב הנדסה 2021'!F55</f>
        <v>0</v>
      </c>
      <c r="G55" s="4">
        <f>'תקציב הנדסה 2021'!G55</f>
        <v>100000</v>
      </c>
      <c r="H55" s="4">
        <f>'תקציב הנדסה 2021'!H55</f>
        <v>0</v>
      </c>
      <c r="I55" s="4">
        <f>'תקציב הנדסה 2021'!I55</f>
        <v>0</v>
      </c>
      <c r="J55" s="4">
        <f>'תקציב הנדסה 2021'!J55</f>
        <v>0</v>
      </c>
      <c r="K55" s="4">
        <f>'תקציב הנדסה 2021'!K55</f>
        <v>0</v>
      </c>
      <c r="L55" s="4">
        <f>'תקציב הנדסה 2021'!L55</f>
        <v>0</v>
      </c>
      <c r="M55" s="4">
        <f>'תקציב הנדסה 2021'!M55</f>
        <v>0</v>
      </c>
      <c r="N55" s="4">
        <f>'תקציב הנדסה 2021'!N55</f>
        <v>100000</v>
      </c>
      <c r="O55" s="4">
        <f>'תקציב הנדסה 2021'!O55</f>
        <v>650000</v>
      </c>
      <c r="P55" s="4">
        <f>'תקציב הנדסה 2021'!P55</f>
        <v>100000</v>
      </c>
      <c r="Q55" s="4">
        <f>'תקציב הנדסה 2021'!Q55</f>
        <v>0</v>
      </c>
      <c r="R55" s="4">
        <f>'תקציב הנדסה 2021'!R55</f>
        <v>0</v>
      </c>
      <c r="S55" s="4">
        <f>'תקציב הנדסה 2021'!S55</f>
        <v>0</v>
      </c>
      <c r="T55" s="4">
        <f>'תקציב הנדסה 2021'!T55</f>
        <v>100000</v>
      </c>
      <c r="U55" s="4">
        <f>'תקציב הנדסה 2021'!U55</f>
        <v>0</v>
      </c>
      <c r="V55" s="4">
        <f>'תקציב הנדסה 2021'!V55</f>
        <v>0</v>
      </c>
      <c r="W55" s="4">
        <f>'תקציב הנדסה 2021'!W55</f>
        <v>0</v>
      </c>
      <c r="X55" s="4">
        <f>'תקציב הנדסה 2021'!X55</f>
        <v>0</v>
      </c>
      <c r="Y55" s="4">
        <f>'תקציב הנדסה 2021'!Y55</f>
        <v>0</v>
      </c>
      <c r="Z55" s="4">
        <f>'תקציב הנדסה 2021'!Z55</f>
        <v>0</v>
      </c>
      <c r="AA55" s="4">
        <f>'תקציב הנדסה 2021'!AA55</f>
        <v>0</v>
      </c>
      <c r="AB55" s="72" t="str">
        <f>'תקציב הנדסה 2021'!AB55</f>
        <v xml:space="preserve">תכנון ציר המעפילים הכניסה הצפונית לעיר בשיתוף מועצה מקומית כפר שמריהו. </v>
      </c>
      <c r="AC55" s="3">
        <f>'תקציב הנדסה 2021'!AC55</f>
        <v>732000</v>
      </c>
      <c r="AD55" s="387"/>
      <c r="AE55" s="387"/>
      <c r="AF55" s="387"/>
    </row>
    <row r="56" spans="1:32" s="6" customFormat="1" ht="56">
      <c r="A56" s="3">
        <f t="shared" si="0"/>
        <v>52</v>
      </c>
      <c r="B56" s="3">
        <f>'תקציב הנדסה 2021'!B56</f>
        <v>2105</v>
      </c>
      <c r="C56" s="280" t="str">
        <f>'תקציב הנדסה 2021'!C56</f>
        <v>הארכת דרך ירושלים והתחברות אליה</v>
      </c>
      <c r="D56" s="4">
        <f>'תקציב הנדסה 2021'!D56</f>
        <v>60000000</v>
      </c>
      <c r="E56" s="4">
        <f>'תקציב הנדסה 2021'!E56</f>
        <v>60000000</v>
      </c>
      <c r="F56" s="4">
        <f>'תקציב הנדסה 2021'!F56</f>
        <v>0</v>
      </c>
      <c r="G56" s="4">
        <f>'תקציב הנדסה 2021'!G56</f>
        <v>1000000</v>
      </c>
      <c r="H56" s="4">
        <f>'תקציב הנדסה 2021'!H56</f>
        <v>0</v>
      </c>
      <c r="I56" s="4">
        <f>'תקציב הנדסה 2021'!I56</f>
        <v>0</v>
      </c>
      <c r="J56" s="4">
        <f>'תקציב הנדסה 2021'!J56</f>
        <v>129838</v>
      </c>
      <c r="K56" s="4">
        <f>'תקציב הנדסה 2021'!K56</f>
        <v>129838</v>
      </c>
      <c r="L56" s="4">
        <f>'תקציב הנדסה 2021'!L56</f>
        <v>129838</v>
      </c>
      <c r="M56" s="4">
        <f>'תקציב הנדסה 2021'!M56</f>
        <v>70162</v>
      </c>
      <c r="N56" s="4">
        <f>'תקציב הנדסה 2021'!N56</f>
        <v>800000</v>
      </c>
      <c r="O56" s="4">
        <f>'תקציב הנדסה 2021'!O56</f>
        <v>59000000</v>
      </c>
      <c r="P56" s="4">
        <f>'תקציב הנדסה 2021'!P56</f>
        <v>870162</v>
      </c>
      <c r="Q56" s="4">
        <f>'תקציב הנדסה 2021'!Q56</f>
        <v>0</v>
      </c>
      <c r="R56" s="4">
        <f>'תקציב הנדסה 2021'!R56</f>
        <v>0</v>
      </c>
      <c r="S56" s="4">
        <f>'תקציב הנדסה 2021'!S56</f>
        <v>0</v>
      </c>
      <c r="T56" s="4">
        <f>'תקציב הנדסה 2021'!T56</f>
        <v>800000</v>
      </c>
      <c r="U56" s="4">
        <f>'תקציב הנדסה 2021'!U56</f>
        <v>0</v>
      </c>
      <c r="V56" s="4">
        <f>'תקציב הנדסה 2021'!V56</f>
        <v>0</v>
      </c>
      <c r="W56" s="4">
        <f>'תקציב הנדסה 2021'!W56</f>
        <v>0</v>
      </c>
      <c r="X56" s="4">
        <f>'תקציב הנדסה 2021'!X56</f>
        <v>0</v>
      </c>
      <c r="Y56" s="4">
        <f>'תקציב הנדסה 2021'!Y56</f>
        <v>0</v>
      </c>
      <c r="Z56" s="4">
        <f>'תקציב הנדסה 2021'!Z56</f>
        <v>0</v>
      </c>
      <c r="AA56" s="4">
        <f>'תקציב הנדסה 2021'!AA56</f>
        <v>0</v>
      </c>
      <c r="AB56" s="72" t="str">
        <f>'תקציב הנדסה 2021'!AB56</f>
        <v xml:space="preserve">הארכת דרך ירושלים  מרחוב סוקולוב עד ליפקין שחק כולל דרך ושביל אופניים , פיתוח רחוב יבנה והנגב . תכנון. </v>
      </c>
      <c r="AC56" s="3">
        <f>'תקציב הנדסה 2021'!AC56</f>
        <v>742000</v>
      </c>
      <c r="AD56" s="387"/>
      <c r="AE56" s="387"/>
      <c r="AF56" s="387"/>
    </row>
    <row r="57" spans="1:32" s="5" customFormat="1" ht="56">
      <c r="A57" s="3">
        <f t="shared" si="0"/>
        <v>53</v>
      </c>
      <c r="B57" s="3">
        <f>'תקציב הנדסה 2021'!B57</f>
        <v>2107</v>
      </c>
      <c r="C57" s="280" t="str">
        <f>'תקציב הנדסה 2021'!C57</f>
        <v>פיתוח וביצוע שידרוג ויזואלי מתחם בני בניימין הנדיב</v>
      </c>
      <c r="D57" s="4">
        <f>'תקציב הנדסה 2021'!D57</f>
        <v>340000</v>
      </c>
      <c r="E57" s="4">
        <f>'תקציב הנדסה 2021'!E57</f>
        <v>340000</v>
      </c>
      <c r="F57" s="4">
        <f>'תקציב הנדסה 2021'!F57</f>
        <v>0</v>
      </c>
      <c r="G57" s="4">
        <f>'תקציב הנדסה 2021'!G57</f>
        <v>340000</v>
      </c>
      <c r="H57" s="4">
        <f>'תקציב הנדסה 2021'!H57</f>
        <v>0</v>
      </c>
      <c r="I57" s="4">
        <f>'תקציב הנדסה 2021'!I57</f>
        <v>0</v>
      </c>
      <c r="J57" s="4">
        <f>'תקציב הנדסה 2021'!J57</f>
        <v>0</v>
      </c>
      <c r="K57" s="4">
        <f>'תקציב הנדסה 2021'!K57</f>
        <v>0</v>
      </c>
      <c r="L57" s="4">
        <f>'תקציב הנדסה 2021'!L57</f>
        <v>0</v>
      </c>
      <c r="M57" s="4">
        <f>'תקציב הנדסה 2021'!M57</f>
        <v>0</v>
      </c>
      <c r="N57" s="4">
        <f>'תקציב הנדסה 2021'!N57</f>
        <v>340000</v>
      </c>
      <c r="O57" s="4">
        <f>'תקציב הנדסה 2021'!O57</f>
        <v>0</v>
      </c>
      <c r="P57" s="4">
        <f>'תקציב הנדסה 2021'!P57</f>
        <v>340000</v>
      </c>
      <c r="Q57" s="4">
        <f>'תקציב הנדסה 2021'!Q57</f>
        <v>0</v>
      </c>
      <c r="R57" s="4">
        <f>'תקציב הנדסה 2021'!R57</f>
        <v>0</v>
      </c>
      <c r="S57" s="4">
        <f>'תקציב הנדסה 2021'!S57</f>
        <v>0</v>
      </c>
      <c r="T57" s="4">
        <f>'תקציב הנדסה 2021'!T57</f>
        <v>340000</v>
      </c>
      <c r="U57" s="4">
        <f>'תקציב הנדסה 2021'!U57</f>
        <v>0</v>
      </c>
      <c r="V57" s="4">
        <f>'תקציב הנדסה 2021'!V57</f>
        <v>0</v>
      </c>
      <c r="W57" s="4">
        <f>'תקציב הנדסה 2021'!W57</f>
        <v>0</v>
      </c>
      <c r="X57" s="4">
        <f>'תקציב הנדסה 2021'!X57</f>
        <v>0</v>
      </c>
      <c r="Y57" s="4">
        <f>'תקציב הנדסה 2021'!Y57</f>
        <v>0</v>
      </c>
      <c r="Z57" s="4">
        <f>'תקציב הנדסה 2021'!Z57</f>
        <v>0</v>
      </c>
      <c r="AA57" s="4">
        <f>'תקציב הנדסה 2021'!AA57</f>
        <v>0</v>
      </c>
      <c r="AB57" s="72" t="str">
        <f>'תקציב הנדסה 2021'!AB57</f>
        <v xml:space="preserve">הסדרת שבילי גישה רגלית וכניסת כלי רכב לחניות,שביל פינוי אשפה,פיתוח כולל גינון ותאורה.ב-2021 מתוכנן מרכז "מייקרים" בשיתוף אדריכלית השימור. </v>
      </c>
      <c r="AC57" s="3">
        <f>'תקציב הנדסה 2021'!AC57</f>
        <v>742000</v>
      </c>
      <c r="AD57" s="387"/>
      <c r="AE57" s="387"/>
      <c r="AF57" s="387"/>
    </row>
    <row r="58" spans="1:32" s="5" customFormat="1" ht="30" customHeight="1">
      <c r="A58" s="3">
        <f t="shared" si="0"/>
        <v>54</v>
      </c>
      <c r="B58" s="3">
        <f>'תקציב הנדסה 2021'!B58</f>
        <v>2112</v>
      </c>
      <c r="C58" s="280" t="str">
        <f>'תקציב הנדסה 2021'!C58</f>
        <v>סקר חריגות בניה ברחבי העיר</v>
      </c>
      <c r="D58" s="4">
        <f>'תקציב הנדסה 2021'!D58</f>
        <v>7650000</v>
      </c>
      <c r="E58" s="4">
        <f>'תקציב הנדסה 2021'!E58</f>
        <v>7650000</v>
      </c>
      <c r="F58" s="4">
        <f>'תקציב הנדסה 2021'!F58</f>
        <v>0</v>
      </c>
      <c r="G58" s="4">
        <f>'תקציב הנדסה 2021'!G58</f>
        <v>2160000</v>
      </c>
      <c r="H58" s="4">
        <f>'תקציב הנדסה 2021'!H58</f>
        <v>0</v>
      </c>
      <c r="I58" s="4">
        <f>'תקציב הנדסה 2021'!I58</f>
        <v>0</v>
      </c>
      <c r="J58" s="4">
        <f>'תקציב הנדסה 2021'!J58</f>
        <v>13843</v>
      </c>
      <c r="K58" s="4">
        <f>'תקציב הנדסה 2021'!K58</f>
        <v>13843</v>
      </c>
      <c r="L58" s="4">
        <f>'תקציב הנדסה 2021'!L58</f>
        <v>13843</v>
      </c>
      <c r="M58" s="4">
        <f>'תקציב הנדסה 2021'!M58</f>
        <v>46157</v>
      </c>
      <c r="N58" s="4">
        <f>'תקציב הנדסה 2021'!N58</f>
        <v>2100000</v>
      </c>
      <c r="O58" s="4">
        <f>'תקציב הנדסה 2021'!O58</f>
        <v>5490000</v>
      </c>
      <c r="P58" s="4">
        <f>'תקציב הנדסה 2021'!P58</f>
        <v>2146157</v>
      </c>
      <c r="Q58" s="4">
        <f>'תקציב הנדסה 2021'!Q58</f>
        <v>0</v>
      </c>
      <c r="R58" s="4">
        <f>'תקציב הנדסה 2021'!R58</f>
        <v>0</v>
      </c>
      <c r="S58" s="4">
        <f>'תקציב הנדסה 2021'!S58</f>
        <v>0</v>
      </c>
      <c r="T58" s="4">
        <f>'תקציב הנדסה 2021'!T58</f>
        <v>2100000</v>
      </c>
      <c r="U58" s="4">
        <f>'תקציב הנדסה 2021'!U58</f>
        <v>0</v>
      </c>
      <c r="V58" s="4">
        <f>'תקציב הנדסה 2021'!V58</f>
        <v>0</v>
      </c>
      <c r="W58" s="4">
        <f>'תקציב הנדסה 2021'!W58</f>
        <v>0</v>
      </c>
      <c r="X58" s="4">
        <f>'תקציב הנדסה 2021'!X58</f>
        <v>0</v>
      </c>
      <c r="Y58" s="4">
        <f>'תקציב הנדסה 2021'!Y58</f>
        <v>0</v>
      </c>
      <c r="Z58" s="4">
        <f>'תקציב הנדסה 2021'!Z58</f>
        <v>0</v>
      </c>
      <c r="AA58" s="4">
        <f>'תקציב הנדסה 2021'!AA58</f>
        <v>0</v>
      </c>
      <c r="AB58" s="72" t="str">
        <f>'תקציב הנדסה 2021'!AB58</f>
        <v>ביצוע סקר חריגות בנייה עפ"י תיקון לחוק הרשויות.</v>
      </c>
      <c r="AC58" s="3">
        <f>'תקציב הנדסה 2021'!AC58</f>
        <v>732000</v>
      </c>
      <c r="AD58" s="387"/>
      <c r="AE58" s="387"/>
      <c r="AF58" s="387"/>
    </row>
    <row r="59" spans="1:32" s="6" customFormat="1" ht="42">
      <c r="A59" s="3">
        <f t="shared" si="0"/>
        <v>55</v>
      </c>
      <c r="B59" s="3">
        <f>'תקציב הנדסה 2021'!B59</f>
        <v>2113</v>
      </c>
      <c r="C59" s="280" t="str">
        <f>'תקציב הנדסה 2021'!C59</f>
        <v>ביצוע הריסות עפ"י צווים</v>
      </c>
      <c r="D59" s="4">
        <f>'תקציב הנדסה 2021'!D59</f>
        <v>2550000</v>
      </c>
      <c r="E59" s="4">
        <f>'תקציב הנדסה 2021'!E59</f>
        <v>2550000</v>
      </c>
      <c r="F59" s="4">
        <f>'תקציב הנדסה 2021'!F59</f>
        <v>0</v>
      </c>
      <c r="G59" s="4">
        <f>'תקציב הנדסה 2021'!G59</f>
        <v>200000</v>
      </c>
      <c r="H59" s="4">
        <f>'תקציב הנדסה 2021'!H59</f>
        <v>0</v>
      </c>
      <c r="I59" s="4">
        <f>'תקציב הנדסה 2021'!I59</f>
        <v>0</v>
      </c>
      <c r="J59" s="4">
        <f>'תקציב הנדסה 2021'!J59</f>
        <v>0</v>
      </c>
      <c r="K59" s="4">
        <f>'תקציב הנדסה 2021'!K59</f>
        <v>0</v>
      </c>
      <c r="L59" s="4">
        <f>'תקציב הנדסה 2021'!L59</f>
        <v>0</v>
      </c>
      <c r="M59" s="4">
        <f>'תקציב הנדסה 2021'!M59</f>
        <v>0</v>
      </c>
      <c r="N59" s="4">
        <f>'תקציב הנדסה 2021'!N59</f>
        <v>200000</v>
      </c>
      <c r="O59" s="4">
        <f>'תקציב הנדסה 2021'!O59</f>
        <v>2350000</v>
      </c>
      <c r="P59" s="4">
        <f>'תקציב הנדסה 2021'!P59</f>
        <v>200000</v>
      </c>
      <c r="Q59" s="4">
        <f>'תקציב הנדסה 2021'!Q59</f>
        <v>0</v>
      </c>
      <c r="R59" s="4">
        <f>'תקציב הנדסה 2021'!R59</f>
        <v>0</v>
      </c>
      <c r="S59" s="4">
        <f>'תקציב הנדסה 2021'!S59</f>
        <v>0</v>
      </c>
      <c r="T59" s="4">
        <f>'תקציב הנדסה 2021'!T59</f>
        <v>200000</v>
      </c>
      <c r="U59" s="4">
        <f>'תקציב הנדסה 2021'!U59</f>
        <v>0</v>
      </c>
      <c r="V59" s="4">
        <f>'תקציב הנדסה 2021'!V59</f>
        <v>0</v>
      </c>
      <c r="W59" s="4">
        <f>'תקציב הנדסה 2021'!W59</f>
        <v>0</v>
      </c>
      <c r="X59" s="4">
        <f>'תקציב הנדסה 2021'!X59</f>
        <v>0</v>
      </c>
      <c r="Y59" s="4">
        <f>'תקציב הנדסה 2021'!Y59</f>
        <v>0</v>
      </c>
      <c r="Z59" s="4">
        <f>'תקציב הנדסה 2021'!Z59</f>
        <v>0</v>
      </c>
      <c r="AA59" s="4">
        <f>'תקציב הנדסה 2021'!AA59</f>
        <v>0</v>
      </c>
      <c r="AB59" s="72" t="str">
        <f>'תקציב הנדסה 2021'!AB59</f>
        <v xml:space="preserve"> ביצוע צווים שיפוטיים וביצוע הריסות במקרים בהם לא בוצעו, ככל שיידרש בהמשך לסקר חריגות הבניה.</v>
      </c>
      <c r="AC59" s="3">
        <f>'תקציב הנדסה 2021'!AC59</f>
        <v>732000</v>
      </c>
      <c r="AD59" s="387"/>
      <c r="AE59" s="387"/>
      <c r="AF59" s="387"/>
    </row>
    <row r="60" spans="1:32" s="6" customFormat="1" ht="56">
      <c r="A60" s="3">
        <f t="shared" si="0"/>
        <v>56</v>
      </c>
      <c r="B60" s="3">
        <f>'תקציב הנדסה 2021'!B60</f>
        <v>2114</v>
      </c>
      <c r="C60" s="280" t="str">
        <f>'תקציב הנדסה 2021'!C60</f>
        <v>תב"ע תוכנית שיקום המסילה המתפנה הר '2435</v>
      </c>
      <c r="D60" s="4">
        <f>'תקציב הנדסה 2021'!D60</f>
        <v>1450000</v>
      </c>
      <c r="E60" s="4">
        <f>'תקציב הנדסה 2021'!E60</f>
        <v>1450000</v>
      </c>
      <c r="F60" s="4">
        <f>'תקציב הנדסה 2021'!F60</f>
        <v>0</v>
      </c>
      <c r="G60" s="4">
        <f>'תקציב הנדסה 2021'!G60</f>
        <v>850000</v>
      </c>
      <c r="H60" s="4">
        <f>'תקציב הנדסה 2021'!H60</f>
        <v>0</v>
      </c>
      <c r="I60" s="4">
        <f>'תקציב הנדסה 2021'!I60</f>
        <v>44352</v>
      </c>
      <c r="J60" s="4">
        <f>'תקציב הנדסה 2021'!J60</f>
        <v>0</v>
      </c>
      <c r="K60" s="4">
        <f>'תקציב הנדסה 2021'!K60</f>
        <v>44352</v>
      </c>
      <c r="L60" s="4">
        <f>'תקציב הנדסה 2021'!L60</f>
        <v>44352</v>
      </c>
      <c r="M60" s="4">
        <f>'תקציב הנדסה 2021'!M60</f>
        <v>5648</v>
      </c>
      <c r="N60" s="4">
        <f>'תקציב הנדסה 2021'!N60</f>
        <v>600000</v>
      </c>
      <c r="O60" s="4">
        <f>'תקציב הנדסה 2021'!O60</f>
        <v>800000</v>
      </c>
      <c r="P60" s="4">
        <f>'תקציב הנדסה 2021'!P60</f>
        <v>805648</v>
      </c>
      <c r="Q60" s="4">
        <f>'תקציב הנדסה 2021'!Q60</f>
        <v>0</v>
      </c>
      <c r="R60" s="4">
        <f>'תקציב הנדסה 2021'!R60</f>
        <v>0</v>
      </c>
      <c r="S60" s="4">
        <f>'תקציב הנדסה 2021'!S60</f>
        <v>0</v>
      </c>
      <c r="T60" s="4">
        <f>'תקציב הנדסה 2021'!T60</f>
        <v>800000</v>
      </c>
      <c r="U60" s="4">
        <f>'תקציב הנדסה 2021'!U60</f>
        <v>-200000</v>
      </c>
      <c r="V60" s="4">
        <f>'תקציב הנדסה 2021'!V60</f>
        <v>-200000</v>
      </c>
      <c r="W60" s="4">
        <f>'תקציב הנדסה 2021'!W60</f>
        <v>0</v>
      </c>
      <c r="X60" s="4">
        <f>'תקציב הנדסה 2021'!X60</f>
        <v>0</v>
      </c>
      <c r="Y60" s="4">
        <f>'תקציב הנדסה 2021'!Y60</f>
        <v>0</v>
      </c>
      <c r="Z60" s="4">
        <f>'תקציב הנדסה 2021'!Z60</f>
        <v>0</v>
      </c>
      <c r="AA60" s="4">
        <f>'תקציב הנדסה 2021'!AA60</f>
        <v>0</v>
      </c>
      <c r="AB60" s="72" t="str">
        <f>'תקציב הנדסה 2021'!AB60</f>
        <v>תב"ע בשיתוף מועצת כפר שמריהו לתכנון קישוריות שביל אופניים ופארק בתחום המסילה המתפנה ובחינת חיבור תחבורתי נוסף להרצליה ב'.</v>
      </c>
      <c r="AC60" s="3">
        <f>'תקציב הנדסה 2021'!AC60</f>
        <v>732000</v>
      </c>
      <c r="AD60" s="387"/>
      <c r="AE60" s="387"/>
      <c r="AF60" s="387"/>
    </row>
    <row r="61" spans="1:32" s="6" customFormat="1" ht="42">
      <c r="A61" s="3">
        <f t="shared" si="0"/>
        <v>57</v>
      </c>
      <c r="B61" s="3">
        <f>'תקציב הנדסה 2021'!B61</f>
        <v>2117</v>
      </c>
      <c r="C61" s="280" t="str">
        <f>'תקציב הנדסה 2021'!C61</f>
        <v>שינוי תוכנית גליל ים א' ב' (=ט')</v>
      </c>
      <c r="D61" s="4">
        <f>'תקציב הנדסה 2021'!D61</f>
        <v>750000</v>
      </c>
      <c r="E61" s="4">
        <f>'תקציב הנדסה 2021'!E61</f>
        <v>600000</v>
      </c>
      <c r="F61" s="4">
        <f>'תקציב הנדסה 2021'!F61</f>
        <v>150000</v>
      </c>
      <c r="G61" s="4">
        <f>'תקציב הנדסה 2021'!G61</f>
        <v>600000</v>
      </c>
      <c r="H61" s="4">
        <f>'תקציב הנדסה 2021'!H61</f>
        <v>0</v>
      </c>
      <c r="I61" s="4">
        <f>'תקציב הנדסה 2021'!I61</f>
        <v>0</v>
      </c>
      <c r="J61" s="4">
        <f>'תקציב הנדסה 2021'!J61</f>
        <v>0</v>
      </c>
      <c r="K61" s="4">
        <f>'תקציב הנדסה 2021'!K61</f>
        <v>0</v>
      </c>
      <c r="L61" s="4">
        <f>'תקציב הנדסה 2021'!L61</f>
        <v>0</v>
      </c>
      <c r="M61" s="4">
        <f>'תקציב הנדסה 2021'!M61</f>
        <v>0</v>
      </c>
      <c r="N61" s="4">
        <f>'תקציב הנדסה 2021'!N61</f>
        <v>400000</v>
      </c>
      <c r="O61" s="4">
        <f>'תקציב הנדסה 2021'!O61</f>
        <v>350000</v>
      </c>
      <c r="P61" s="4">
        <f>'תקציב הנדסה 2021'!P61</f>
        <v>600000</v>
      </c>
      <c r="Q61" s="4">
        <f>'תקציב הנדסה 2021'!Q61</f>
        <v>0</v>
      </c>
      <c r="R61" s="4">
        <f>'תקציב הנדסה 2021'!R61</f>
        <v>0</v>
      </c>
      <c r="S61" s="4">
        <f>'תקציב הנדסה 2021'!S61</f>
        <v>0</v>
      </c>
      <c r="T61" s="4">
        <f>'תקציב הנדסה 2021'!T61</f>
        <v>600000</v>
      </c>
      <c r="U61" s="4">
        <f>'תקציב הנדסה 2021'!U61</f>
        <v>-200000</v>
      </c>
      <c r="V61" s="4">
        <f>'תקציב הנדסה 2021'!V61</f>
        <v>-200000</v>
      </c>
      <c r="W61" s="4">
        <f>'תקציב הנדסה 2021'!W61</f>
        <v>0</v>
      </c>
      <c r="X61" s="4">
        <f>'תקציב הנדסה 2021'!X61</f>
        <v>0</v>
      </c>
      <c r="Y61" s="4">
        <f>'תקציב הנדסה 2021'!Y61</f>
        <v>0</v>
      </c>
      <c r="Z61" s="4">
        <f>'תקציב הנדסה 2021'!Z61</f>
        <v>0</v>
      </c>
      <c r="AA61" s="4">
        <f>'תקציב הנדסה 2021'!AA61</f>
        <v>0</v>
      </c>
      <c r="AB61" s="72" t="str">
        <f>'תקציב הנדסה 2021'!AB61</f>
        <v xml:space="preserve">שינוי לתוכנית הר' 1985 ב' עקב ריבוי יח"ד והצורך לספק שטחים ציבוריים בגינם. </v>
      </c>
      <c r="AC61" s="3">
        <f>'תקציב הנדסה 2021'!AC61</f>
        <v>732000</v>
      </c>
      <c r="AD61" s="387"/>
      <c r="AE61" s="387"/>
      <c r="AF61" s="387"/>
    </row>
    <row r="62" spans="1:32" s="5" customFormat="1" ht="42">
      <c r="A62" s="3">
        <f t="shared" si="0"/>
        <v>58</v>
      </c>
      <c r="B62" s="3">
        <f>'תקציב הנדסה 2021'!B62</f>
        <v>2121</v>
      </c>
      <c r="C62" s="280" t="str">
        <f>'תקציב הנדסה 2021'!C62</f>
        <v>צומת הבריגדה היהודית -מנחם בגין- בטיחות</v>
      </c>
      <c r="D62" s="4">
        <f>'תקציב הנדסה 2021'!D62</f>
        <v>300000</v>
      </c>
      <c r="E62" s="4">
        <f>'תקציב הנדסה 2021'!E62</f>
        <v>300000</v>
      </c>
      <c r="F62" s="4">
        <f>'תקציב הנדסה 2021'!F62</f>
        <v>0</v>
      </c>
      <c r="G62" s="4">
        <f>'תקציב הנדסה 2021'!G62</f>
        <v>300000</v>
      </c>
      <c r="H62" s="4">
        <f>'תקציב הנדסה 2021'!H62</f>
        <v>45958</v>
      </c>
      <c r="I62" s="4">
        <f>'תקציב הנדסה 2021'!I62</f>
        <v>0</v>
      </c>
      <c r="J62" s="4">
        <f>'תקציב הנדסה 2021'!J62</f>
        <v>46309</v>
      </c>
      <c r="K62" s="4">
        <f>'תקציב הנדסה 2021'!K62</f>
        <v>46309</v>
      </c>
      <c r="L62" s="4">
        <f>'תקציב הנדסה 2021'!L62</f>
        <v>92267</v>
      </c>
      <c r="M62" s="4">
        <f>'תקציב הנדסה 2021'!M62</f>
        <v>207733</v>
      </c>
      <c r="N62" s="4">
        <f>'תקציב הנדסה 2021'!N62</f>
        <v>0</v>
      </c>
      <c r="O62" s="4">
        <f>'תקציב הנדסה 2021'!O62</f>
        <v>0</v>
      </c>
      <c r="P62" s="4">
        <f>'תקציב הנדסה 2021'!P62</f>
        <v>207733</v>
      </c>
      <c r="Q62" s="4">
        <f>'תקציב הנדסה 2021'!Q62</f>
        <v>0</v>
      </c>
      <c r="R62" s="4">
        <f>'תקציב הנדסה 2021'!R62</f>
        <v>0</v>
      </c>
      <c r="S62" s="4">
        <f>'תקציב הנדסה 2021'!S62</f>
        <v>0</v>
      </c>
      <c r="T62" s="4">
        <f>'תקציב הנדסה 2021'!T62</f>
        <v>0</v>
      </c>
      <c r="U62" s="4">
        <f>'תקציב הנדסה 2021'!U62</f>
        <v>0</v>
      </c>
      <c r="V62" s="4">
        <f>'תקציב הנדסה 2021'!V62</f>
        <v>0</v>
      </c>
      <c r="W62" s="4">
        <f>'תקציב הנדסה 2021'!W62</f>
        <v>0</v>
      </c>
      <c r="X62" s="4">
        <f>'תקציב הנדסה 2021'!X62</f>
        <v>0</v>
      </c>
      <c r="Y62" s="4">
        <f>'תקציב הנדסה 2021'!Y62</f>
        <v>0</v>
      </c>
      <c r="Z62" s="4">
        <f>'תקציב הנדסה 2021'!Z62</f>
        <v>0</v>
      </c>
      <c r="AA62" s="4">
        <f>'תקציב הנדסה 2021'!AA62</f>
        <v>0</v>
      </c>
      <c r="AB62" s="72" t="str">
        <f>'תקציב הנדסה 2021'!AB62</f>
        <v>תכנון צומת הבריגדה היהודית -מנחם בגין עקב ריבוי תאונות דרכים עפ"י נתוני הרלב"ד. מימון מ. התחבורה.</v>
      </c>
      <c r="AC62" s="3">
        <f>'תקציב הנדסה 2021'!AC62</f>
        <v>742000</v>
      </c>
      <c r="AD62" s="387"/>
      <c r="AE62" s="387"/>
      <c r="AF62" s="387"/>
    </row>
    <row r="63" spans="1:32" s="5" customFormat="1" ht="42">
      <c r="A63" s="3">
        <f t="shared" si="0"/>
        <v>59</v>
      </c>
      <c r="B63" s="3">
        <f>'תקציב הנדסה 2021'!B63</f>
        <v>2122</v>
      </c>
      <c r="C63" s="280" t="str">
        <f>'תקציב הנדסה 2021'!C63</f>
        <v>צומת הרב גורן מוהליבר - בטיחות</v>
      </c>
      <c r="D63" s="4">
        <f>'תקציב הנדסה 2021'!D63</f>
        <v>300000</v>
      </c>
      <c r="E63" s="4">
        <f>'תקציב הנדסה 2021'!E63</f>
        <v>300000</v>
      </c>
      <c r="F63" s="4">
        <f>'תקציב הנדסה 2021'!F63</f>
        <v>0</v>
      </c>
      <c r="G63" s="4">
        <f>'תקציב הנדסה 2021'!G63</f>
        <v>300000</v>
      </c>
      <c r="H63" s="4">
        <f>'תקציב הנדסה 2021'!H63</f>
        <v>28641</v>
      </c>
      <c r="I63" s="4">
        <f>'תקציב הנדסה 2021'!I63</f>
        <v>0</v>
      </c>
      <c r="J63" s="4">
        <f>'תקציב הנדסה 2021'!J63</f>
        <v>30789</v>
      </c>
      <c r="K63" s="4">
        <f>'תקציב הנדסה 2021'!K63</f>
        <v>30789</v>
      </c>
      <c r="L63" s="4">
        <f>'תקציב הנדסה 2021'!L63</f>
        <v>59430</v>
      </c>
      <c r="M63" s="4">
        <f>'תקציב הנדסה 2021'!M63</f>
        <v>240570</v>
      </c>
      <c r="N63" s="4">
        <f>'תקציב הנדסה 2021'!N63</f>
        <v>0</v>
      </c>
      <c r="O63" s="4">
        <f>'תקציב הנדסה 2021'!O63</f>
        <v>0</v>
      </c>
      <c r="P63" s="4">
        <f>'תקציב הנדסה 2021'!P63</f>
        <v>240570</v>
      </c>
      <c r="Q63" s="4">
        <f>'תקציב הנדסה 2021'!Q63</f>
        <v>0</v>
      </c>
      <c r="R63" s="4">
        <f>'תקציב הנדסה 2021'!R63</f>
        <v>0</v>
      </c>
      <c r="S63" s="4">
        <f>'תקציב הנדסה 2021'!S63</f>
        <v>0</v>
      </c>
      <c r="T63" s="4">
        <f>'תקציב הנדסה 2021'!T63</f>
        <v>0</v>
      </c>
      <c r="U63" s="4">
        <f>'תקציב הנדסה 2021'!U63</f>
        <v>0</v>
      </c>
      <c r="V63" s="4">
        <f>'תקציב הנדסה 2021'!V63</f>
        <v>0</v>
      </c>
      <c r="W63" s="4">
        <f>'תקציב הנדסה 2021'!W63</f>
        <v>0</v>
      </c>
      <c r="X63" s="4">
        <f>'תקציב הנדסה 2021'!X63</f>
        <v>0</v>
      </c>
      <c r="Y63" s="4">
        <f>'תקציב הנדסה 2021'!Y63</f>
        <v>0</v>
      </c>
      <c r="Z63" s="4">
        <f>'תקציב הנדסה 2021'!Z63</f>
        <v>0</v>
      </c>
      <c r="AA63" s="4">
        <f>'תקציב הנדסה 2021'!AA63</f>
        <v>0</v>
      </c>
      <c r="AB63" s="72" t="str">
        <f>'תקציב הנדסה 2021'!AB63</f>
        <v xml:space="preserve">תכנון צומת הרב גורן מוהליבר עקב ריבוי תאונות דרכים עפ"י נתוני הרלב"ד. מימון מ. התחבורה. </v>
      </c>
      <c r="AC63" s="3">
        <f>'תקציב הנדסה 2021'!AC63</f>
        <v>742000</v>
      </c>
      <c r="AD63" s="387"/>
      <c r="AE63" s="387"/>
      <c r="AF63" s="387"/>
    </row>
    <row r="64" spans="1:32" s="5" customFormat="1" ht="42">
      <c r="A64" s="3">
        <f t="shared" si="0"/>
        <v>60</v>
      </c>
      <c r="B64" s="3">
        <f>'תקציב הנדסה 2021'!B64</f>
        <v>2123</v>
      </c>
      <c r="C64" s="280" t="str">
        <f>'תקציב הנדסה 2021'!C64</f>
        <v>צומת השרון בר אילן -בטיחות</v>
      </c>
      <c r="D64" s="4">
        <f>'תקציב הנדסה 2021'!D64</f>
        <v>750000</v>
      </c>
      <c r="E64" s="4">
        <f>'תקציב הנדסה 2021'!E64</f>
        <v>750000</v>
      </c>
      <c r="F64" s="4">
        <f>'תקציב הנדסה 2021'!F64</f>
        <v>0</v>
      </c>
      <c r="G64" s="4">
        <f>'תקציב הנדסה 2021'!G64</f>
        <v>750000</v>
      </c>
      <c r="H64" s="4">
        <f>'תקציב הנדסה 2021'!H64</f>
        <v>14281</v>
      </c>
      <c r="I64" s="4">
        <f>'תקציב הנדסה 2021'!I64</f>
        <v>0</v>
      </c>
      <c r="J64" s="4">
        <f>'תקציב הנדסה 2021'!J64</f>
        <v>11350</v>
      </c>
      <c r="K64" s="4">
        <f>'תקציב הנדסה 2021'!K64</f>
        <v>11350</v>
      </c>
      <c r="L64" s="4">
        <f>'תקציב הנדסה 2021'!L64</f>
        <v>25631</v>
      </c>
      <c r="M64" s="4">
        <f>'תקציב הנדסה 2021'!M64</f>
        <v>724369</v>
      </c>
      <c r="N64" s="4">
        <f>'תקציב הנדסה 2021'!N64</f>
        <v>0</v>
      </c>
      <c r="O64" s="4">
        <f>'תקציב הנדסה 2021'!O64</f>
        <v>0</v>
      </c>
      <c r="P64" s="4">
        <f>'תקציב הנדסה 2021'!P64</f>
        <v>724369</v>
      </c>
      <c r="Q64" s="4">
        <f>'תקציב הנדסה 2021'!Q64</f>
        <v>0</v>
      </c>
      <c r="R64" s="4">
        <f>'תקציב הנדסה 2021'!R64</f>
        <v>0</v>
      </c>
      <c r="S64" s="4">
        <f>'תקציב הנדסה 2021'!S64</f>
        <v>0</v>
      </c>
      <c r="T64" s="4">
        <f>'תקציב הנדסה 2021'!T64</f>
        <v>0</v>
      </c>
      <c r="U64" s="4">
        <f>'תקציב הנדסה 2021'!U64</f>
        <v>0</v>
      </c>
      <c r="V64" s="4">
        <f>'תקציב הנדסה 2021'!V64</f>
        <v>0</v>
      </c>
      <c r="W64" s="4">
        <f>'תקציב הנדסה 2021'!W64</f>
        <v>0</v>
      </c>
      <c r="X64" s="4">
        <f>'תקציב הנדסה 2021'!X64</f>
        <v>0</v>
      </c>
      <c r="Y64" s="4">
        <f>'תקציב הנדסה 2021'!Y64</f>
        <v>0</v>
      </c>
      <c r="Z64" s="4">
        <f>'תקציב הנדסה 2021'!Z64</f>
        <v>0</v>
      </c>
      <c r="AA64" s="4">
        <f>'תקציב הנדסה 2021'!AA64</f>
        <v>0</v>
      </c>
      <c r="AB64" s="72" t="str">
        <f>'תקציב הנדסה 2021'!AB64</f>
        <v>תכנון צומת השרון בר אילן  עקב ריבוי תאונות דרכים עפ"י נתוני הרלב"ד. מימון מ. התחבורה.</v>
      </c>
      <c r="AC64" s="3">
        <f>'תקציב הנדסה 2021'!AC64</f>
        <v>742000</v>
      </c>
      <c r="AD64" s="387"/>
      <c r="AE64" s="387"/>
      <c r="AF64" s="387"/>
    </row>
    <row r="65" spans="1:32" s="5" customFormat="1" ht="56">
      <c r="A65" s="3">
        <f t="shared" si="0"/>
        <v>61</v>
      </c>
      <c r="B65" s="3">
        <f>'תקציב הנדסה 2021'!B65</f>
        <v>2141</v>
      </c>
      <c r="C65" s="280" t="str">
        <f>'תקציב הנדסה 2021'!C65</f>
        <v>תכנית פיתוח של המרחב הציבורי תל מיכל</v>
      </c>
      <c r="D65" s="4">
        <f>'תקציב הנדסה 2021'!D65</f>
        <v>640000</v>
      </c>
      <c r="E65" s="4">
        <f>'תקציב הנדסה 2021'!E65</f>
        <v>640000</v>
      </c>
      <c r="F65" s="4">
        <f>'תקציב הנדסה 2021'!F65</f>
        <v>0</v>
      </c>
      <c r="G65" s="4">
        <f>'תקציב הנדסה 2021'!G65</f>
        <v>0</v>
      </c>
      <c r="H65" s="4">
        <f>'תקציב הנדסה 2021'!H65</f>
        <v>0</v>
      </c>
      <c r="I65" s="4">
        <f>'תקציב הנדסה 2021'!I65</f>
        <v>0</v>
      </c>
      <c r="J65" s="4">
        <f>'תקציב הנדסה 2021'!J65</f>
        <v>0</v>
      </c>
      <c r="K65" s="4">
        <f>'תקציב הנדסה 2021'!K65</f>
        <v>0</v>
      </c>
      <c r="L65" s="4">
        <f>'תקציב הנדסה 2021'!L65</f>
        <v>0</v>
      </c>
      <c r="M65" s="4">
        <f>'תקציב הנדסה 2021'!M65</f>
        <v>0</v>
      </c>
      <c r="N65" s="4">
        <f>'תקציב הנדסה 2021'!N65</f>
        <v>0</v>
      </c>
      <c r="O65" s="4">
        <f>'תקציב הנדסה 2021'!O65</f>
        <v>640000</v>
      </c>
      <c r="P65" s="4">
        <f>'תקציב הנדסה 2021'!P65</f>
        <v>0</v>
      </c>
      <c r="Q65" s="4">
        <f>'תקציב הנדסה 2021'!Q65</f>
        <v>0</v>
      </c>
      <c r="R65" s="4">
        <f>'תקציב הנדסה 2021'!R65</f>
        <v>0</v>
      </c>
      <c r="S65" s="4">
        <f>'תקציב הנדסה 2021'!S65</f>
        <v>0</v>
      </c>
      <c r="T65" s="4">
        <f>'תקציב הנדסה 2021'!T65</f>
        <v>0</v>
      </c>
      <c r="U65" s="4">
        <f>'תקציב הנדסה 2021'!U65</f>
        <v>0</v>
      </c>
      <c r="V65" s="4">
        <f>'תקציב הנדסה 2021'!V65</f>
        <v>0</v>
      </c>
      <c r="W65" s="4">
        <f>'תקציב הנדסה 2021'!W65</f>
        <v>0</v>
      </c>
      <c r="X65" s="4">
        <f>'תקציב הנדסה 2021'!X65</f>
        <v>0</v>
      </c>
      <c r="Y65" s="4">
        <f>'תקציב הנדסה 2021'!Y65</f>
        <v>0</v>
      </c>
      <c r="Z65" s="4">
        <f>'תקציב הנדסה 2021'!Z65</f>
        <v>0</v>
      </c>
      <c r="AA65" s="4">
        <f>'תקציב הנדסה 2021'!AA65</f>
        <v>0</v>
      </c>
      <c r="AB65" s="72" t="str">
        <f>'תקציב הנדסה 2021'!AB65</f>
        <v xml:space="preserve">ליווי אדריכלי  לתוכנית בחינת הקשר השביל הירוק המטרופולוני לאורך אבא אבן תל מיכל והמרחב הציבורי במרינה לחיזוק הקישוריות העיר למרינה ולחוף . </v>
      </c>
      <c r="AC65" s="3">
        <f>'תקציב הנדסה 2021'!AC65</f>
        <v>732000</v>
      </c>
      <c r="AD65" s="387"/>
      <c r="AE65" s="387"/>
      <c r="AF65" s="387"/>
    </row>
    <row r="66" spans="1:32" s="5" customFormat="1" ht="30" customHeight="1">
      <c r="A66" s="3">
        <f t="shared" si="0"/>
        <v>62</v>
      </c>
      <c r="B66" s="3">
        <f>'תקציב הנדסה 2021'!B66</f>
        <v>2142</v>
      </c>
      <c r="C66" s="280" t="str">
        <f>'תקציב הנדסה 2021'!C66</f>
        <v>פיתוח רח' הארז והחרוב</v>
      </c>
      <c r="D66" s="4">
        <f>'תקציב הנדסה 2021'!D66</f>
        <v>4000000</v>
      </c>
      <c r="E66" s="4">
        <f>'תקציב הנדסה 2021'!E66</f>
        <v>2400000</v>
      </c>
      <c r="F66" s="4">
        <f>'תקציב הנדסה 2021'!F66</f>
        <v>1600000</v>
      </c>
      <c r="G66" s="4">
        <f>'תקציב הנדסה 2021'!G66</f>
        <v>2400000</v>
      </c>
      <c r="H66" s="4">
        <f>'תקציב הנדסה 2021'!H66</f>
        <v>103181</v>
      </c>
      <c r="I66" s="4">
        <f>'תקציב הנדסה 2021'!I66</f>
        <v>0</v>
      </c>
      <c r="J66" s="4">
        <f>'תקציב הנדסה 2021'!J66</f>
        <v>134448</v>
      </c>
      <c r="K66" s="4">
        <f>'תקציב הנדסה 2021'!K66</f>
        <v>134448</v>
      </c>
      <c r="L66" s="4">
        <f>'תקציב הנדסה 2021'!L66</f>
        <v>237629</v>
      </c>
      <c r="M66" s="4">
        <f>'תקציב הנדסה 2021'!M66</f>
        <v>62371</v>
      </c>
      <c r="N66" s="4">
        <f>'תקציב הנדסה 2021'!N66</f>
        <v>3400000</v>
      </c>
      <c r="O66" s="4">
        <f>'תקציב הנדסה 2021'!O66</f>
        <v>300000</v>
      </c>
      <c r="P66" s="4">
        <f>'תקציב הנדסה 2021'!P66</f>
        <v>2162371</v>
      </c>
      <c r="Q66" s="4">
        <f>'תקציב הנדסה 2021'!Q66</f>
        <v>0</v>
      </c>
      <c r="R66" s="4">
        <f>'תקציב הנדסה 2021'!R66</f>
        <v>0</v>
      </c>
      <c r="S66" s="4">
        <f>'תקציב הנדסה 2021'!S66</f>
        <v>0</v>
      </c>
      <c r="T66" s="4">
        <f>'תקציב הנדסה 2021'!T66</f>
        <v>2100000</v>
      </c>
      <c r="U66" s="4">
        <f>'תקציב הנדסה 2021'!U66</f>
        <v>1300000</v>
      </c>
      <c r="V66" s="4">
        <f>'תקציב הנדסה 2021'!V66</f>
        <v>1300000</v>
      </c>
      <c r="W66" s="4">
        <f>'תקציב הנדסה 2021'!W66</f>
        <v>0</v>
      </c>
      <c r="X66" s="4">
        <f>'תקציב הנדסה 2021'!X66</f>
        <v>0</v>
      </c>
      <c r="Y66" s="4">
        <f>'תקציב הנדסה 2021'!Y66</f>
        <v>0</v>
      </c>
      <c r="Z66" s="4">
        <f>'תקציב הנדסה 2021'!Z66</f>
        <v>0</v>
      </c>
      <c r="AA66" s="4">
        <f>'תקציב הנדסה 2021'!AA66</f>
        <v>0</v>
      </c>
      <c r="AB66" s="72" t="str">
        <f>'תקציב הנדסה 2021'!AB66</f>
        <v>פיתוח רחובות הארז והחרוב. תכנון וביצוע.</v>
      </c>
      <c r="AC66" s="3">
        <f>'תקציב הנדסה 2021'!AC66</f>
        <v>742000</v>
      </c>
      <c r="AD66" s="387"/>
      <c r="AE66" s="387"/>
      <c r="AF66" s="387"/>
    </row>
    <row r="67" spans="1:32" s="5" customFormat="1" ht="30" customHeight="1">
      <c r="A67" s="3">
        <f t="shared" si="0"/>
        <v>63</v>
      </c>
      <c r="B67" s="3">
        <f>'תקציב הנדסה 2021'!B67</f>
        <v>2143</v>
      </c>
      <c r="C67" s="280" t="str">
        <f>'תקציב הנדסה 2021'!C67</f>
        <v>סקר תשתיות קיימות</v>
      </c>
      <c r="D67" s="4">
        <f>'תקציב הנדסה 2021'!D67</f>
        <v>500000</v>
      </c>
      <c r="E67" s="4">
        <f>'תקציב הנדסה 2021'!E67</f>
        <v>500000</v>
      </c>
      <c r="F67" s="4">
        <f>'תקציב הנדסה 2021'!F67</f>
        <v>0</v>
      </c>
      <c r="G67" s="4">
        <f>'תקציב הנדסה 2021'!G67</f>
        <v>500000</v>
      </c>
      <c r="H67" s="4">
        <f>'תקציב הנדסה 2021'!H67</f>
        <v>0</v>
      </c>
      <c r="I67" s="4">
        <f>'תקציב הנדסה 2021'!I67</f>
        <v>0</v>
      </c>
      <c r="J67" s="4">
        <f>'תקציב הנדסה 2021'!J67</f>
        <v>0</v>
      </c>
      <c r="K67" s="4">
        <f>'תקציב הנדסה 2021'!K67</f>
        <v>0</v>
      </c>
      <c r="L67" s="4">
        <f>'תקציב הנדסה 2021'!L67</f>
        <v>0</v>
      </c>
      <c r="M67" s="4">
        <f>'תקציב הנדסה 2021'!M67</f>
        <v>0</v>
      </c>
      <c r="N67" s="4">
        <f>'תקציב הנדסה 2021'!N67</f>
        <v>500000</v>
      </c>
      <c r="O67" s="4">
        <f>'תקציב הנדסה 2021'!O67</f>
        <v>0</v>
      </c>
      <c r="P67" s="4">
        <f>'תקציב הנדסה 2021'!P67</f>
        <v>500000</v>
      </c>
      <c r="Q67" s="4">
        <f>'תקציב הנדסה 2021'!Q67</f>
        <v>0</v>
      </c>
      <c r="R67" s="4">
        <f>'תקציב הנדסה 2021'!R67</f>
        <v>0</v>
      </c>
      <c r="S67" s="4">
        <f>'תקציב הנדסה 2021'!S67</f>
        <v>0</v>
      </c>
      <c r="T67" s="4">
        <f>'תקציב הנדסה 2021'!T67</f>
        <v>500000</v>
      </c>
      <c r="U67" s="4">
        <f>'תקציב הנדסה 2021'!U67</f>
        <v>0</v>
      </c>
      <c r="V67" s="4">
        <f>'תקציב הנדסה 2021'!V67</f>
        <v>0</v>
      </c>
      <c r="W67" s="4">
        <f>'תקציב הנדסה 2021'!W67</f>
        <v>0</v>
      </c>
      <c r="X67" s="4">
        <f>'תקציב הנדסה 2021'!X67</f>
        <v>0</v>
      </c>
      <c r="Y67" s="4">
        <f>'תקציב הנדסה 2021'!Y67</f>
        <v>0</v>
      </c>
      <c r="Z67" s="4">
        <f>'תקציב הנדסה 2021'!Z67</f>
        <v>0</v>
      </c>
      <c r="AA67" s="4">
        <f>'תקציב הנדסה 2021'!AA67</f>
        <v>0</v>
      </c>
      <c r="AB67" s="72" t="str">
        <f>'תקציב הנדסה 2021'!AB67</f>
        <v>מיחשוב כלל התשתיות הקיימות במרחב הציבורי. ב - 2021 : מיפוי ואיסוף נתונים.</v>
      </c>
      <c r="AC67" s="3">
        <f>'תקציב הנדסה 2021'!AC67</f>
        <v>732000</v>
      </c>
      <c r="AD67" s="387"/>
      <c r="AE67" s="387"/>
      <c r="AF67" s="387"/>
    </row>
    <row r="68" spans="1:32" s="5" customFormat="1" ht="30" customHeight="1">
      <c r="A68" s="3">
        <f t="shared" si="0"/>
        <v>64</v>
      </c>
      <c r="B68" s="3">
        <f>'תקציב הנדסה 2021'!B68</f>
        <v>2144</v>
      </c>
      <c r="C68" s="280" t="str">
        <f>'תקציב הנדסה 2021'!C68</f>
        <v>תוכנת ניהול ותאום תשתיות</v>
      </c>
      <c r="D68" s="4">
        <f>'תקציב הנדסה 2021'!D68</f>
        <v>500000</v>
      </c>
      <c r="E68" s="4">
        <f>'תקציב הנדסה 2021'!E68</f>
        <v>500000</v>
      </c>
      <c r="F68" s="4">
        <f>'תקציב הנדסה 2021'!F68</f>
        <v>0</v>
      </c>
      <c r="G68" s="4">
        <f>'תקציב הנדסה 2021'!G68</f>
        <v>500000</v>
      </c>
      <c r="H68" s="4">
        <f>'תקציב הנדסה 2021'!H68</f>
        <v>0</v>
      </c>
      <c r="I68" s="4">
        <f>'תקציב הנדסה 2021'!I68</f>
        <v>0</v>
      </c>
      <c r="J68" s="4">
        <f>'תקציב הנדסה 2021'!J68</f>
        <v>5850</v>
      </c>
      <c r="K68" s="4">
        <f>'תקציב הנדסה 2021'!K68</f>
        <v>5850</v>
      </c>
      <c r="L68" s="4">
        <f>'תקציב הנדסה 2021'!L68</f>
        <v>5850</v>
      </c>
      <c r="M68" s="4">
        <f>'תקציב הנדסה 2021'!M68</f>
        <v>44150</v>
      </c>
      <c r="N68" s="4">
        <f>'תקציב הנדסה 2021'!N68</f>
        <v>450000</v>
      </c>
      <c r="O68" s="4">
        <f>'תקציב הנדסה 2021'!O68</f>
        <v>0</v>
      </c>
      <c r="P68" s="4">
        <f>'תקציב הנדסה 2021'!P68</f>
        <v>494150</v>
      </c>
      <c r="Q68" s="4">
        <f>'תקציב הנדסה 2021'!Q68</f>
        <v>0</v>
      </c>
      <c r="R68" s="4">
        <f>'תקציב הנדסה 2021'!R68</f>
        <v>0</v>
      </c>
      <c r="S68" s="4">
        <f>'תקציב הנדסה 2021'!S68</f>
        <v>0</v>
      </c>
      <c r="T68" s="4">
        <f>'תקציב הנדסה 2021'!T68</f>
        <v>450000</v>
      </c>
      <c r="U68" s="4">
        <f>'תקציב הנדסה 2021'!U68</f>
        <v>0</v>
      </c>
      <c r="V68" s="4">
        <f>'תקציב הנדסה 2021'!V68</f>
        <v>0</v>
      </c>
      <c r="W68" s="4">
        <f>'תקציב הנדסה 2021'!W68</f>
        <v>0</v>
      </c>
      <c r="X68" s="4">
        <f>'תקציב הנדסה 2021'!X68</f>
        <v>0</v>
      </c>
      <c r="Y68" s="4">
        <f>'תקציב הנדסה 2021'!Y68</f>
        <v>0</v>
      </c>
      <c r="Z68" s="4">
        <f>'תקציב הנדסה 2021'!Z68</f>
        <v>0</v>
      </c>
      <c r="AA68" s="4">
        <f>'תקציב הנדסה 2021'!AA68</f>
        <v>0</v>
      </c>
      <c r="AB68" s="72" t="str">
        <f>'תקציב הנדסה 2021'!AB68</f>
        <v xml:space="preserve">בניית אתר הנדסי לתשתיות וסנכרון בין עבודות התשתית השונות ברחבי העיר. </v>
      </c>
      <c r="AC68" s="3">
        <f>'תקציב הנדסה 2021'!AC68</f>
        <v>732000</v>
      </c>
      <c r="AD68" s="387"/>
      <c r="AE68" s="387"/>
      <c r="AF68" s="387"/>
    </row>
    <row r="69" spans="1:32" s="5" customFormat="1" ht="42">
      <c r="A69" s="3">
        <f t="shared" si="0"/>
        <v>65</v>
      </c>
      <c r="B69" s="3">
        <f>'תקציב הנדסה 2021'!B69</f>
        <v>2146</v>
      </c>
      <c r="C69" s="280" t="str">
        <f>'תקציב הנדסה 2021'!C69</f>
        <v>תוכנית שבילי אופניים בשצ"פים עירוניים</v>
      </c>
      <c r="D69" s="4">
        <f>'תקציב הנדסה 2021'!D69</f>
        <v>220000</v>
      </c>
      <c r="E69" s="4">
        <f>'תקציב הנדסה 2021'!E69</f>
        <v>220000</v>
      </c>
      <c r="F69" s="4">
        <f>'תקציב הנדסה 2021'!F69</f>
        <v>0</v>
      </c>
      <c r="G69" s="4">
        <f>'תקציב הנדסה 2021'!G69</f>
        <v>130000</v>
      </c>
      <c r="H69" s="4">
        <f>'תקציב הנדסה 2021'!H69</f>
        <v>0</v>
      </c>
      <c r="I69" s="4">
        <f>'תקציב הנדסה 2021'!I69</f>
        <v>0</v>
      </c>
      <c r="J69" s="4">
        <f>'תקציב הנדסה 2021'!J69</f>
        <v>0</v>
      </c>
      <c r="K69" s="4">
        <f>'תקציב הנדסה 2021'!K69</f>
        <v>0</v>
      </c>
      <c r="L69" s="4">
        <f>'תקציב הנדסה 2021'!L69</f>
        <v>0</v>
      </c>
      <c r="M69" s="4">
        <f>'תקציב הנדסה 2021'!M69</f>
        <v>130000</v>
      </c>
      <c r="N69" s="4">
        <f>'תקציב הנדסה 2021'!N69</f>
        <v>0</v>
      </c>
      <c r="O69" s="4">
        <f>'תקציב הנדסה 2021'!O69</f>
        <v>90000</v>
      </c>
      <c r="P69" s="4">
        <f>'תקציב הנדסה 2021'!P69</f>
        <v>130000</v>
      </c>
      <c r="Q69" s="4">
        <f>'תקציב הנדסה 2021'!Q69</f>
        <v>0</v>
      </c>
      <c r="R69" s="4">
        <f>'תקציב הנדסה 2021'!R69</f>
        <v>0</v>
      </c>
      <c r="S69" s="4">
        <f>'תקציב הנדסה 2021'!S69</f>
        <v>0</v>
      </c>
      <c r="T69" s="4">
        <f>'תקציב הנדסה 2021'!T69</f>
        <v>0</v>
      </c>
      <c r="U69" s="4">
        <f>'תקציב הנדסה 2021'!U69</f>
        <v>0</v>
      </c>
      <c r="V69" s="4">
        <f>'תקציב הנדסה 2021'!V69</f>
        <v>0</v>
      </c>
      <c r="W69" s="4">
        <f>'תקציב הנדסה 2021'!W69</f>
        <v>0</v>
      </c>
      <c r="X69" s="4">
        <f>'תקציב הנדסה 2021'!X69</f>
        <v>0</v>
      </c>
      <c r="Y69" s="4">
        <f>'תקציב הנדסה 2021'!Y69</f>
        <v>0</v>
      </c>
      <c r="Z69" s="4">
        <f>'תקציב הנדסה 2021'!Z69</f>
        <v>0</v>
      </c>
      <c r="AA69" s="4">
        <f>'תקציב הנדסה 2021'!AA69</f>
        <v>0</v>
      </c>
      <c r="AB69" s="72" t="str">
        <f>'תקציב הנדסה 2021'!AB69</f>
        <v xml:space="preserve">הכנת תוכנית לניצול יעיל לשצ"פים ברחבי העיר לשימושי שבילי אופניים והתקנת מצללות. </v>
      </c>
      <c r="AC69" s="3">
        <f>'תקציב הנדסה 2021'!AC69</f>
        <v>732000</v>
      </c>
      <c r="AD69" s="387"/>
      <c r="AE69" s="387"/>
      <c r="AF69" s="387"/>
    </row>
    <row r="70" spans="1:32" s="5" customFormat="1" ht="30" customHeight="1">
      <c r="A70" s="3">
        <f t="shared" si="0"/>
        <v>66</v>
      </c>
      <c r="B70" s="3">
        <f>'תקציב הנדסה 2021'!B70</f>
        <v>2173</v>
      </c>
      <c r="C70" s="280" t="str">
        <f>'תקציב הנדסה 2021'!C70</f>
        <v>פינוי בינוי גורדון</v>
      </c>
      <c r="D70" s="4">
        <f>'תקציב הנדסה 2021'!D70</f>
        <v>1950000</v>
      </c>
      <c r="E70" s="4">
        <f>'תקציב הנדסה 2021'!E70</f>
        <v>1950000</v>
      </c>
      <c r="F70" s="4">
        <f>'תקציב הנדסה 2021'!F70</f>
        <v>0</v>
      </c>
      <c r="G70" s="4">
        <f>'תקציב הנדסה 2021'!G70</f>
        <v>0</v>
      </c>
      <c r="H70" s="4">
        <f>'תקציב הנדסה 2021'!H70</f>
        <v>0</v>
      </c>
      <c r="I70" s="4">
        <f>'תקציב הנדסה 2021'!I70</f>
        <v>0</v>
      </c>
      <c r="J70" s="4">
        <f>'תקציב הנדסה 2021'!J70</f>
        <v>0</v>
      </c>
      <c r="K70" s="4">
        <f>'תקציב הנדסה 2021'!K70</f>
        <v>0</v>
      </c>
      <c r="L70" s="4">
        <f>'תקציב הנדסה 2021'!L70</f>
        <v>0</v>
      </c>
      <c r="M70" s="4">
        <f>'תקציב הנדסה 2021'!M70</f>
        <v>0</v>
      </c>
      <c r="N70" s="4">
        <f>'תקציב הנדסה 2021'!N70</f>
        <v>1950000</v>
      </c>
      <c r="O70" s="4">
        <f>'תקציב הנדסה 2021'!O70</f>
        <v>0</v>
      </c>
      <c r="P70" s="4">
        <f>'תקציב הנדסה 2021'!P70</f>
        <v>0</v>
      </c>
      <c r="Q70" s="4">
        <f>'תקציב הנדסה 2021'!Q70</f>
        <v>0</v>
      </c>
      <c r="R70" s="4">
        <f>'תקציב הנדסה 2021'!R70</f>
        <v>0</v>
      </c>
      <c r="S70" s="4">
        <f>'תקציב הנדסה 2021'!S70</f>
        <v>0</v>
      </c>
      <c r="T70" s="4">
        <f>'תקציב הנדסה 2021'!T70</f>
        <v>0</v>
      </c>
      <c r="U70" s="4">
        <f>'תקציב הנדסה 2021'!U70</f>
        <v>1950000</v>
      </c>
      <c r="V70" s="4">
        <f>'תקציב הנדסה 2021'!V70</f>
        <v>138750</v>
      </c>
      <c r="W70" s="4">
        <f>'תקציב הנדסה 2021'!W70</f>
        <v>0</v>
      </c>
      <c r="X70" s="4">
        <f>'תקציב הנדסה 2021'!X70</f>
        <v>0</v>
      </c>
      <c r="Y70" s="4">
        <f>'תקציב הנדסה 2021'!Y70</f>
        <v>0</v>
      </c>
      <c r="Z70" s="4">
        <f>'תקציב הנדסה 2021'!Z70</f>
        <v>0</v>
      </c>
      <c r="AA70" s="4">
        <f>'תקציב הנדסה 2021'!AA70</f>
        <v>1811250</v>
      </c>
      <c r="AB70" s="72" t="str">
        <f>'תקציב הנדסה 2021'!AB70</f>
        <v>פינוי בינוי גורדון. מימון מ. הבינוי.</v>
      </c>
      <c r="AC70" s="3">
        <f>'תקציב הנדסה 2021'!AC70</f>
        <v>732000</v>
      </c>
      <c r="AD70" s="387"/>
      <c r="AE70" s="387"/>
      <c r="AF70" s="387"/>
    </row>
    <row r="71" spans="1:32" s="5" customFormat="1" ht="42">
      <c r="A71" s="514">
        <f>A70+1</f>
        <v>67</v>
      </c>
      <c r="B71" s="3">
        <f>'תקציב הנדסה 2021'!B71</f>
        <v>2189</v>
      </c>
      <c r="C71" s="280" t="str">
        <f>'תקציב הנדסה 2021'!C71</f>
        <v>צומת כצלנסון  - ירושלים</v>
      </c>
      <c r="D71" s="4">
        <f>'תקציב הנדסה 2021'!D71</f>
        <v>250000</v>
      </c>
      <c r="E71" s="4">
        <f>'תקציב הנדסה 2021'!E71</f>
        <v>0</v>
      </c>
      <c r="F71" s="4">
        <f>'תקציב הנדסה 2021'!F71</f>
        <v>250000</v>
      </c>
      <c r="G71" s="4">
        <f>'תקציב הנדסה 2021'!G71</f>
        <v>0</v>
      </c>
      <c r="H71" s="4">
        <f>'תקציב הנדסה 2021'!H71</f>
        <v>0</v>
      </c>
      <c r="I71" s="4">
        <f>'תקציב הנדסה 2021'!I71</f>
        <v>0</v>
      </c>
      <c r="J71" s="4">
        <f>'תקציב הנדסה 2021'!J71</f>
        <v>0</v>
      </c>
      <c r="K71" s="4">
        <f>'תקציב הנדסה 2021'!K71</f>
        <v>0</v>
      </c>
      <c r="L71" s="4">
        <f>'תקציב הנדסה 2021'!L71</f>
        <v>0</v>
      </c>
      <c r="M71" s="4">
        <f>'תקציב הנדסה 2021'!M71</f>
        <v>0</v>
      </c>
      <c r="N71" s="4">
        <f>'תקציב הנדסה 2021'!N71</f>
        <v>250000</v>
      </c>
      <c r="O71" s="4">
        <f>'תקציב הנדסה 2021'!O71</f>
        <v>0</v>
      </c>
      <c r="P71" s="4">
        <f>'תקציב הנדסה 2021'!P71</f>
        <v>0</v>
      </c>
      <c r="Q71" s="4">
        <f>'תקציב הנדסה 2021'!Q71</f>
        <v>0</v>
      </c>
      <c r="R71" s="4">
        <f>'תקציב הנדסה 2021'!R71</f>
        <v>0</v>
      </c>
      <c r="S71" s="4">
        <f>'תקציב הנדסה 2021'!S71</f>
        <v>0</v>
      </c>
      <c r="T71" s="4">
        <f>'תקציב הנדסה 2021'!T71</f>
        <v>0</v>
      </c>
      <c r="U71" s="4">
        <f>'תקציב הנדסה 2021'!U71</f>
        <v>250000</v>
      </c>
      <c r="V71" s="4">
        <f>'תקציב הנדסה 2021'!V71</f>
        <v>75000</v>
      </c>
      <c r="W71" s="4">
        <f>'תקציב הנדסה 2021'!W71</f>
        <v>0</v>
      </c>
      <c r="X71" s="4">
        <f>'תקציב הנדסה 2021'!X71</f>
        <v>0</v>
      </c>
      <c r="Y71" s="4">
        <f>'תקציב הנדסה 2021'!Y71</f>
        <v>0</v>
      </c>
      <c r="Z71" s="4">
        <f>'תקציב הנדסה 2021'!Z71</f>
        <v>0</v>
      </c>
      <c r="AA71" s="4">
        <f>'תקציב הנדסה 2021'!AA71</f>
        <v>175000</v>
      </c>
      <c r="AB71" s="72" t="str">
        <f>'תקציב הנדסה 2021'!AB71</f>
        <v>ביצוע צומת כצלנסון ירושלים כולל הארכת הפניה שמאלה.  פרויקט בטיחותי.מימון מ. התחבורה.</v>
      </c>
      <c r="AC71" s="3">
        <f>'תקציב הנדסה 2021'!AC71</f>
        <v>742000</v>
      </c>
      <c r="AD71" s="387"/>
      <c r="AE71" s="387"/>
      <c r="AF71" s="387"/>
    </row>
    <row r="72" spans="1:32" s="5" customFormat="1" ht="30" customHeight="1">
      <c r="A72" s="514">
        <f>1+A71</f>
        <v>68</v>
      </c>
      <c r="B72" s="3">
        <f>'תקציב הנדסה 2021'!B72</f>
        <v>2190</v>
      </c>
      <c r="C72" s="280" t="str">
        <f>'תקציב הנדסה 2021'!C72</f>
        <v>תכנון הסדרת צומת אשל- בזל</v>
      </c>
      <c r="D72" s="4">
        <f>'תקציב הנדסה 2021'!D72</f>
        <v>250000</v>
      </c>
      <c r="E72" s="4">
        <f>'תקציב הנדסה 2021'!E72</f>
        <v>0</v>
      </c>
      <c r="F72" s="4">
        <f>'תקציב הנדסה 2021'!F72</f>
        <v>250000</v>
      </c>
      <c r="G72" s="4">
        <f>'תקציב הנדסה 2021'!G72</f>
        <v>0</v>
      </c>
      <c r="H72" s="4">
        <f>'תקציב הנדסה 2021'!H72</f>
        <v>0</v>
      </c>
      <c r="I72" s="4">
        <f>'תקציב הנדסה 2021'!I72</f>
        <v>0</v>
      </c>
      <c r="J72" s="4">
        <f>'תקציב הנדסה 2021'!J72</f>
        <v>0</v>
      </c>
      <c r="K72" s="4">
        <f>'תקציב הנדסה 2021'!K72</f>
        <v>0</v>
      </c>
      <c r="L72" s="4">
        <f>'תקציב הנדסה 2021'!L72</f>
        <v>0</v>
      </c>
      <c r="M72" s="4">
        <f>'תקציב הנדסה 2021'!M72</f>
        <v>0</v>
      </c>
      <c r="N72" s="4">
        <f>'תקציב הנדסה 2021'!N72</f>
        <v>250000</v>
      </c>
      <c r="O72" s="4">
        <f>'תקציב הנדסה 2021'!O72</f>
        <v>0</v>
      </c>
      <c r="P72" s="4">
        <f>'תקציב הנדסה 2021'!P72</f>
        <v>0</v>
      </c>
      <c r="Q72" s="4">
        <f>'תקציב הנדסה 2021'!Q72</f>
        <v>0</v>
      </c>
      <c r="R72" s="4">
        <f>'תקציב הנדסה 2021'!R72</f>
        <v>0</v>
      </c>
      <c r="S72" s="4">
        <f>'תקציב הנדסה 2021'!S72</f>
        <v>0</v>
      </c>
      <c r="T72" s="4">
        <f>'תקציב הנדסה 2021'!T72</f>
        <v>0</v>
      </c>
      <c r="U72" s="4">
        <f>'תקציב הנדסה 2021'!U72</f>
        <v>250000</v>
      </c>
      <c r="V72" s="4">
        <f>'תקציב הנדסה 2021'!V72</f>
        <v>75000</v>
      </c>
      <c r="W72" s="4">
        <f>'תקציב הנדסה 2021'!W72</f>
        <v>0</v>
      </c>
      <c r="X72" s="4">
        <f>'תקציב הנדסה 2021'!X72</f>
        <v>0</v>
      </c>
      <c r="Y72" s="4">
        <f>'תקציב הנדסה 2021'!Y72</f>
        <v>0</v>
      </c>
      <c r="Z72" s="4">
        <f>'תקציב הנדסה 2021'!Z72</f>
        <v>0</v>
      </c>
      <c r="AA72" s="4">
        <f>'תקציב הנדסה 2021'!AA72</f>
        <v>175000</v>
      </c>
      <c r="AB72" s="72" t="str">
        <f>'תקציב הנדסה 2021'!AB72</f>
        <v>תכנון צומת אשל בזל . פרויקט בטיחותי. מימון מ. התחבורה.</v>
      </c>
      <c r="AC72" s="3">
        <f>'תקציב הנדסה 2021'!AC72</f>
        <v>742000</v>
      </c>
      <c r="AD72" s="387"/>
      <c r="AE72" s="387"/>
      <c r="AF72" s="387"/>
    </row>
    <row r="73" spans="1:32" s="5" customFormat="1" ht="30" customHeight="1">
      <c r="A73" s="514">
        <f t="shared" ref="A73:A82" si="1">1+A72</f>
        <v>69</v>
      </c>
      <c r="B73" s="3">
        <f>'תקציב הנדסה 2021'!B73</f>
        <v>2191</v>
      </c>
      <c r="C73" s="280" t="str">
        <f>'תקציב הנדסה 2021'!C73</f>
        <v>עבודות ניקוז רחוב סוקולוב</v>
      </c>
      <c r="D73" s="4">
        <f>'תקציב הנדסה 2021'!D73</f>
        <v>500000</v>
      </c>
      <c r="E73" s="4">
        <f>'תקציב הנדסה 2021'!E73</f>
        <v>0</v>
      </c>
      <c r="F73" s="4">
        <f>'תקציב הנדסה 2021'!F73</f>
        <v>500000</v>
      </c>
      <c r="G73" s="4">
        <f>'תקציב הנדסה 2021'!G73</f>
        <v>0</v>
      </c>
      <c r="H73" s="4">
        <f>'תקציב הנדסה 2021'!H73</f>
        <v>0</v>
      </c>
      <c r="I73" s="4">
        <f>'תקציב הנדסה 2021'!I73</f>
        <v>0</v>
      </c>
      <c r="J73" s="4">
        <f>'תקציב הנדסה 2021'!J73</f>
        <v>0</v>
      </c>
      <c r="K73" s="4">
        <f>'תקציב הנדסה 2021'!K73</f>
        <v>0</v>
      </c>
      <c r="L73" s="4">
        <f>'תקציב הנדסה 2021'!L73</f>
        <v>0</v>
      </c>
      <c r="M73" s="4">
        <f>'תקציב הנדסה 2021'!M73</f>
        <v>0</v>
      </c>
      <c r="N73" s="4">
        <f>'תקציב הנדסה 2021'!N73</f>
        <v>500000</v>
      </c>
      <c r="O73" s="4">
        <f>'תקציב הנדסה 2021'!O73</f>
        <v>0</v>
      </c>
      <c r="P73" s="4">
        <f>'תקציב הנדסה 2021'!P73</f>
        <v>0</v>
      </c>
      <c r="Q73" s="4">
        <f>'תקציב הנדסה 2021'!Q73</f>
        <v>0</v>
      </c>
      <c r="R73" s="4">
        <f>'תקציב הנדסה 2021'!R73</f>
        <v>0</v>
      </c>
      <c r="S73" s="4">
        <f>'תקציב הנדסה 2021'!S73</f>
        <v>0</v>
      </c>
      <c r="T73" s="4">
        <f>'תקציב הנדסה 2021'!T73</f>
        <v>0</v>
      </c>
      <c r="U73" s="4">
        <f>'תקציב הנדסה 2021'!U73</f>
        <v>500000</v>
      </c>
      <c r="V73" s="4">
        <f>'תקציב הנדסה 2021'!V73</f>
        <v>500000</v>
      </c>
      <c r="W73" s="4">
        <f>'תקציב הנדסה 2021'!W73</f>
        <v>0</v>
      </c>
      <c r="X73" s="4">
        <f>'תקציב הנדסה 2021'!X73</f>
        <v>0</v>
      </c>
      <c r="Y73" s="4">
        <f>'תקציב הנדסה 2021'!Y73</f>
        <v>0</v>
      </c>
      <c r="Z73" s="4">
        <f>'תקציב הנדסה 2021'!Z73</f>
        <v>0</v>
      </c>
      <c r="AA73" s="4">
        <f>'תקציב הנדסה 2021'!AA73</f>
        <v>0</v>
      </c>
      <c r="AB73" s="72" t="str">
        <f>'תקציב הנדסה 2021'!AB73</f>
        <v xml:space="preserve">תכנון וביצוע ניקוז ברחוב סוקולוב בשיתוף עם תאגיד המים. </v>
      </c>
      <c r="AC73" s="3">
        <f>'תקציב הנדסה 2021'!AC73</f>
        <v>742000</v>
      </c>
      <c r="AD73" s="387"/>
      <c r="AE73" s="387"/>
      <c r="AF73" s="387"/>
    </row>
    <row r="74" spans="1:32" s="5" customFormat="1" ht="56">
      <c r="A74" s="514">
        <f t="shared" si="1"/>
        <v>70</v>
      </c>
      <c r="B74" s="3">
        <f>'תקציב הנדסה 2021'!B74</f>
        <v>2192</v>
      </c>
      <c r="C74" s="280" t="str">
        <f>'תקציב הנדסה 2021'!C74</f>
        <v>הפרדה בין מי נגר למערכת ביוב עירונית</v>
      </c>
      <c r="D74" s="4">
        <f>'תקציב הנדסה 2021'!D74</f>
        <v>20400000</v>
      </c>
      <c r="E74" s="4">
        <f>'תקציב הנדסה 2021'!E74</f>
        <v>0</v>
      </c>
      <c r="F74" s="4">
        <f>'תקציב הנדסה 2021'!F74</f>
        <v>20400000</v>
      </c>
      <c r="G74" s="4">
        <f>'תקציב הנדסה 2021'!G74</f>
        <v>0</v>
      </c>
      <c r="H74" s="4">
        <f>'תקציב הנדסה 2021'!H74</f>
        <v>0</v>
      </c>
      <c r="I74" s="4">
        <f>'תקציב הנדסה 2021'!I74</f>
        <v>0</v>
      </c>
      <c r="J74" s="4">
        <f>'תקציב הנדסה 2021'!J74</f>
        <v>0</v>
      </c>
      <c r="K74" s="4">
        <f>'תקציב הנדסה 2021'!K74</f>
        <v>0</v>
      </c>
      <c r="L74" s="4">
        <f>'תקציב הנדסה 2021'!L74</f>
        <v>0</v>
      </c>
      <c r="M74" s="4">
        <f>'תקציב הנדסה 2021'!M74</f>
        <v>0</v>
      </c>
      <c r="N74" s="4">
        <f>'תקציב הנדסה 2021'!N74</f>
        <v>600000</v>
      </c>
      <c r="O74" s="4">
        <f>'תקציב הנדסה 2021'!O74</f>
        <v>19800000</v>
      </c>
      <c r="P74" s="4">
        <f>'תקציב הנדסה 2021'!P74</f>
        <v>0</v>
      </c>
      <c r="Q74" s="4">
        <f>'תקציב הנדסה 2021'!Q74</f>
        <v>0</v>
      </c>
      <c r="R74" s="4">
        <f>'תקציב הנדסה 2021'!R74</f>
        <v>0</v>
      </c>
      <c r="S74" s="4">
        <f>'תקציב הנדסה 2021'!S74</f>
        <v>0</v>
      </c>
      <c r="T74" s="4">
        <f>'תקציב הנדסה 2021'!T74</f>
        <v>0</v>
      </c>
      <c r="U74" s="4">
        <f>'תקציב הנדסה 2021'!U74</f>
        <v>600000</v>
      </c>
      <c r="V74" s="4">
        <f>'תקציב הנדסה 2021'!V74</f>
        <v>600000</v>
      </c>
      <c r="W74" s="4">
        <f>'תקציב הנדסה 2021'!W74</f>
        <v>0</v>
      </c>
      <c r="X74" s="4">
        <f>'תקציב הנדסה 2021'!X74</f>
        <v>0</v>
      </c>
      <c r="Y74" s="4">
        <f>'תקציב הנדסה 2021'!Y74</f>
        <v>0</v>
      </c>
      <c r="Z74" s="4">
        <f>'תקציב הנדסה 2021'!Z74</f>
        <v>0</v>
      </c>
      <c r="AA74" s="4">
        <f>'תקציב הנדסה 2021'!AA74</f>
        <v>0</v>
      </c>
      <c r="AB74" s="72" t="str">
        <f>'תקציב הנדסה 2021'!AB74</f>
        <v>עבודות לאיתור ליקויים עקב כמות עצומה של מי הנגר החודרים למערכת הביוב והגורמים להצפות ועבודות לתיקונם.</v>
      </c>
      <c r="AC74" s="3">
        <f>'תקציב הנדסה 2021'!AC74</f>
        <v>742000</v>
      </c>
      <c r="AD74" s="387"/>
      <c r="AE74" s="387"/>
      <c r="AF74" s="387"/>
    </row>
    <row r="75" spans="1:32" s="5" customFormat="1" ht="42">
      <c r="A75" s="514">
        <f t="shared" si="1"/>
        <v>71</v>
      </c>
      <c r="B75" s="3">
        <f>'תקציב הנדסה 2021'!B75</f>
        <v>2193</v>
      </c>
      <c r="C75" s="280" t="str">
        <f>'תקציב הנדסה 2021'!C75</f>
        <v>תוכנית תפעולית במסגרת "מהיר לעיר"</v>
      </c>
      <c r="D75" s="4">
        <f>'תקציב הנדסה 2021'!D75</f>
        <v>500000</v>
      </c>
      <c r="E75" s="4">
        <f>'תקציב הנדסה 2021'!E75</f>
        <v>0</v>
      </c>
      <c r="F75" s="4">
        <f>'תקציב הנדסה 2021'!F75</f>
        <v>500000</v>
      </c>
      <c r="G75" s="4">
        <f>'תקציב הנדסה 2021'!G75</f>
        <v>0</v>
      </c>
      <c r="H75" s="4">
        <f>'תקציב הנדסה 2021'!H75</f>
        <v>0</v>
      </c>
      <c r="I75" s="4">
        <f>'תקציב הנדסה 2021'!I75</f>
        <v>0</v>
      </c>
      <c r="J75" s="4">
        <f>'תקציב הנדסה 2021'!J75</f>
        <v>0</v>
      </c>
      <c r="K75" s="4">
        <f>'תקציב הנדסה 2021'!K75</f>
        <v>0</v>
      </c>
      <c r="L75" s="4">
        <f>'תקציב הנדסה 2021'!L75</f>
        <v>0</v>
      </c>
      <c r="M75" s="4">
        <f>'תקציב הנדסה 2021'!M75</f>
        <v>0</v>
      </c>
      <c r="N75" s="4">
        <f>'תקציב הנדסה 2021'!N75</f>
        <v>500000</v>
      </c>
      <c r="O75" s="4">
        <f>'תקציב הנדסה 2021'!O75</f>
        <v>0</v>
      </c>
      <c r="P75" s="4">
        <f>'תקציב הנדסה 2021'!P75</f>
        <v>0</v>
      </c>
      <c r="Q75" s="4">
        <f>'תקציב הנדסה 2021'!Q75</f>
        <v>0</v>
      </c>
      <c r="R75" s="4">
        <f>'תקציב הנדסה 2021'!R75</f>
        <v>0</v>
      </c>
      <c r="S75" s="4">
        <f>'תקציב הנדסה 2021'!S75</f>
        <v>0</v>
      </c>
      <c r="T75" s="4">
        <f>'תקציב הנדסה 2021'!T75</f>
        <v>0</v>
      </c>
      <c r="U75" s="4">
        <f>'תקציב הנדסה 2021'!U75</f>
        <v>500000</v>
      </c>
      <c r="V75" s="4">
        <f>'תקציב הנדסה 2021'!V75</f>
        <v>500000</v>
      </c>
      <c r="W75" s="4">
        <f>'תקציב הנדסה 2021'!W75</f>
        <v>0</v>
      </c>
      <c r="X75" s="4">
        <f>'תקציב הנדסה 2021'!X75</f>
        <v>0</v>
      </c>
      <c r="Y75" s="4">
        <f>'תקציב הנדסה 2021'!Y75</f>
        <v>0</v>
      </c>
      <c r="Z75" s="4">
        <f>'תקציב הנדסה 2021'!Z75</f>
        <v>0</v>
      </c>
      <c r="AA75" s="4">
        <f>'תקציב הנדסה 2021'!AA75</f>
        <v>0</v>
      </c>
      <c r="AB75" s="72" t="str">
        <f>'תקציב הנדסה 2021'!AB75</f>
        <v>הקמת תחנות אוטובוס , תחנות קצה ותשתיות בהתאם לצורך, במסגרת התוכנית התפעולית של "מהיר לעיר".</v>
      </c>
      <c r="AC75" s="3">
        <f>'תקציב הנדסה 2021'!AC75</f>
        <v>742000</v>
      </c>
      <c r="AD75" s="387"/>
      <c r="AE75" s="387"/>
      <c r="AF75" s="387"/>
    </row>
    <row r="76" spans="1:32" s="5" customFormat="1" ht="30" customHeight="1">
      <c r="A76" s="514">
        <f t="shared" si="1"/>
        <v>72</v>
      </c>
      <c r="B76" s="3">
        <f>'תקציב הנדסה 2021'!B76</f>
        <v>2194</v>
      </c>
      <c r="C76" s="280" t="str">
        <f>'תקציב הנדסה 2021'!C76</f>
        <v xml:space="preserve">עבודות ניקוז  רחוב רבינו תם </v>
      </c>
      <c r="D76" s="4">
        <f>'תקציב הנדסה 2021'!D76</f>
        <v>700000</v>
      </c>
      <c r="E76" s="4">
        <f>'תקציב הנדסה 2021'!E76</f>
        <v>0</v>
      </c>
      <c r="F76" s="4">
        <f>'תקציב הנדסה 2021'!F76</f>
        <v>700000</v>
      </c>
      <c r="G76" s="4">
        <f>'תקציב הנדסה 2021'!G76</f>
        <v>0</v>
      </c>
      <c r="H76" s="4">
        <f>'תקציב הנדסה 2021'!H76</f>
        <v>0</v>
      </c>
      <c r="I76" s="4">
        <f>'תקציב הנדסה 2021'!I76</f>
        <v>0</v>
      </c>
      <c r="J76" s="4">
        <f>'תקציב הנדסה 2021'!J76</f>
        <v>0</v>
      </c>
      <c r="K76" s="4">
        <f>'תקציב הנדסה 2021'!K76</f>
        <v>0</v>
      </c>
      <c r="L76" s="4">
        <f>'תקציב הנדסה 2021'!L76</f>
        <v>0</v>
      </c>
      <c r="M76" s="4">
        <f>'תקציב הנדסה 2021'!M76</f>
        <v>0</v>
      </c>
      <c r="N76" s="4">
        <f>'תקציב הנדסה 2021'!N76</f>
        <v>700000</v>
      </c>
      <c r="O76" s="4">
        <f>'תקציב הנדסה 2021'!O76</f>
        <v>0</v>
      </c>
      <c r="P76" s="4">
        <f>'תקציב הנדסה 2021'!P76</f>
        <v>0</v>
      </c>
      <c r="Q76" s="4">
        <f>'תקציב הנדסה 2021'!Q76</f>
        <v>0</v>
      </c>
      <c r="R76" s="4">
        <f>'תקציב הנדסה 2021'!R76</f>
        <v>0</v>
      </c>
      <c r="S76" s="4">
        <f>'תקציב הנדסה 2021'!S76</f>
        <v>0</v>
      </c>
      <c r="T76" s="4">
        <f>'תקציב הנדסה 2021'!T76</f>
        <v>0</v>
      </c>
      <c r="U76" s="4">
        <f>'תקציב הנדסה 2021'!U76</f>
        <v>700000</v>
      </c>
      <c r="V76" s="4">
        <f>'תקציב הנדסה 2021'!V76</f>
        <v>700000</v>
      </c>
      <c r="W76" s="4">
        <f>'תקציב הנדסה 2021'!W76</f>
        <v>0</v>
      </c>
      <c r="X76" s="4">
        <f>'תקציב הנדסה 2021'!X76</f>
        <v>0</v>
      </c>
      <c r="Y76" s="4">
        <f>'תקציב הנדסה 2021'!Y76</f>
        <v>0</v>
      </c>
      <c r="Z76" s="4">
        <f>'תקציב הנדסה 2021'!Z76</f>
        <v>0</v>
      </c>
      <c r="AA76" s="4">
        <f>'תקציב הנדסה 2021'!AA76</f>
        <v>0</v>
      </c>
      <c r="AB76" s="72" t="str">
        <f>'תקציב הנדסה 2021'!AB76</f>
        <v>תכנון וביצוע ניקוז ברחוב רבנו תם בשיתוף עם תאגיד המים.</v>
      </c>
      <c r="AC76" s="3">
        <f>'תקציב הנדסה 2021'!AC76</f>
        <v>742000</v>
      </c>
      <c r="AD76" s="387"/>
      <c r="AE76" s="387"/>
      <c r="AF76" s="387"/>
    </row>
    <row r="77" spans="1:32" s="5" customFormat="1" ht="56">
      <c r="A77" s="514">
        <f t="shared" si="1"/>
        <v>73</v>
      </c>
      <c r="B77" s="3">
        <f>'תקציב הנדסה 2021'!B77</f>
        <v>2195</v>
      </c>
      <c r="C77" s="280" t="str">
        <f>'תקציב הנדסה 2021'!C77</f>
        <v xml:space="preserve">תוכנית אב לביופילטרים ברחבי העיר   </v>
      </c>
      <c r="D77" s="4">
        <f>'תקציב הנדסה 2021'!D77</f>
        <v>2300000</v>
      </c>
      <c r="E77" s="4">
        <f>'תקציב הנדסה 2021'!E77</f>
        <v>0</v>
      </c>
      <c r="F77" s="4">
        <f>'תקציב הנדסה 2021'!F77</f>
        <v>2300000</v>
      </c>
      <c r="G77" s="4">
        <f>'תקציב הנדסה 2021'!G77</f>
        <v>0</v>
      </c>
      <c r="H77" s="4">
        <f>'תקציב הנדסה 2021'!H77</f>
        <v>0</v>
      </c>
      <c r="I77" s="4">
        <f>'תקציב הנדסה 2021'!I77</f>
        <v>0</v>
      </c>
      <c r="J77" s="4">
        <f>'תקציב הנדסה 2021'!J77</f>
        <v>0</v>
      </c>
      <c r="K77" s="4">
        <f>'תקציב הנדסה 2021'!K77</f>
        <v>0</v>
      </c>
      <c r="L77" s="4">
        <f>'תקציב הנדסה 2021'!L77</f>
        <v>0</v>
      </c>
      <c r="M77" s="4">
        <f>'תקציב הנדסה 2021'!M77</f>
        <v>0</v>
      </c>
      <c r="N77" s="4">
        <f>'תקציב הנדסה 2021'!N77</f>
        <v>350000</v>
      </c>
      <c r="O77" s="4">
        <f>'תקציב הנדסה 2021'!O77</f>
        <v>1950000</v>
      </c>
      <c r="P77" s="4">
        <f>'תקציב הנדסה 2021'!P77</f>
        <v>0</v>
      </c>
      <c r="Q77" s="4">
        <f>'תקציב הנדסה 2021'!Q77</f>
        <v>0</v>
      </c>
      <c r="R77" s="4">
        <f>'תקציב הנדסה 2021'!R77</f>
        <v>0</v>
      </c>
      <c r="S77" s="4">
        <f>'תקציב הנדסה 2021'!S77</f>
        <v>0</v>
      </c>
      <c r="T77" s="4">
        <f>'תקציב הנדסה 2021'!T77</f>
        <v>0</v>
      </c>
      <c r="U77" s="4">
        <f>'תקציב הנדסה 2021'!U77</f>
        <v>350000</v>
      </c>
      <c r="V77" s="4">
        <f>'תקציב הנדסה 2021'!V77</f>
        <v>350000</v>
      </c>
      <c r="W77" s="4">
        <f>'תקציב הנדסה 2021'!W77</f>
        <v>0</v>
      </c>
      <c r="X77" s="4">
        <f>'תקציב הנדסה 2021'!X77</f>
        <v>0</v>
      </c>
      <c r="Y77" s="4">
        <f>'תקציב הנדסה 2021'!Y77</f>
        <v>0</v>
      </c>
      <c r="Z77" s="4">
        <f>'תקציב הנדסה 2021'!Z77</f>
        <v>0</v>
      </c>
      <c r="AA77" s="4">
        <f>'תקציב הנדסה 2021'!AA77</f>
        <v>0</v>
      </c>
      <c r="AB77" s="72" t="str">
        <f>'תקציב הנדסה 2021'!AB77</f>
        <v>הכנת תוכנית אב לביופילטרים ברחבי העיר והקמת 2 ביופילטרים. מתקנים לסינון מים מזוהמים ומניעת בזבוז מי נגר עירוני .</v>
      </c>
      <c r="AC77" s="3">
        <f>'תקציב הנדסה 2021'!AC77</f>
        <v>742000</v>
      </c>
      <c r="AD77" s="387"/>
      <c r="AE77" s="387"/>
      <c r="AF77" s="387"/>
    </row>
    <row r="78" spans="1:32" s="5" customFormat="1" ht="30" customHeight="1">
      <c r="A78" s="514">
        <f t="shared" si="1"/>
        <v>74</v>
      </c>
      <c r="B78" s="3">
        <f>'תקציב הנדסה 2021'!B78</f>
        <v>2196</v>
      </c>
      <c r="C78" s="280" t="str">
        <f>'תקציב הנדסה 2021'!C78</f>
        <v xml:space="preserve">עבודות ניקוז   רחוב הרב גורן </v>
      </c>
      <c r="D78" s="4">
        <f>'תקציב הנדסה 2021'!D78</f>
        <v>2000000</v>
      </c>
      <c r="E78" s="4">
        <f>'תקציב הנדסה 2021'!E78</f>
        <v>0</v>
      </c>
      <c r="F78" s="4">
        <f>'תקציב הנדסה 2021'!F78</f>
        <v>2000000</v>
      </c>
      <c r="G78" s="4">
        <f>'תקציב הנדסה 2021'!G78</f>
        <v>0</v>
      </c>
      <c r="H78" s="4">
        <f>'תקציב הנדסה 2021'!H78</f>
        <v>0</v>
      </c>
      <c r="I78" s="4">
        <f>'תקציב הנדסה 2021'!I78</f>
        <v>0</v>
      </c>
      <c r="J78" s="4">
        <f>'תקציב הנדסה 2021'!J78</f>
        <v>0</v>
      </c>
      <c r="K78" s="4">
        <f>'תקציב הנדסה 2021'!K78</f>
        <v>0</v>
      </c>
      <c r="L78" s="4">
        <f>'תקציב הנדסה 2021'!L78</f>
        <v>0</v>
      </c>
      <c r="M78" s="4">
        <f>'תקציב הנדסה 2021'!M78</f>
        <v>0</v>
      </c>
      <c r="N78" s="4">
        <f>'תקציב הנדסה 2021'!N78</f>
        <v>400000</v>
      </c>
      <c r="O78" s="4">
        <f>'תקציב הנדסה 2021'!O78</f>
        <v>1600000</v>
      </c>
      <c r="P78" s="4">
        <f>'תקציב הנדסה 2021'!P78</f>
        <v>0</v>
      </c>
      <c r="Q78" s="4">
        <f>'תקציב הנדסה 2021'!Q78</f>
        <v>0</v>
      </c>
      <c r="R78" s="4">
        <f>'תקציב הנדסה 2021'!R78</f>
        <v>0</v>
      </c>
      <c r="S78" s="4">
        <f>'תקציב הנדסה 2021'!S78</f>
        <v>0</v>
      </c>
      <c r="T78" s="4">
        <f>'תקציב הנדסה 2021'!T78</f>
        <v>0</v>
      </c>
      <c r="U78" s="4">
        <f>'תקציב הנדסה 2021'!U78</f>
        <v>400000</v>
      </c>
      <c r="V78" s="4">
        <f>'תקציב הנדסה 2021'!V78</f>
        <v>400000</v>
      </c>
      <c r="W78" s="4">
        <f>'תקציב הנדסה 2021'!W78</f>
        <v>0</v>
      </c>
      <c r="X78" s="4">
        <f>'תקציב הנדסה 2021'!X78</f>
        <v>0</v>
      </c>
      <c r="Y78" s="4">
        <f>'תקציב הנדסה 2021'!Y78</f>
        <v>0</v>
      </c>
      <c r="Z78" s="4">
        <f>'תקציב הנדסה 2021'!Z78</f>
        <v>0</v>
      </c>
      <c r="AA78" s="4">
        <f>'תקציב הנדסה 2021'!AA78</f>
        <v>0</v>
      </c>
      <c r="AB78" s="72" t="str">
        <f>'תקציב הנדסה 2021'!AB78</f>
        <v>תכנון וביצוע ניקוז ברחוב הרב גורן בשיתוף עם תאגיד המים.</v>
      </c>
      <c r="AC78" s="3">
        <f>'תקציב הנדסה 2021'!AC78</f>
        <v>742000</v>
      </c>
      <c r="AD78" s="387"/>
      <c r="AE78" s="387"/>
      <c r="AF78" s="387"/>
    </row>
    <row r="79" spans="1:32" s="5" customFormat="1" ht="30" customHeight="1">
      <c r="A79" s="514">
        <f t="shared" si="1"/>
        <v>75</v>
      </c>
      <c r="B79" s="3">
        <f>'תקציב הנדסה 2021'!B79</f>
        <v>2197</v>
      </c>
      <c r="C79" s="280" t="str">
        <f>'תקציב הנדסה 2021'!C79</f>
        <v xml:space="preserve">עבודות ניקוז   רחוב רוחמה ושבטי ישראל </v>
      </c>
      <c r="D79" s="4">
        <f>'תקציב הנדסה 2021'!D79</f>
        <v>4000000</v>
      </c>
      <c r="E79" s="4">
        <f>'תקציב הנדסה 2021'!E79</f>
        <v>0</v>
      </c>
      <c r="F79" s="4">
        <f>'תקציב הנדסה 2021'!F79</f>
        <v>4000000</v>
      </c>
      <c r="G79" s="4">
        <f>'תקציב הנדסה 2021'!G79</f>
        <v>0</v>
      </c>
      <c r="H79" s="4">
        <f>'תקציב הנדסה 2021'!H79</f>
        <v>0</v>
      </c>
      <c r="I79" s="4">
        <f>'תקציב הנדסה 2021'!I79</f>
        <v>0</v>
      </c>
      <c r="J79" s="4">
        <f>'תקציב הנדסה 2021'!J79</f>
        <v>0</v>
      </c>
      <c r="K79" s="4">
        <f>'תקציב הנדסה 2021'!K79</f>
        <v>0</v>
      </c>
      <c r="L79" s="4">
        <f>'תקציב הנדסה 2021'!L79</f>
        <v>0</v>
      </c>
      <c r="M79" s="4">
        <f>'תקציב הנדסה 2021'!M79</f>
        <v>0</v>
      </c>
      <c r="N79" s="4">
        <f>'תקציב הנדסה 2021'!N79</f>
        <v>300000</v>
      </c>
      <c r="O79" s="4">
        <f>'תקציב הנדסה 2021'!O79</f>
        <v>3700000</v>
      </c>
      <c r="P79" s="4">
        <f>'תקציב הנדסה 2021'!P79</f>
        <v>0</v>
      </c>
      <c r="Q79" s="4">
        <f>'תקציב הנדסה 2021'!Q79</f>
        <v>0</v>
      </c>
      <c r="R79" s="4">
        <f>'תקציב הנדסה 2021'!R79</f>
        <v>0</v>
      </c>
      <c r="S79" s="4">
        <f>'תקציב הנדסה 2021'!S79</f>
        <v>0</v>
      </c>
      <c r="T79" s="4">
        <f>'תקציב הנדסה 2021'!T79</f>
        <v>0</v>
      </c>
      <c r="U79" s="4">
        <f>'תקציב הנדסה 2021'!U79</f>
        <v>300000</v>
      </c>
      <c r="V79" s="4">
        <f>'תקציב הנדסה 2021'!V79</f>
        <v>300000</v>
      </c>
      <c r="W79" s="4">
        <f>'תקציב הנדסה 2021'!W79</f>
        <v>0</v>
      </c>
      <c r="X79" s="4">
        <f>'תקציב הנדסה 2021'!X79</f>
        <v>0</v>
      </c>
      <c r="Y79" s="4">
        <f>'תקציב הנדסה 2021'!Y79</f>
        <v>0</v>
      </c>
      <c r="Z79" s="4">
        <f>'תקציב הנדסה 2021'!Z79</f>
        <v>0</v>
      </c>
      <c r="AA79" s="4">
        <f>'תקציב הנדסה 2021'!AA79</f>
        <v>0</v>
      </c>
      <c r="AB79" s="72" t="str">
        <f>'תקציב הנדסה 2021'!AB79</f>
        <v>תכנון וביצוע ניקוז ברחוב רוחמה ושבאי ישראל בשיתוף עם תאגיד המים.</v>
      </c>
      <c r="AC79" s="3">
        <f>'תקציב הנדסה 2021'!AC79</f>
        <v>742000</v>
      </c>
      <c r="AD79" s="387"/>
      <c r="AE79" s="387"/>
      <c r="AF79" s="387"/>
    </row>
    <row r="80" spans="1:32" s="5" customFormat="1" ht="30" customHeight="1">
      <c r="A80" s="514">
        <f t="shared" si="1"/>
        <v>76</v>
      </c>
      <c r="B80" s="3">
        <f>'תקציב הנדסה 2021'!B80</f>
        <v>2198</v>
      </c>
      <c r="C80" s="280" t="str">
        <f>'תקציב הנדסה 2021'!C80</f>
        <v>פיתוח דרך מזרחית מקבילה לקיבוץ גלויות</v>
      </c>
      <c r="D80" s="4">
        <f>'תקציב הנדסה 2021'!D80</f>
        <v>9500000</v>
      </c>
      <c r="E80" s="4">
        <f>'תקציב הנדסה 2021'!E80</f>
        <v>0</v>
      </c>
      <c r="F80" s="4">
        <f>'תקציב הנדסה 2021'!F80</f>
        <v>9500000</v>
      </c>
      <c r="G80" s="4">
        <f>'תקציב הנדסה 2021'!G80</f>
        <v>0</v>
      </c>
      <c r="H80" s="4">
        <f>'תקציב הנדסה 2021'!H80</f>
        <v>0</v>
      </c>
      <c r="I80" s="4">
        <f>'תקציב הנדסה 2021'!I80</f>
        <v>0</v>
      </c>
      <c r="J80" s="4">
        <f>'תקציב הנדסה 2021'!J80</f>
        <v>0</v>
      </c>
      <c r="K80" s="4">
        <f>'תקציב הנדסה 2021'!K80</f>
        <v>0</v>
      </c>
      <c r="L80" s="4">
        <f>'תקציב הנדסה 2021'!L80</f>
        <v>0</v>
      </c>
      <c r="M80" s="4">
        <f>'תקציב הנדסה 2021'!M80</f>
        <v>0</v>
      </c>
      <c r="N80" s="4">
        <f>'תקציב הנדסה 2021'!N80</f>
        <v>500000</v>
      </c>
      <c r="O80" s="4">
        <f>'תקציב הנדסה 2021'!O80</f>
        <v>9000000</v>
      </c>
      <c r="P80" s="4">
        <f>'תקציב הנדסה 2021'!P80</f>
        <v>0</v>
      </c>
      <c r="Q80" s="4">
        <f>'תקציב הנדסה 2021'!Q80</f>
        <v>0</v>
      </c>
      <c r="R80" s="4">
        <f>'תקציב הנדסה 2021'!R80</f>
        <v>0</v>
      </c>
      <c r="S80" s="4">
        <f>'תקציב הנדסה 2021'!S80</f>
        <v>0</v>
      </c>
      <c r="T80" s="4">
        <f>'תקציב הנדסה 2021'!T80</f>
        <v>0</v>
      </c>
      <c r="U80" s="4">
        <f>'תקציב הנדסה 2021'!U80</f>
        <v>500000</v>
      </c>
      <c r="V80" s="4">
        <f>'תקציב הנדסה 2021'!V80</f>
        <v>500000</v>
      </c>
      <c r="W80" s="4">
        <f>'תקציב הנדסה 2021'!W80</f>
        <v>0</v>
      </c>
      <c r="X80" s="4">
        <f>'תקציב הנדסה 2021'!X80</f>
        <v>0</v>
      </c>
      <c r="Y80" s="4">
        <f>'תקציב הנדסה 2021'!Y80</f>
        <v>0</v>
      </c>
      <c r="Z80" s="4">
        <f>'תקציב הנדסה 2021'!Z80</f>
        <v>0</v>
      </c>
      <c r="AA80" s="4">
        <f>'תקציב הנדסה 2021'!AA80</f>
        <v>0</v>
      </c>
      <c r="AB80" s="72" t="str">
        <f>'תקציב הנדסה 2021'!AB80</f>
        <v>פיתוח רחוב חדש המזרחי ביותר בנחלת עדה. בשנת 2021 : תכנון</v>
      </c>
      <c r="AC80" s="3">
        <f>'תקציב הנדסה 2021'!AC80</f>
        <v>742000</v>
      </c>
      <c r="AD80" s="387"/>
      <c r="AE80" s="387"/>
      <c r="AF80" s="387"/>
    </row>
    <row r="81" spans="1:32" s="5" customFormat="1" ht="30" customHeight="1">
      <c r="A81" s="514">
        <f t="shared" si="1"/>
        <v>77</v>
      </c>
      <c r="B81" s="3">
        <f>'תקציב הנדסה 2021'!B81</f>
        <v>2199</v>
      </c>
      <c r="C81" s="280" t="str">
        <f>'תקציב הנדסה 2021'!C81</f>
        <v>ליווי תוכניות ארציות</v>
      </c>
      <c r="D81" s="4">
        <f>'תקציב הנדסה 2021'!D81</f>
        <v>1000000</v>
      </c>
      <c r="E81" s="4">
        <f>'תקציב הנדסה 2021'!E81</f>
        <v>0</v>
      </c>
      <c r="F81" s="4">
        <f>'תקציב הנדסה 2021'!F81</f>
        <v>1000000</v>
      </c>
      <c r="G81" s="4">
        <f>'תקציב הנדסה 2021'!G81</f>
        <v>0</v>
      </c>
      <c r="H81" s="4">
        <f>'תקציב הנדסה 2021'!H81</f>
        <v>0</v>
      </c>
      <c r="I81" s="4">
        <f>'תקציב הנדסה 2021'!I81</f>
        <v>0</v>
      </c>
      <c r="J81" s="4">
        <f>'תקציב הנדסה 2021'!J81</f>
        <v>0</v>
      </c>
      <c r="K81" s="4">
        <f>'תקציב הנדסה 2021'!K81</f>
        <v>0</v>
      </c>
      <c r="L81" s="4">
        <f>'תקציב הנדסה 2021'!L81</f>
        <v>0</v>
      </c>
      <c r="M81" s="4">
        <f>'תקציב הנדסה 2021'!M81</f>
        <v>0</v>
      </c>
      <c r="N81" s="4">
        <f>'תקציב הנדסה 2021'!N81</f>
        <v>200000</v>
      </c>
      <c r="O81" s="4">
        <f>'תקציב הנדסה 2021'!O81</f>
        <v>800000</v>
      </c>
      <c r="P81" s="4">
        <f>'תקציב הנדסה 2021'!P81</f>
        <v>0</v>
      </c>
      <c r="Q81" s="4">
        <f>'תקציב הנדסה 2021'!Q81</f>
        <v>0</v>
      </c>
      <c r="R81" s="4">
        <f>'תקציב הנדסה 2021'!R81</f>
        <v>0</v>
      </c>
      <c r="S81" s="4">
        <f>'תקציב הנדסה 2021'!S81</f>
        <v>0</v>
      </c>
      <c r="T81" s="4">
        <f>'תקציב הנדסה 2021'!T81</f>
        <v>0</v>
      </c>
      <c r="U81" s="4">
        <f>'תקציב הנדסה 2021'!U81</f>
        <v>200000</v>
      </c>
      <c r="V81" s="4">
        <f>'תקציב הנדסה 2021'!V81</f>
        <v>200000</v>
      </c>
      <c r="W81" s="4">
        <f>'תקציב הנדסה 2021'!W81</f>
        <v>0</v>
      </c>
      <c r="X81" s="4">
        <f>'תקציב הנדסה 2021'!X81</f>
        <v>0</v>
      </c>
      <c r="Y81" s="4">
        <f>'תקציב הנדסה 2021'!Y81</f>
        <v>0</v>
      </c>
      <c r="Z81" s="4">
        <f>'תקציב הנדסה 2021'!Z81</f>
        <v>0</v>
      </c>
      <c r="AA81" s="4">
        <f>'תקציב הנדסה 2021'!AA81</f>
        <v>0</v>
      </c>
      <c r="AB81" s="72" t="str">
        <f>'תקציב הנדסה 2021'!AB81</f>
        <v>ליווי של יועצים ,מתכננים , אגרונום למגוון תוכניות ארציות (תמ"א,תמ"ל)</v>
      </c>
      <c r="AC81" s="3">
        <f>'תקציב הנדסה 2021'!AC81</f>
        <v>732000</v>
      </c>
      <c r="AD81" s="387"/>
      <c r="AE81" s="387"/>
      <c r="AF81" s="387"/>
    </row>
    <row r="82" spans="1:32" s="5" customFormat="1" ht="42">
      <c r="A82" s="514">
        <f t="shared" si="1"/>
        <v>78</v>
      </c>
      <c r="B82" s="3">
        <f>'תקציב הנדסה 2021'!B82</f>
        <v>2200</v>
      </c>
      <c r="C82" s="280" t="str">
        <f>'תקציב הנדסה 2021'!C82</f>
        <v>פיתוח קיימות סביבה וחדשנות</v>
      </c>
      <c r="D82" s="4">
        <f>'תקציב הנדסה 2021'!D82</f>
        <v>1700000</v>
      </c>
      <c r="E82" s="4">
        <f>'תקציב הנדסה 2021'!E82</f>
        <v>0</v>
      </c>
      <c r="F82" s="4">
        <f>'תקציב הנדסה 2021'!F82</f>
        <v>1700000</v>
      </c>
      <c r="G82" s="4">
        <f>'תקציב הנדסה 2021'!G82</f>
        <v>0</v>
      </c>
      <c r="H82" s="4">
        <f>'תקציב הנדסה 2021'!H82</f>
        <v>0</v>
      </c>
      <c r="I82" s="4">
        <f>'תקציב הנדסה 2021'!I82</f>
        <v>0</v>
      </c>
      <c r="J82" s="4">
        <f>'תקציב הנדסה 2021'!J82</f>
        <v>0</v>
      </c>
      <c r="K82" s="4">
        <f>'תקציב הנדסה 2021'!K82</f>
        <v>0</v>
      </c>
      <c r="L82" s="4">
        <f>'תקציב הנדסה 2021'!L82</f>
        <v>0</v>
      </c>
      <c r="M82" s="4">
        <f>'תקציב הנדסה 2021'!M82</f>
        <v>0</v>
      </c>
      <c r="N82" s="4">
        <f>'תקציב הנדסה 2021'!N82</f>
        <v>350000</v>
      </c>
      <c r="O82" s="4">
        <f>'תקציב הנדסה 2021'!O82</f>
        <v>1350000</v>
      </c>
      <c r="P82" s="4">
        <f>'תקציב הנדסה 2021'!P82</f>
        <v>0</v>
      </c>
      <c r="Q82" s="4">
        <f>'תקציב הנדסה 2021'!Q82</f>
        <v>0</v>
      </c>
      <c r="R82" s="4">
        <f>'תקציב הנדסה 2021'!R82</f>
        <v>0</v>
      </c>
      <c r="S82" s="4">
        <f>'תקציב הנדסה 2021'!S82</f>
        <v>0</v>
      </c>
      <c r="T82" s="4">
        <f>'תקציב הנדסה 2021'!T82</f>
        <v>0</v>
      </c>
      <c r="U82" s="4">
        <f>'תקציב הנדסה 2021'!U82</f>
        <v>350000</v>
      </c>
      <c r="V82" s="4">
        <f>'תקציב הנדסה 2021'!V82</f>
        <v>350000</v>
      </c>
      <c r="W82" s="4">
        <f>'תקציב הנדסה 2021'!W82</f>
        <v>0</v>
      </c>
      <c r="X82" s="4">
        <f>'תקציב הנדסה 2021'!X82</f>
        <v>0</v>
      </c>
      <c r="Y82" s="4">
        <f>'תקציב הנדסה 2021'!Y82</f>
        <v>0</v>
      </c>
      <c r="Z82" s="4">
        <f>'תקציב הנדסה 2021'!Z82</f>
        <v>0</v>
      </c>
      <c r="AA82" s="4">
        <f>'תקציב הנדסה 2021'!AA82</f>
        <v>0</v>
      </c>
      <c r="AB82" s="72" t="str">
        <f>'תקציב הנדסה 2021'!AB82</f>
        <v xml:space="preserve">יועצי סביבה וקיימות בהיבטים תכנוניים. גיבוש מדיניות של תכנון מיטבי של שטחי החוץ בבי"ס. </v>
      </c>
      <c r="AC82" s="3">
        <f>'תקציב הנדסה 2021'!AC82</f>
        <v>732000</v>
      </c>
      <c r="AD82" s="387"/>
      <c r="AE82" s="387"/>
      <c r="AF82" s="387"/>
    </row>
    <row r="83" spans="1:32" s="426" customFormat="1" ht="30" customHeight="1">
      <c r="A83" s="346">
        <f>A82</f>
        <v>78</v>
      </c>
      <c r="B83" s="346"/>
      <c r="C83" s="33" t="s">
        <v>499</v>
      </c>
      <c r="D83" s="425">
        <f t="shared" ref="D83:AA83" si="2">SUM(D5:D82)</f>
        <v>600898791</v>
      </c>
      <c r="E83" s="425">
        <f t="shared" si="2"/>
        <v>548923791</v>
      </c>
      <c r="F83" s="425">
        <f t="shared" si="2"/>
        <v>51975000</v>
      </c>
      <c r="G83" s="425">
        <f t="shared" si="2"/>
        <v>299011552</v>
      </c>
      <c r="H83" s="425">
        <f t="shared" si="2"/>
        <v>243957723</v>
      </c>
      <c r="I83" s="425">
        <f t="shared" si="2"/>
        <v>10062920</v>
      </c>
      <c r="J83" s="425">
        <f t="shared" si="2"/>
        <v>8699859</v>
      </c>
      <c r="K83" s="425">
        <f t="shared" si="2"/>
        <v>18762779</v>
      </c>
      <c r="L83" s="425">
        <f t="shared" si="2"/>
        <v>262720502</v>
      </c>
      <c r="M83" s="425">
        <f t="shared" si="2"/>
        <v>6991050</v>
      </c>
      <c r="N83" s="425">
        <f t="shared" si="2"/>
        <v>48230000</v>
      </c>
      <c r="O83" s="425">
        <f t="shared" si="2"/>
        <v>282957239</v>
      </c>
      <c r="P83" s="425">
        <f t="shared" si="2"/>
        <v>36291050</v>
      </c>
      <c r="Q83" s="425">
        <f t="shared" si="2"/>
        <v>0</v>
      </c>
      <c r="R83" s="425">
        <f t="shared" si="2"/>
        <v>0</v>
      </c>
      <c r="S83" s="425">
        <f t="shared" si="2"/>
        <v>0</v>
      </c>
      <c r="T83" s="425">
        <f t="shared" si="2"/>
        <v>29300000</v>
      </c>
      <c r="U83" s="425">
        <f t="shared" si="2"/>
        <v>18930000</v>
      </c>
      <c r="V83" s="425">
        <f t="shared" si="2"/>
        <v>14768750</v>
      </c>
      <c r="W83" s="425">
        <f t="shared" si="2"/>
        <v>0</v>
      </c>
      <c r="X83" s="425">
        <f t="shared" si="2"/>
        <v>0</v>
      </c>
      <c r="Y83" s="425">
        <f t="shared" si="2"/>
        <v>0</v>
      </c>
      <c r="Z83" s="425">
        <f t="shared" si="2"/>
        <v>0</v>
      </c>
      <c r="AA83" s="425">
        <f t="shared" si="2"/>
        <v>4161250</v>
      </c>
      <c r="AB83" s="425"/>
      <c r="AC83" s="346"/>
      <c r="AD83" s="387"/>
      <c r="AE83" s="387"/>
      <c r="AF83" s="387"/>
    </row>
    <row r="84" spans="1:32" hidden="1">
      <c r="L84" s="14">
        <f>K83+H83</f>
        <v>262720502</v>
      </c>
      <c r="M84" s="14">
        <f>P83+S83-T83</f>
        <v>6991050</v>
      </c>
    </row>
  </sheetData>
  <conditionalFormatting sqref="AD4:AE4">
    <cfRule type="cellIs" dxfId="23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7"/>
  <sheetViews>
    <sheetView showZeros="0" rightToLeft="1" zoomScaleNormal="100" workbookViewId="0">
      <pane xSplit="3" ySplit="4" topLeftCell="D29" activePane="bottomRight" state="frozen"/>
      <selection pane="topRight"/>
      <selection pane="bottomLeft"/>
      <selection pane="bottomRight"/>
    </sheetView>
  </sheetViews>
  <sheetFormatPr defaultColWidth="9.08984375" defaultRowHeight="14"/>
  <cols>
    <col min="1" max="1" width="4.1796875" style="12" customWidth="1"/>
    <col min="2" max="2" width="4.6328125" style="12" customWidth="1"/>
    <col min="3" max="3" width="22.1796875" style="18" customWidth="1"/>
    <col min="4" max="4" width="10.08984375" style="14" customWidth="1"/>
    <col min="5" max="5" width="10.453125" style="14" hidden="1" customWidth="1"/>
    <col min="6" max="6" width="10.1796875" style="14" hidden="1" customWidth="1"/>
    <col min="7" max="7" width="11.6328125" style="14" hidden="1" customWidth="1"/>
    <col min="8" max="8" width="16.90625" style="14" hidden="1" customWidth="1"/>
    <col min="9" max="10" width="12.6328125" style="14" hidden="1" customWidth="1"/>
    <col min="11" max="11" width="11.36328125" style="14" hidden="1" customWidth="1"/>
    <col min="12" max="12" width="10.453125" style="14" customWidth="1"/>
    <col min="13" max="13" width="8.54296875" style="14" customWidth="1"/>
    <col min="14" max="14" width="9.6328125" style="14" customWidth="1"/>
    <col min="15" max="15" width="10.453125" style="14" customWidth="1"/>
    <col min="16" max="16" width="12.36328125" style="14" hidden="1" customWidth="1"/>
    <col min="17" max="18" width="13.36328125" style="14" hidden="1" customWidth="1"/>
    <col min="19" max="19" width="13" style="14" hidden="1" customWidth="1"/>
    <col min="20" max="20" width="9.1796875" style="14" customWidth="1"/>
    <col min="21" max="21" width="9.1796875" style="12" customWidth="1"/>
    <col min="22" max="22" width="9.36328125" style="12" customWidth="1"/>
    <col min="23" max="23" width="9.08984375" style="12" hidden="1" customWidth="1"/>
    <col min="24" max="24" width="12.54296875" style="12" hidden="1" customWidth="1"/>
    <col min="25" max="26" width="14.453125" style="12" hidden="1" customWidth="1"/>
    <col min="27" max="27" width="8.54296875" style="12" customWidth="1"/>
    <col min="28" max="28" width="30.453125" style="18" customWidth="1"/>
    <col min="29" max="29" width="9.08984375" style="12" hidden="1" customWidth="1"/>
    <col min="30" max="30" width="11.453125" style="387" customWidth="1"/>
    <col min="31" max="31" width="14.6328125" style="387" customWidth="1"/>
    <col min="32" max="32" width="46" style="387" customWidth="1"/>
    <col min="33" max="16384" width="9.08984375" style="12"/>
  </cols>
  <sheetData>
    <row r="1" spans="1:32" s="28" customFormat="1" ht="18">
      <c r="A1" s="27"/>
      <c r="B1" s="27"/>
      <c r="C1" s="71"/>
      <c r="J1" s="14"/>
      <c r="K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410"/>
      <c r="X1" s="410"/>
      <c r="Y1" s="410"/>
      <c r="Z1" s="410"/>
      <c r="AA1" s="410"/>
      <c r="AB1" s="410"/>
      <c r="AD1" s="387"/>
      <c r="AE1" s="387"/>
      <c r="AF1" s="387"/>
    </row>
    <row r="2" spans="1:32" ht="18">
      <c r="A2" s="71" t="s">
        <v>501</v>
      </c>
      <c r="B2" s="27"/>
      <c r="C2" s="277"/>
      <c r="D2" s="28"/>
      <c r="E2" s="28"/>
      <c r="F2" s="28"/>
      <c r="K2" s="27"/>
      <c r="M2" s="408"/>
      <c r="N2" s="408"/>
      <c r="O2" s="408"/>
      <c r="P2" s="408"/>
      <c r="Q2" s="408"/>
      <c r="R2" s="408"/>
      <c r="S2" s="408"/>
      <c r="T2" s="408"/>
      <c r="U2" s="410"/>
      <c r="V2" s="410"/>
      <c r="W2" s="410"/>
      <c r="X2" s="410"/>
      <c r="Y2" s="410"/>
      <c r="Z2" s="410"/>
      <c r="AA2" s="410"/>
      <c r="AB2" s="410"/>
    </row>
    <row r="3" spans="1:32" ht="24.65" customHeight="1">
      <c r="D3" s="409"/>
      <c r="E3" s="13"/>
      <c r="F3" s="13"/>
      <c r="G3" s="618"/>
      <c r="H3" s="13"/>
      <c r="I3" s="13"/>
      <c r="J3" s="13"/>
      <c r="K3" s="13"/>
      <c r="L3" s="409"/>
      <c r="M3" s="616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</row>
    <row r="4" spans="1:32" s="30" customFormat="1" ht="86.25" customHeight="1">
      <c r="A4" s="9" t="s">
        <v>0</v>
      </c>
      <c r="B4" s="9" t="s">
        <v>1</v>
      </c>
      <c r="C4" s="9" t="s">
        <v>2</v>
      </c>
      <c r="D4" s="9" t="s">
        <v>98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178</v>
      </c>
      <c r="K4" s="9" t="s">
        <v>10</v>
      </c>
      <c r="L4" s="9" t="s">
        <v>11</v>
      </c>
      <c r="M4" s="9" t="s">
        <v>936</v>
      </c>
      <c r="N4" s="9" t="s">
        <v>1349</v>
      </c>
      <c r="O4" s="9" t="s">
        <v>938</v>
      </c>
      <c r="P4" s="9" t="s">
        <v>12</v>
      </c>
      <c r="Q4" s="169" t="s">
        <v>939</v>
      </c>
      <c r="R4" s="9" t="s">
        <v>940</v>
      </c>
      <c r="S4" s="9" t="s">
        <v>941</v>
      </c>
      <c r="T4" s="9" t="s">
        <v>942</v>
      </c>
      <c r="U4" s="560" t="s">
        <v>943</v>
      </c>
      <c r="V4" s="9" t="s">
        <v>13</v>
      </c>
      <c r="W4" s="9" t="s">
        <v>14</v>
      </c>
      <c r="X4" s="9" t="s">
        <v>15</v>
      </c>
      <c r="Y4" s="9" t="s">
        <v>301</v>
      </c>
      <c r="Z4" s="9" t="s">
        <v>1391</v>
      </c>
      <c r="AA4" s="9" t="s">
        <v>91</v>
      </c>
      <c r="AB4" s="16" t="s">
        <v>344</v>
      </c>
      <c r="AC4" s="9" t="s">
        <v>16</v>
      </c>
      <c r="AD4" s="387"/>
      <c r="AE4" s="387"/>
      <c r="AF4" s="387"/>
    </row>
    <row r="5" spans="1:32" s="5" customFormat="1" ht="42">
      <c r="A5" s="3">
        <v>1</v>
      </c>
      <c r="B5" s="3">
        <f>'תקציב הנדסה 2021'!B5</f>
        <v>179</v>
      </c>
      <c r="C5" s="280" t="str">
        <f>'תקציב הנדסה 2021'!C5</f>
        <v>יעודי קרקע -מפת בסיס</v>
      </c>
      <c r="D5" s="4">
        <f>'תקציב הנדסה 2021'!D5</f>
        <v>3170250</v>
      </c>
      <c r="E5" s="4">
        <f>'תקציב הנדסה 2021'!E5</f>
        <v>3170250</v>
      </c>
      <c r="F5" s="4">
        <f>'תקציב הנדסה 2021'!F5</f>
        <v>0</v>
      </c>
      <c r="G5" s="4">
        <f>'תקציב הנדסה 2021'!G5</f>
        <v>3100250</v>
      </c>
      <c r="H5" s="4">
        <f>'תקציב הנדסה 2021'!H5</f>
        <v>2882694</v>
      </c>
      <c r="I5" s="4">
        <f>'תקציב הנדסה 2021'!I5</f>
        <v>0</v>
      </c>
      <c r="J5" s="4">
        <f>'תקציב הנדסה 2021'!J5</f>
        <v>52913</v>
      </c>
      <c r="K5" s="4">
        <f>'תקציב הנדסה 2021'!K5</f>
        <v>52913</v>
      </c>
      <c r="L5" s="4">
        <f>'תקציב הנדסה 2021'!L5</f>
        <v>2935607</v>
      </c>
      <c r="M5" s="4">
        <f>'תקציב הנדסה 2021'!M5</f>
        <v>4643</v>
      </c>
      <c r="N5" s="4">
        <f>'תקציב הנדסה 2021'!N5</f>
        <v>160000</v>
      </c>
      <c r="O5" s="4">
        <f>'תקציב הנדסה 2021'!O5</f>
        <v>70000</v>
      </c>
      <c r="P5" s="4">
        <f>'תקציב הנדסה 2021'!P5</f>
        <v>164643</v>
      </c>
      <c r="Q5" s="4">
        <f>'תקציב הנדסה 2021'!Q5</f>
        <v>0</v>
      </c>
      <c r="R5" s="4">
        <f>'תקציב הנדסה 2021'!R5</f>
        <v>0</v>
      </c>
      <c r="S5" s="4">
        <f>'תקציב הנדסה 2021'!S5</f>
        <v>0</v>
      </c>
      <c r="T5" s="4">
        <f>'תקציב הנדסה 2021'!T5</f>
        <v>160000</v>
      </c>
      <c r="U5" s="4">
        <f>'תקציב הנדסה 2021'!U5</f>
        <v>0</v>
      </c>
      <c r="V5" s="4">
        <f>'תקציב הנדסה 2021'!V5</f>
        <v>0</v>
      </c>
      <c r="W5" s="4">
        <f>'תקציב הנדסה 2021'!W5</f>
        <v>0</v>
      </c>
      <c r="X5" s="4">
        <f>'תקציב הנדסה 2021'!X5</f>
        <v>0</v>
      </c>
      <c r="Y5" s="4">
        <f>'תקציב הנדסה 2021'!Y5</f>
        <v>0</v>
      </c>
      <c r="Z5" s="4">
        <f>'תקציב הנדסה 2021'!Z5</f>
        <v>0</v>
      </c>
      <c r="AA5" s="4">
        <f>'תקציב הנדסה 2021'!AA5</f>
        <v>0</v>
      </c>
      <c r="AB5" s="280" t="str">
        <f>'תקציב הנדסה 2021'!AB5</f>
        <v>עדכון מע. מידע הנדסי כתוצאה משינוי ייעודי קרקע עקב החלטות ועדות התכנון.</v>
      </c>
      <c r="AC5" s="3">
        <f>'תקציב הנדסה 2021'!AC5</f>
        <v>732000</v>
      </c>
      <c r="AD5" s="387"/>
      <c r="AE5" s="387"/>
      <c r="AF5" s="387"/>
    </row>
    <row r="6" spans="1:32" s="5" customFormat="1" ht="56">
      <c r="A6" s="3">
        <f t="shared" ref="A6:A39" si="0">A5+1</f>
        <v>2</v>
      </c>
      <c r="B6" s="3">
        <f>'תקציב הנדסה 2021'!B11</f>
        <v>626</v>
      </c>
      <c r="C6" s="280" t="str">
        <f>'תקציב הנדסה 2021'!C11</f>
        <v xml:space="preserve">תכנון וביצוע  תוכנית אב לשבילי אופניים </v>
      </c>
      <c r="D6" s="4">
        <f>'תקציב הנדסה 2021'!D11</f>
        <v>34775000</v>
      </c>
      <c r="E6" s="4">
        <f>'תקציב הנדסה 2021'!E11</f>
        <v>25195000</v>
      </c>
      <c r="F6" s="4">
        <f>'תקציב הנדסה 2021'!F11</f>
        <v>9580000</v>
      </c>
      <c r="G6" s="4">
        <f>'תקציב הנדסה 2021'!G11</f>
        <v>17775000</v>
      </c>
      <c r="H6" s="4">
        <f>'תקציב הנדסה 2021'!H11</f>
        <v>13581452</v>
      </c>
      <c r="I6" s="4">
        <f>'תקציב הנדסה 2021'!I11</f>
        <v>0</v>
      </c>
      <c r="J6" s="4">
        <f>'תקציב הנדסה 2021'!J11</f>
        <v>378075</v>
      </c>
      <c r="K6" s="4">
        <f>'תקציב הנדסה 2021'!K11</f>
        <v>378075</v>
      </c>
      <c r="L6" s="4">
        <f>'תקציב הנדסה 2021'!L11</f>
        <v>13959527</v>
      </c>
      <c r="M6" s="4">
        <f>'תקציב הנדסה 2021'!M11</f>
        <v>315473</v>
      </c>
      <c r="N6" s="4">
        <f>'תקציב הנדסה 2021'!N11</f>
        <v>8000000</v>
      </c>
      <c r="O6" s="4">
        <f>'תקציב הנדסה 2021'!O11</f>
        <v>12500000</v>
      </c>
      <c r="P6" s="4">
        <f>'תקציב הנדסה 2021'!P11</f>
        <v>3815473</v>
      </c>
      <c r="Q6" s="4">
        <f>'תקציב הנדסה 2021'!Q11</f>
        <v>0</v>
      </c>
      <c r="R6" s="4">
        <f>'תקציב הנדסה 2021'!R11</f>
        <v>0</v>
      </c>
      <c r="S6" s="4">
        <f>'תקציב הנדסה 2021'!S11</f>
        <v>0</v>
      </c>
      <c r="T6" s="4">
        <f>'תקציב הנדסה 2021'!T11</f>
        <v>3500000</v>
      </c>
      <c r="U6" s="4">
        <f>'תקציב הנדסה 2021'!U11</f>
        <v>4500000</v>
      </c>
      <c r="V6" s="4">
        <f>'תקציב הנדסה 2021'!V11</f>
        <v>2500000</v>
      </c>
      <c r="W6" s="4">
        <f>'תקציב הנדסה 2021'!W11</f>
        <v>0</v>
      </c>
      <c r="X6" s="4">
        <f>'תקציב הנדסה 2021'!X11</f>
        <v>0</v>
      </c>
      <c r="Y6" s="4">
        <f>'תקציב הנדסה 2021'!Y11</f>
        <v>0</v>
      </c>
      <c r="Z6" s="4">
        <f>'תקציב הנדסה 2021'!Z11</f>
        <v>0</v>
      </c>
      <c r="AA6" s="4">
        <f>'תקציב הנדסה 2021'!AA11</f>
        <v>2000000</v>
      </c>
      <c r="AB6" s="280" t="str">
        <f>'תקציב הנדסה 2021'!AB11</f>
        <v>תכנון וביצוע שבילי אופנים ברחבי העיר .  תכנון וביצוע: אלטנוילנד , ז'בוטינסקי , העצמאות , הדר. מימון מ. הפיס.</v>
      </c>
      <c r="AC6" s="3">
        <f>'תקציב הנדסה 2021'!AC11</f>
        <v>732000</v>
      </c>
      <c r="AD6" s="387"/>
      <c r="AE6" s="387"/>
      <c r="AF6" s="387"/>
    </row>
    <row r="7" spans="1:32" s="5" customFormat="1" ht="42">
      <c r="A7" s="3">
        <f t="shared" si="0"/>
        <v>3</v>
      </c>
      <c r="B7" s="3">
        <f>'תקציב הנדסה 2021'!B14</f>
        <v>1100</v>
      </c>
      <c r="C7" s="280" t="str">
        <f>'תקציב הנדסה 2021'!C14</f>
        <v>תכנון מתחם הר' 2200</v>
      </c>
      <c r="D7" s="4">
        <f>'תקציב הנדסה 2021'!D14</f>
        <v>7000000</v>
      </c>
      <c r="E7" s="4">
        <f>'תקציב הנדסה 2021'!E14</f>
        <v>7000000</v>
      </c>
      <c r="F7" s="4">
        <f>'תקציב הנדסה 2021'!F14</f>
        <v>0</v>
      </c>
      <c r="G7" s="4">
        <f>'תקציב הנדסה 2021'!G14</f>
        <v>6100000</v>
      </c>
      <c r="H7" s="4">
        <f>'תקציב הנדסה 2021'!H14</f>
        <v>4426878</v>
      </c>
      <c r="I7" s="4">
        <f>'תקציב הנדסה 2021'!I14</f>
        <v>1304715</v>
      </c>
      <c r="J7" s="4">
        <f>'תקציב הנדסה 2021'!J14</f>
        <v>240825</v>
      </c>
      <c r="K7" s="4">
        <f>'תקציב הנדסה 2021'!K14</f>
        <v>1545540</v>
      </c>
      <c r="L7" s="4">
        <f>'תקציב הנדסה 2021'!L14</f>
        <v>5972418</v>
      </c>
      <c r="M7" s="4">
        <f>'תקציב הנדסה 2021'!M14</f>
        <v>127582</v>
      </c>
      <c r="N7" s="4">
        <f>'תקציב הנדסה 2021'!N14</f>
        <v>800000</v>
      </c>
      <c r="O7" s="4">
        <f>'תקציב הנדסה 2021'!O14</f>
        <v>100000</v>
      </c>
      <c r="P7" s="4">
        <f>'תקציב הנדסה 2021'!P14</f>
        <v>127582</v>
      </c>
      <c r="Q7" s="4">
        <f>'תקציב הנדסה 2021'!Q14</f>
        <v>0</v>
      </c>
      <c r="R7" s="4">
        <f>'תקציב הנדסה 2021'!R14</f>
        <v>0</v>
      </c>
      <c r="S7" s="4">
        <f>'תקציב הנדסה 2021'!S14</f>
        <v>0</v>
      </c>
      <c r="T7" s="4">
        <f>'תקציב הנדסה 2021'!T14</f>
        <v>0</v>
      </c>
      <c r="U7" s="4">
        <f>'תקציב הנדסה 2021'!U14</f>
        <v>800000</v>
      </c>
      <c r="V7" s="4">
        <f>'תקציב הנדסה 2021'!V14</f>
        <v>800000</v>
      </c>
      <c r="W7" s="4">
        <f>'תקציב הנדסה 2021'!W14</f>
        <v>0</v>
      </c>
      <c r="X7" s="4">
        <f>'תקציב הנדסה 2021'!X14</f>
        <v>0</v>
      </c>
      <c r="Y7" s="4">
        <f>'תקציב הנדסה 2021'!Y14</f>
        <v>0</v>
      </c>
      <c r="Z7" s="4">
        <f>'תקציב הנדסה 2021'!Z14</f>
        <v>0</v>
      </c>
      <c r="AA7" s="4">
        <f>'תקציב הנדסה 2021'!AA14</f>
        <v>0</v>
      </c>
      <c r="AB7" s="280" t="str">
        <f>'תקציב הנדסה 2021'!AB14</f>
        <v xml:space="preserve">תכנון מתחם חוף התכלת. עתירה של בעלי הקרקע הפרטיים על השתהות בקידום  התוכנית . </v>
      </c>
      <c r="AC7" s="3">
        <f>'תקציב הנדסה 2021'!AC14</f>
        <v>732000</v>
      </c>
      <c r="AD7" s="387"/>
      <c r="AE7" s="387"/>
      <c r="AF7" s="387"/>
    </row>
    <row r="8" spans="1:32" s="5" customFormat="1" ht="42">
      <c r="A8" s="3">
        <f t="shared" si="0"/>
        <v>4</v>
      </c>
      <c r="B8" s="3">
        <f>'תקציב הנדסה 2021'!B16</f>
        <v>1220</v>
      </c>
      <c r="C8" s="280" t="str">
        <f>'תקציב הנדסה 2021'!C16</f>
        <v>תכנונים כלליים</v>
      </c>
      <c r="D8" s="4">
        <f>'תקציב הנדסה 2021'!D16</f>
        <v>7000000</v>
      </c>
      <c r="E8" s="4">
        <f>'תקציב הנדסה 2021'!E16</f>
        <v>7000000</v>
      </c>
      <c r="F8" s="4">
        <f>'תקציב הנדסה 2021'!F16</f>
        <v>0</v>
      </c>
      <c r="G8" s="4">
        <f>'תקציב הנדסה 2021'!G16</f>
        <v>5950000</v>
      </c>
      <c r="H8" s="4">
        <f>'תקציב הנדסה 2021'!H16</f>
        <v>5018962</v>
      </c>
      <c r="I8" s="4">
        <f>'תקציב הנדסה 2021'!I16</f>
        <v>113993</v>
      </c>
      <c r="J8" s="4">
        <f>'תקציב הנדסה 2021'!J16</f>
        <v>401881</v>
      </c>
      <c r="K8" s="4">
        <f>'תקציב הנדסה 2021'!K16</f>
        <v>515874</v>
      </c>
      <c r="L8" s="4">
        <f>'תקציב הנדסה 2021'!L16</f>
        <v>5534836</v>
      </c>
      <c r="M8" s="4">
        <f>'תקציב הנדסה 2021'!M16</f>
        <v>15164</v>
      </c>
      <c r="N8" s="4">
        <f>'תקציב הנדסה 2021'!N16</f>
        <v>1400000</v>
      </c>
      <c r="O8" s="4">
        <f>'תקציב הנדסה 2021'!O16</f>
        <v>50000</v>
      </c>
      <c r="P8" s="4">
        <f>'תקציב הנדסה 2021'!P16</f>
        <v>415164</v>
      </c>
      <c r="Q8" s="4">
        <f>'תקציב הנדסה 2021'!Q16</f>
        <v>0</v>
      </c>
      <c r="R8" s="4">
        <f>'תקציב הנדסה 2021'!R16</f>
        <v>0</v>
      </c>
      <c r="S8" s="4">
        <f>'תקציב הנדסה 2021'!S16</f>
        <v>0</v>
      </c>
      <c r="T8" s="4">
        <f>'תקציב הנדסה 2021'!T16</f>
        <v>400000</v>
      </c>
      <c r="U8" s="4">
        <f>'תקציב הנדסה 2021'!U16</f>
        <v>1000000</v>
      </c>
      <c r="V8" s="4">
        <f>'תקציב הנדסה 2021'!V16</f>
        <v>1000000</v>
      </c>
      <c r="W8" s="4">
        <f>'תקציב הנדסה 2021'!W16</f>
        <v>0</v>
      </c>
      <c r="X8" s="4">
        <f>'תקציב הנדסה 2021'!X16</f>
        <v>0</v>
      </c>
      <c r="Y8" s="4">
        <f>'תקציב הנדסה 2021'!Y16</f>
        <v>0</v>
      </c>
      <c r="Z8" s="4">
        <f>'תקציב הנדסה 2021'!Z16</f>
        <v>0</v>
      </c>
      <c r="AA8" s="4">
        <f>'תקציב הנדסה 2021'!AA16</f>
        <v>0</v>
      </c>
      <c r="AB8" s="280" t="str">
        <f>'תקציב הנדסה 2021'!AB16</f>
        <v>סל תכנון של תוכניות ופרויקטים, מדידות ותכנון ראשוני כולל פיתוח רחבת העיריה ,אלתרמן.</v>
      </c>
      <c r="AC8" s="3">
        <f>'תקציב הנדסה 2021'!AC16</f>
        <v>732000</v>
      </c>
      <c r="AD8" s="387"/>
      <c r="AE8" s="387"/>
      <c r="AF8" s="387"/>
    </row>
    <row r="9" spans="1:32" s="5" customFormat="1" ht="29.4" customHeight="1">
      <c r="A9" s="3">
        <f t="shared" si="0"/>
        <v>5</v>
      </c>
      <c r="B9" s="3">
        <f>'תקציב הנדסה 2021'!B20</f>
        <v>1406</v>
      </c>
      <c r="C9" s="280" t="str">
        <f>'תקציב הנדסה 2021'!C20</f>
        <v>שימור אתרים</v>
      </c>
      <c r="D9" s="4">
        <f>'תקציב הנדסה 2021'!D20</f>
        <v>1200000</v>
      </c>
      <c r="E9" s="4">
        <f>'תקציב הנדסה 2021'!E20</f>
        <v>1400000</v>
      </c>
      <c r="F9" s="4">
        <f>'תקציב הנדסה 2021'!F20</f>
        <v>-200000</v>
      </c>
      <c r="G9" s="4">
        <f>'תקציב הנדסה 2021'!G20</f>
        <v>1300000</v>
      </c>
      <c r="H9" s="4">
        <f>'תקציב הנדסה 2021'!H20</f>
        <v>852000</v>
      </c>
      <c r="I9" s="4">
        <f>'תקציב הנדסה 2021'!I20</f>
        <v>35528</v>
      </c>
      <c r="J9" s="4">
        <f>'תקציב הנדסה 2021'!J20</f>
        <v>0</v>
      </c>
      <c r="K9" s="4">
        <f>'תקציב הנדסה 2021'!K20</f>
        <v>35528</v>
      </c>
      <c r="L9" s="4">
        <f>'תקציב הנדסה 2021'!L20</f>
        <v>887528</v>
      </c>
      <c r="M9" s="4">
        <f>'תקציב הנדסה 2021'!M20</f>
        <v>12472</v>
      </c>
      <c r="N9" s="4">
        <f>'תקציב הנדסה 2021'!N20</f>
        <v>300000</v>
      </c>
      <c r="O9" s="4">
        <f>'תקציב הנדסה 2021'!O20</f>
        <v>0</v>
      </c>
      <c r="P9" s="4">
        <f>'תקציב הנדסה 2021'!P20</f>
        <v>412472</v>
      </c>
      <c r="Q9" s="4">
        <f>'תקציב הנדסה 2021'!Q20</f>
        <v>0</v>
      </c>
      <c r="R9" s="4">
        <f>'תקציב הנדסה 2021'!R20</f>
        <v>0</v>
      </c>
      <c r="S9" s="4">
        <f>'תקציב הנדסה 2021'!S20</f>
        <v>0</v>
      </c>
      <c r="T9" s="4">
        <f>'תקציב הנדסה 2021'!T20</f>
        <v>400000</v>
      </c>
      <c r="U9" s="4">
        <f>'תקציב הנדסה 2021'!U20</f>
        <v>-100000</v>
      </c>
      <c r="V9" s="4">
        <f>'תקציב הנדסה 2021'!V20</f>
        <v>-100000</v>
      </c>
      <c r="W9" s="4">
        <f>'תקציב הנדסה 2021'!W20</f>
        <v>0</v>
      </c>
      <c r="X9" s="4">
        <f>'תקציב הנדסה 2021'!X20</f>
        <v>0</v>
      </c>
      <c r="Y9" s="4">
        <f>'תקציב הנדסה 2021'!Y20</f>
        <v>0</v>
      </c>
      <c r="Z9" s="4">
        <f>'תקציב הנדסה 2021'!Z20</f>
        <v>0</v>
      </c>
      <c r="AA9" s="4">
        <f>'תקציב הנדסה 2021'!AA20</f>
        <v>0</v>
      </c>
      <c r="AB9" s="280" t="str">
        <f>'תקציב הנדסה 2021'!AB20</f>
        <v>סל תכנון הכנת תב"עות לשימור אתרים. השלמת תנאים למתן תוקף.</v>
      </c>
      <c r="AC9" s="3">
        <f>'תקציב הנדסה 2021'!AC20</f>
        <v>732000</v>
      </c>
      <c r="AD9" s="387"/>
      <c r="AE9" s="387"/>
      <c r="AF9" s="387"/>
    </row>
    <row r="10" spans="1:32" s="5" customFormat="1" ht="42">
      <c r="A10" s="3">
        <f t="shared" si="0"/>
        <v>6</v>
      </c>
      <c r="B10" s="3">
        <f>'תקציב הנדסה 2021'!B21</f>
        <v>1407</v>
      </c>
      <c r="C10" s="280" t="str">
        <f>'תקציב הנדסה 2021'!C21</f>
        <v>תב"עות קטנות</v>
      </c>
      <c r="D10" s="4">
        <f>'תקציב הנדסה 2021'!D21</f>
        <v>5295000</v>
      </c>
      <c r="E10" s="4">
        <f>'תקציב הנדסה 2021'!E21</f>
        <v>4895000</v>
      </c>
      <c r="F10" s="4">
        <f>'תקציב הנדסה 2021'!F21</f>
        <v>400000</v>
      </c>
      <c r="G10" s="4">
        <f>'תקציב הנדסה 2021'!G21</f>
        <v>4095000</v>
      </c>
      <c r="H10" s="4">
        <f>'תקציב הנדסה 2021'!H21</f>
        <v>2650861</v>
      </c>
      <c r="I10" s="4">
        <f>'תקציב הנדסה 2021'!I21</f>
        <v>292816</v>
      </c>
      <c r="J10" s="4">
        <f>'תקציב הנדסה 2021'!J21</f>
        <v>308343</v>
      </c>
      <c r="K10" s="4">
        <f>'תקציב הנדסה 2021'!K21</f>
        <v>601159</v>
      </c>
      <c r="L10" s="4">
        <f>'תקציב הנדסה 2021'!L21</f>
        <v>3252020</v>
      </c>
      <c r="M10" s="4">
        <f>'תקציב הנדסה 2021'!M21</f>
        <v>42980</v>
      </c>
      <c r="N10" s="4">
        <f>'תקציב הנדסה 2021'!N21</f>
        <v>2000000</v>
      </c>
      <c r="O10" s="4">
        <f>'תקציב הנדסה 2021'!O21</f>
        <v>0</v>
      </c>
      <c r="P10" s="4">
        <f>'תקציב הנדסה 2021'!P21</f>
        <v>842980</v>
      </c>
      <c r="Q10" s="4">
        <f>'תקציב הנדסה 2021'!Q21</f>
        <v>0</v>
      </c>
      <c r="R10" s="4">
        <f>'תקציב הנדסה 2021'!R21</f>
        <v>0</v>
      </c>
      <c r="S10" s="4">
        <f>'תקציב הנדסה 2021'!S21</f>
        <v>0</v>
      </c>
      <c r="T10" s="4">
        <f>'תקציב הנדסה 2021'!T21</f>
        <v>800000</v>
      </c>
      <c r="U10" s="4">
        <f>'תקציב הנדסה 2021'!U21</f>
        <v>1200000</v>
      </c>
      <c r="V10" s="4">
        <f>'תקציב הנדסה 2021'!V21</f>
        <v>1200000</v>
      </c>
      <c r="W10" s="4">
        <f>'תקציב הנדסה 2021'!W21</f>
        <v>0</v>
      </c>
      <c r="X10" s="4">
        <f>'תקציב הנדסה 2021'!X21</f>
        <v>0</v>
      </c>
      <c r="Y10" s="4">
        <f>'תקציב הנדסה 2021'!Y21</f>
        <v>0</v>
      </c>
      <c r="Z10" s="4">
        <f>'תקציב הנדסה 2021'!Z21</f>
        <v>0</v>
      </c>
      <c r="AA10" s="4">
        <f>'תקציב הנדסה 2021'!AA21</f>
        <v>0</v>
      </c>
      <c r="AB10" s="280" t="str">
        <f>'תקציב הנדסה 2021'!AB21</f>
        <v>סל תכנון של תב"עות הנדרשות במהלך השנה כולל  תוכניות גגות מרתפים מבנים ציבוריים.</v>
      </c>
      <c r="AC10" s="3">
        <f>'תקציב הנדסה 2021'!AC21</f>
        <v>732000</v>
      </c>
      <c r="AD10" s="387"/>
      <c r="AE10" s="387"/>
      <c r="AF10" s="387"/>
    </row>
    <row r="11" spans="1:32" s="6" customFormat="1" ht="42">
      <c r="A11" s="3">
        <f t="shared" si="0"/>
        <v>7</v>
      </c>
      <c r="B11" s="3">
        <f>'תקציב הנדסה 2021'!B22</f>
        <v>1409</v>
      </c>
      <c r="C11" s="280" t="str">
        <f>'תקציב הנדסה 2021'!C22</f>
        <v xml:space="preserve"> תוכנית המתאר הכוללנית </v>
      </c>
      <c r="D11" s="4">
        <f>'תקציב הנדסה 2021'!D22</f>
        <v>7680000</v>
      </c>
      <c r="E11" s="4">
        <f>'תקציב הנדסה 2021'!E22</f>
        <v>7680000</v>
      </c>
      <c r="F11" s="4">
        <f>'תקציב הנדסה 2021'!F22</f>
        <v>0</v>
      </c>
      <c r="G11" s="4">
        <f>'תקציב הנדסה 2021'!G22</f>
        <v>7330000</v>
      </c>
      <c r="H11" s="4">
        <f>'תקציב הנדסה 2021'!H22</f>
        <v>5099564</v>
      </c>
      <c r="I11" s="4">
        <f>'תקציב הנדסה 2021'!I22</f>
        <v>1314720</v>
      </c>
      <c r="J11" s="4">
        <f>'תקציב הנדסה 2021'!J22</f>
        <v>8190</v>
      </c>
      <c r="K11" s="4">
        <f>'תקציב הנדסה 2021'!K22</f>
        <v>1322910</v>
      </c>
      <c r="L11" s="4">
        <f>'תקציב הנדסה 2021'!L22</f>
        <v>6422474</v>
      </c>
      <c r="M11" s="4">
        <f>'תקציב הנדסה 2021'!M22</f>
        <v>7526</v>
      </c>
      <c r="N11" s="4">
        <f>'תקציב הנדסה 2021'!N22</f>
        <v>900000</v>
      </c>
      <c r="O11" s="4">
        <f>'תקציב הנדסה 2021'!O22</f>
        <v>350000</v>
      </c>
      <c r="P11" s="4">
        <f>'תקציב הנדסה 2021'!P22</f>
        <v>907526</v>
      </c>
      <c r="Q11" s="4">
        <f>'תקציב הנדסה 2021'!Q22</f>
        <v>0</v>
      </c>
      <c r="R11" s="4">
        <f>'תקציב הנדסה 2021'!R22</f>
        <v>0</v>
      </c>
      <c r="S11" s="4">
        <f>'תקציב הנדסה 2021'!S22</f>
        <v>0</v>
      </c>
      <c r="T11" s="4">
        <f>'תקציב הנדסה 2021'!T22</f>
        <v>900000</v>
      </c>
      <c r="U11" s="4">
        <f>'תקציב הנדסה 2021'!U22</f>
        <v>0</v>
      </c>
      <c r="V11" s="4">
        <f>'תקציב הנדסה 2021'!V22</f>
        <v>0</v>
      </c>
      <c r="W11" s="4">
        <f>'תקציב הנדסה 2021'!W22</f>
        <v>0</v>
      </c>
      <c r="X11" s="4">
        <f>'תקציב הנדסה 2021'!X22</f>
        <v>0</v>
      </c>
      <c r="Y11" s="4">
        <f>'תקציב הנדסה 2021'!Y22</f>
        <v>0</v>
      </c>
      <c r="Z11" s="4">
        <f>'תקציב הנדסה 2021'!Z22</f>
        <v>0</v>
      </c>
      <c r="AA11" s="4">
        <f>'תקציב הנדסה 2021'!AA22</f>
        <v>0</v>
      </c>
      <c r="AB11" s="280" t="str">
        <f>'תקציב הנדסה 2021'!AB22</f>
        <v xml:space="preserve">הכנת תוכנית מתאר כוללנית על מנת לאפשר לעיריה לתכנן תוכניות בסמכות וועדה מקומית. </v>
      </c>
      <c r="AC11" s="3">
        <f>'תקציב הנדסה 2021'!AC22</f>
        <v>732000</v>
      </c>
      <c r="AD11" s="387"/>
      <c r="AE11" s="387"/>
      <c r="AF11" s="387"/>
    </row>
    <row r="12" spans="1:32" s="5" customFormat="1" ht="70">
      <c r="A12" s="3">
        <f t="shared" si="0"/>
        <v>8</v>
      </c>
      <c r="B12" s="3">
        <f>'תקציב הנדסה 2021'!B24</f>
        <v>1466</v>
      </c>
      <c r="C12" s="280" t="str">
        <f>'תקציב הנדסה 2021'!C24</f>
        <v>תמ"א 38</v>
      </c>
      <c r="D12" s="4">
        <f>'תקציב הנדסה 2021'!D24</f>
        <v>2200000</v>
      </c>
      <c r="E12" s="4">
        <f>'תקציב הנדסה 2021'!E24</f>
        <v>2200000</v>
      </c>
      <c r="F12" s="4">
        <f>'תקציב הנדסה 2021'!F24</f>
        <v>0</v>
      </c>
      <c r="G12" s="4">
        <f>'תקציב הנדסה 2021'!G24</f>
        <v>1500000</v>
      </c>
      <c r="H12" s="4">
        <f>'תקציב הנדסה 2021'!H24</f>
        <v>1242093</v>
      </c>
      <c r="I12" s="4">
        <f>'תקציב הנדסה 2021'!I24</f>
        <v>0</v>
      </c>
      <c r="J12" s="4">
        <f>'תקציב הנדסה 2021'!J24</f>
        <v>0</v>
      </c>
      <c r="K12" s="4">
        <f>'תקציב הנדסה 2021'!K24</f>
        <v>0</v>
      </c>
      <c r="L12" s="4">
        <f>'תקציב הנדסה 2021'!L24</f>
        <v>1242093</v>
      </c>
      <c r="M12" s="4">
        <f>'תקציב הנדסה 2021'!M24</f>
        <v>7907</v>
      </c>
      <c r="N12" s="4">
        <f>'תקציב הנדסה 2021'!N24</f>
        <v>500000</v>
      </c>
      <c r="O12" s="4">
        <f>'תקציב הנדסה 2021'!O24</f>
        <v>450000</v>
      </c>
      <c r="P12" s="4">
        <f>'תקציב הנדסה 2021'!P24</f>
        <v>257907</v>
      </c>
      <c r="Q12" s="4">
        <f>'תקציב הנדסה 2021'!Q24</f>
        <v>0</v>
      </c>
      <c r="R12" s="4">
        <f>'תקציב הנדסה 2021'!R24</f>
        <v>0</v>
      </c>
      <c r="S12" s="4">
        <f>'תקציב הנדסה 2021'!S24</f>
        <v>0</v>
      </c>
      <c r="T12" s="4">
        <f>'תקציב הנדסה 2021'!T24</f>
        <v>250000</v>
      </c>
      <c r="U12" s="4">
        <f>'תקציב הנדסה 2021'!U24</f>
        <v>250000</v>
      </c>
      <c r="V12" s="4">
        <f>'תקציב הנדסה 2021'!V24</f>
        <v>250000</v>
      </c>
      <c r="W12" s="4">
        <f>'תקציב הנדסה 2021'!W24</f>
        <v>0</v>
      </c>
      <c r="X12" s="4">
        <f>'תקציב הנדסה 2021'!X24</f>
        <v>0</v>
      </c>
      <c r="Y12" s="4">
        <f>'תקציב הנדסה 2021'!Y24</f>
        <v>0</v>
      </c>
      <c r="Z12" s="4">
        <f>'תקציב הנדסה 2021'!Z24</f>
        <v>0</v>
      </c>
      <c r="AA12" s="4">
        <f>'תקציב הנדסה 2021'!AA24</f>
        <v>0</v>
      </c>
      <c r="AB12" s="280" t="str">
        <f>'תקציב הנדסה 2021'!AB24</f>
        <v>העצמת הזכויות הנוספות לבנינים לצורך הגברת הכדאיות של ביצוע חיזוק מבנים. בדיקת מבנים קיימים להיתכנות תמ"א והתאמת המדיניות בעיר לתמ"א החדשה שטרם סוכמה.</v>
      </c>
      <c r="AC12" s="3">
        <f>'תקציב הנדסה 2021'!AC24</f>
        <v>732000</v>
      </c>
      <c r="AD12" s="387"/>
      <c r="AE12" s="387"/>
      <c r="AF12" s="387"/>
    </row>
    <row r="13" spans="1:32" s="5" customFormat="1" ht="42">
      <c r="A13" s="3">
        <f t="shared" si="0"/>
        <v>9</v>
      </c>
      <c r="B13" s="3">
        <f>'תקציב הנדסה 2021'!B26</f>
        <v>1527</v>
      </c>
      <c r="C13" s="280" t="str">
        <f>'תקציב הנדסה 2021'!C26</f>
        <v xml:space="preserve">התחדשות עירונית יד  התשעה </v>
      </c>
      <c r="D13" s="4">
        <f>'תקציב הנדסה 2021'!D26</f>
        <v>3000000</v>
      </c>
      <c r="E13" s="4">
        <f>'תקציב הנדסה 2021'!E26</f>
        <v>3000000</v>
      </c>
      <c r="F13" s="4">
        <f>'תקציב הנדסה 2021'!F26</f>
        <v>0</v>
      </c>
      <c r="G13" s="4">
        <f>'תקציב הנדסה 2021'!G26</f>
        <v>1200000</v>
      </c>
      <c r="H13" s="4">
        <f>'תקציב הנדסה 2021'!H26</f>
        <v>821144</v>
      </c>
      <c r="I13" s="4">
        <f>'תקציב הנדסה 2021'!I26</f>
        <v>0</v>
      </c>
      <c r="J13" s="4">
        <f>'תקציב הנדסה 2021'!J26</f>
        <v>0</v>
      </c>
      <c r="K13" s="4">
        <f>'תקציב הנדסה 2021'!K26</f>
        <v>0</v>
      </c>
      <c r="L13" s="4">
        <f>'תקציב הנדסה 2021'!L26</f>
        <v>821144</v>
      </c>
      <c r="M13" s="4">
        <f>'תקציב הנדסה 2021'!M26</f>
        <v>28856</v>
      </c>
      <c r="N13" s="4">
        <f>'תקציב הנדסה 2021'!N26</f>
        <v>700000</v>
      </c>
      <c r="O13" s="4">
        <f>'תקציב הנדסה 2021'!O26</f>
        <v>1450000</v>
      </c>
      <c r="P13" s="4">
        <f>'תקציב הנדסה 2021'!P26</f>
        <v>378856</v>
      </c>
      <c r="Q13" s="4">
        <f>'תקציב הנדסה 2021'!Q26</f>
        <v>0</v>
      </c>
      <c r="R13" s="4">
        <f>'תקציב הנדסה 2021'!R26</f>
        <v>0</v>
      </c>
      <c r="S13" s="4">
        <f>'תקציב הנדסה 2021'!S26</f>
        <v>0</v>
      </c>
      <c r="T13" s="4">
        <f>'תקציב הנדסה 2021'!T26</f>
        <v>350000</v>
      </c>
      <c r="U13" s="4">
        <f>'תקציב הנדסה 2021'!U26</f>
        <v>350000</v>
      </c>
      <c r="V13" s="4">
        <f>'תקציב הנדסה 2021'!V26</f>
        <v>350000</v>
      </c>
      <c r="W13" s="4">
        <f>'תקציב הנדסה 2021'!W26</f>
        <v>0</v>
      </c>
      <c r="X13" s="4">
        <f>'תקציב הנדסה 2021'!X26</f>
        <v>0</v>
      </c>
      <c r="Y13" s="4">
        <f>'תקציב הנדסה 2021'!Y26</f>
        <v>0</v>
      </c>
      <c r="Z13" s="4">
        <f>'תקציב הנדסה 2021'!Z26</f>
        <v>0</v>
      </c>
      <c r="AA13" s="4">
        <f>'תקציב הנדסה 2021'!AA26</f>
        <v>0</v>
      </c>
      <c r="AB13" s="280" t="str">
        <f>'תקציב הנדסה 2021'!AB26</f>
        <v>תכנון התחדשות עירונית ביד התשעה במסגרת תוכנית כללית/תוכניות מתחמיות.</v>
      </c>
      <c r="AC13" s="3">
        <f>'תקציב הנדסה 2021'!AC26</f>
        <v>732000</v>
      </c>
      <c r="AD13" s="387"/>
      <c r="AE13" s="387"/>
      <c r="AF13" s="387"/>
    </row>
    <row r="14" spans="1:32" s="5" customFormat="1" ht="56">
      <c r="A14" s="3">
        <f t="shared" si="0"/>
        <v>10</v>
      </c>
      <c r="B14" s="3">
        <f>'תקציב הנדסה 2021'!B28</f>
        <v>1551</v>
      </c>
      <c r="C14" s="280" t="str">
        <f>'תקציב הנדסה 2021'!C28</f>
        <v>צפון הרצליה הר' 2035</v>
      </c>
      <c r="D14" s="4">
        <f>'תקציב הנדסה 2021'!D28</f>
        <v>525240</v>
      </c>
      <c r="E14" s="4">
        <f>'תקציב הנדסה 2021'!E28</f>
        <v>525240</v>
      </c>
      <c r="F14" s="4">
        <f>'תקציב הנדסה 2021'!F28</f>
        <v>0</v>
      </c>
      <c r="G14" s="4">
        <f>'תקציב הנדסה 2021'!G28</f>
        <v>375240</v>
      </c>
      <c r="H14" s="4">
        <f>'תקציב הנדסה 2021'!H28</f>
        <v>225965</v>
      </c>
      <c r="I14" s="4">
        <f>'תקציב הנדסה 2021'!I28</f>
        <v>18729</v>
      </c>
      <c r="J14" s="4">
        <f>'תקציב הנדסה 2021'!J28</f>
        <v>0</v>
      </c>
      <c r="K14" s="4">
        <f>'תקציב הנדסה 2021'!K28</f>
        <v>18729</v>
      </c>
      <c r="L14" s="4">
        <f>'תקציב הנדסה 2021'!L28</f>
        <v>244694</v>
      </c>
      <c r="M14" s="4">
        <f>'תקציב הנדסה 2021'!M28</f>
        <v>546</v>
      </c>
      <c r="N14" s="4">
        <f>'תקציב הנדסה 2021'!N28</f>
        <v>200000</v>
      </c>
      <c r="O14" s="4">
        <f>'תקציב הנדסה 2021'!O28</f>
        <v>80000</v>
      </c>
      <c r="P14" s="4">
        <f>'תקציב הנדסה 2021'!P28</f>
        <v>130546</v>
      </c>
      <c r="Q14" s="4">
        <f>'תקציב הנדסה 2021'!Q28</f>
        <v>0</v>
      </c>
      <c r="R14" s="4">
        <f>'תקציב הנדסה 2021'!R28</f>
        <v>0</v>
      </c>
      <c r="S14" s="4">
        <f>'תקציב הנדסה 2021'!S28</f>
        <v>0</v>
      </c>
      <c r="T14" s="4">
        <f>'תקציב הנדסה 2021'!T28</f>
        <v>130000</v>
      </c>
      <c r="U14" s="4">
        <f>'תקציב הנדסה 2021'!U28</f>
        <v>70000</v>
      </c>
      <c r="V14" s="4">
        <f>'תקציב הנדסה 2021'!V28</f>
        <v>70000</v>
      </c>
      <c r="W14" s="4">
        <f>'תקציב הנדסה 2021'!W28</f>
        <v>0</v>
      </c>
      <c r="X14" s="4">
        <f>'תקציב הנדסה 2021'!X28</f>
        <v>0</v>
      </c>
      <c r="Y14" s="4">
        <f>'תקציב הנדסה 2021'!Y28</f>
        <v>0</v>
      </c>
      <c r="Z14" s="4">
        <f>'תקציב הנדסה 2021'!Z28</f>
        <v>0</v>
      </c>
      <c r="AA14" s="4">
        <f>'תקציב הנדסה 2021'!AA28</f>
        <v>0</v>
      </c>
      <c r="AB14" s="280" t="str">
        <f>'תקציב הנדסה 2021'!AB28</f>
        <v xml:space="preserve">הכנת חוו"ד תכנונית והערכות להתנגדות לתוכנית שמקדם מינהל התכנון והועדה המחוזית לכל צפון הרצליה ללא שיתוף העירייה. </v>
      </c>
      <c r="AC14" s="3">
        <f>'תקציב הנדסה 2021'!AC28</f>
        <v>732000</v>
      </c>
      <c r="AD14" s="387"/>
      <c r="AE14" s="387"/>
      <c r="AF14" s="387"/>
    </row>
    <row r="15" spans="1:32" s="6" customFormat="1" ht="28">
      <c r="A15" s="3">
        <f t="shared" si="0"/>
        <v>11</v>
      </c>
      <c r="B15" s="3">
        <f>'תקציב הנדסה 2021'!B30</f>
        <v>1576</v>
      </c>
      <c r="C15" s="280" t="str">
        <f>'תקציב הנדסה 2021'!C30</f>
        <v>הוצאות אכיפה-דירות נופש במרינה</v>
      </c>
      <c r="D15" s="4">
        <f>'תקציב הנדסה 2021'!D30</f>
        <v>1000000</v>
      </c>
      <c r="E15" s="4">
        <f>'תקציב הנדסה 2021'!E30</f>
        <v>1000000</v>
      </c>
      <c r="F15" s="4">
        <f>'תקציב הנדסה 2021'!F30</f>
        <v>0</v>
      </c>
      <c r="G15" s="4">
        <f>'תקציב הנדסה 2021'!G30</f>
        <v>450000</v>
      </c>
      <c r="H15" s="4">
        <f>'תקציב הנדסה 2021'!H30</f>
        <v>372800</v>
      </c>
      <c r="I15" s="4">
        <f>'תקציב הנדסה 2021'!I30</f>
        <v>25973</v>
      </c>
      <c r="J15" s="4">
        <f>'תקציב הנדסה 2021'!J30</f>
        <v>0</v>
      </c>
      <c r="K15" s="4">
        <f>'תקציב הנדסה 2021'!K30</f>
        <v>25973</v>
      </c>
      <c r="L15" s="4">
        <f>'תקציב הנדסה 2021'!L30</f>
        <v>398773</v>
      </c>
      <c r="M15" s="4">
        <f>'תקציב הנדסה 2021'!M30</f>
        <v>1227</v>
      </c>
      <c r="N15" s="4">
        <f>'תקציב הנדסה 2021'!N30</f>
        <v>50000</v>
      </c>
      <c r="O15" s="4">
        <f>'תקציב הנדסה 2021'!O30</f>
        <v>550000</v>
      </c>
      <c r="P15" s="4">
        <f>'תקציב הנדסה 2021'!P30</f>
        <v>51227</v>
      </c>
      <c r="Q15" s="4">
        <f>'תקציב הנדסה 2021'!Q30</f>
        <v>0</v>
      </c>
      <c r="R15" s="4">
        <f>'תקציב הנדסה 2021'!R30</f>
        <v>0</v>
      </c>
      <c r="S15" s="4">
        <f>'תקציב הנדסה 2021'!S30</f>
        <v>0</v>
      </c>
      <c r="T15" s="4">
        <f>'תקציב הנדסה 2021'!T30</f>
        <v>50000</v>
      </c>
      <c r="U15" s="4">
        <f>'תקציב הנדסה 2021'!U30</f>
        <v>0</v>
      </c>
      <c r="V15" s="4">
        <f>'תקציב הנדסה 2021'!V30</f>
        <v>0</v>
      </c>
      <c r="W15" s="4">
        <f>'תקציב הנדסה 2021'!W30</f>
        <v>0</v>
      </c>
      <c r="X15" s="4">
        <f>'תקציב הנדסה 2021'!X30</f>
        <v>0</v>
      </c>
      <c r="Y15" s="4">
        <f>'תקציב הנדסה 2021'!Y30</f>
        <v>0</v>
      </c>
      <c r="Z15" s="4">
        <f>'תקציב הנדסה 2021'!Z30</f>
        <v>0</v>
      </c>
      <c r="AA15" s="4">
        <f>'תקציב הנדסה 2021'!AA30</f>
        <v>0</v>
      </c>
      <c r="AB15" s="280" t="str">
        <f>'תקציב הנדסה 2021'!AB30</f>
        <v>עלויות אכיפה צווי בית משפט במרינה.</v>
      </c>
      <c r="AC15" s="3">
        <f>'תקציב הנדסה 2021'!AC30</f>
        <v>732000</v>
      </c>
      <c r="AD15" s="387"/>
      <c r="AE15" s="387"/>
      <c r="AF15" s="387"/>
    </row>
    <row r="16" spans="1:32" s="5" customFormat="1" ht="42">
      <c r="A16" s="3">
        <f t="shared" si="0"/>
        <v>12</v>
      </c>
      <c r="B16" s="3">
        <f>'תקציב הנדסה 2021'!B34</f>
        <v>1620</v>
      </c>
      <c r="C16" s="280" t="str">
        <f>'תקציב הנדסה 2021'!C34</f>
        <v xml:space="preserve"> תכנון חיבוריות בין מזרח למערב </v>
      </c>
      <c r="D16" s="4">
        <f>'תקציב הנדסה 2021'!D34</f>
        <v>1000000</v>
      </c>
      <c r="E16" s="4">
        <f>'תקציב הנדסה 2021'!E34</f>
        <v>1000000</v>
      </c>
      <c r="F16" s="4">
        <f>'תקציב הנדסה 2021'!F34</f>
        <v>0</v>
      </c>
      <c r="G16" s="4">
        <f>'תקציב הנדסה 2021'!G34</f>
        <v>300000</v>
      </c>
      <c r="H16" s="4">
        <f>'תקציב הנדסה 2021'!H34</f>
        <v>0</v>
      </c>
      <c r="I16" s="4">
        <f>'תקציב הנדסה 2021'!I34</f>
        <v>0</v>
      </c>
      <c r="J16" s="4">
        <f>'תקציב הנדסה 2021'!J34</f>
        <v>0</v>
      </c>
      <c r="K16" s="4">
        <f>'תקציב הנדסה 2021'!K34</f>
        <v>0</v>
      </c>
      <c r="L16" s="4">
        <f>'תקציב הנדסה 2021'!L34</f>
        <v>0</v>
      </c>
      <c r="M16" s="4">
        <f>'תקציב הנדסה 2021'!M34</f>
        <v>0</v>
      </c>
      <c r="N16" s="4">
        <f>'תקציב הנדסה 2021'!N34</f>
        <v>300000</v>
      </c>
      <c r="O16" s="4">
        <f>'תקציב הנדסה 2021'!O34</f>
        <v>700000</v>
      </c>
      <c r="P16" s="4">
        <f>'תקציב הנדסה 2021'!P34</f>
        <v>300000</v>
      </c>
      <c r="Q16" s="4">
        <f>'תקציב הנדסה 2021'!Q34</f>
        <v>0</v>
      </c>
      <c r="R16" s="4">
        <f>'תקציב הנדסה 2021'!R34</f>
        <v>0</v>
      </c>
      <c r="S16" s="4">
        <f>'תקציב הנדסה 2021'!S34</f>
        <v>0</v>
      </c>
      <c r="T16" s="4">
        <f>'תקציב הנדסה 2021'!T34</f>
        <v>300000</v>
      </c>
      <c r="U16" s="4">
        <f>'תקציב הנדסה 2021'!U34</f>
        <v>0</v>
      </c>
      <c r="V16" s="4">
        <f>'תקציב הנדסה 2021'!V34</f>
        <v>0</v>
      </c>
      <c r="W16" s="4">
        <f>'תקציב הנדסה 2021'!W34</f>
        <v>0</v>
      </c>
      <c r="X16" s="4">
        <f>'תקציב הנדסה 2021'!X34</f>
        <v>0</v>
      </c>
      <c r="Y16" s="4">
        <f>'תקציב הנדסה 2021'!Y34</f>
        <v>0</v>
      </c>
      <c r="Z16" s="4">
        <f>'תקציב הנדסה 2021'!Z34</f>
        <v>0</v>
      </c>
      <c r="AA16" s="4">
        <f>'תקציב הנדסה 2021'!AA34</f>
        <v>0</v>
      </c>
      <c r="AB16" s="280" t="str">
        <f>'תקציב הנדסה 2021'!AB34</f>
        <v>תכנון כולל לסוגיית חיזוק הקשר בין מזרח העיר למערבה באמצעות תוספות של גשרים להולכי רגל ורכב דו גלגלי.</v>
      </c>
      <c r="AC16" s="3">
        <f>'תקציב הנדסה 2021'!AC34</f>
        <v>732000</v>
      </c>
      <c r="AD16" s="387"/>
      <c r="AE16" s="387"/>
      <c r="AF16" s="387"/>
    </row>
    <row r="17" spans="1:32" s="5" customFormat="1" ht="42">
      <c r="A17" s="3">
        <f t="shared" si="0"/>
        <v>13</v>
      </c>
      <c r="B17" s="3">
        <f>'תקציב הנדסה 2021'!B35</f>
        <v>1660</v>
      </c>
      <c r="C17" s="280" t="str">
        <f>'תקציב הנדסה 2021'!C35</f>
        <v>תכנון פרויקטים פינוי בינוי</v>
      </c>
      <c r="D17" s="4">
        <f>'תקציב הנדסה 2021'!D35</f>
        <v>2000000</v>
      </c>
      <c r="E17" s="4">
        <f>'תקציב הנדסה 2021'!E35</f>
        <v>2000000</v>
      </c>
      <c r="F17" s="4">
        <f>'תקציב הנדסה 2021'!F35</f>
        <v>0</v>
      </c>
      <c r="G17" s="4">
        <f>'תקציב הנדסה 2021'!G35</f>
        <v>1100000</v>
      </c>
      <c r="H17" s="4">
        <f>'תקציב הנדסה 2021'!H35</f>
        <v>126220</v>
      </c>
      <c r="I17" s="4">
        <f>'תקציב הנדסה 2021'!I35</f>
        <v>345150</v>
      </c>
      <c r="J17" s="4">
        <f>'תקציב הנדסה 2021'!J35</f>
        <v>9966</v>
      </c>
      <c r="K17" s="4">
        <f>'תקציב הנדסה 2021'!K35</f>
        <v>355116</v>
      </c>
      <c r="L17" s="4">
        <f>'תקציב הנדסה 2021'!L35</f>
        <v>481336</v>
      </c>
      <c r="M17" s="4">
        <f>'תקציב הנדסה 2021'!M35</f>
        <v>18664</v>
      </c>
      <c r="N17" s="4">
        <f>'תקציב הנדסה 2021'!N35</f>
        <v>800000</v>
      </c>
      <c r="O17" s="4">
        <f>'תקציב הנדסה 2021'!O35</f>
        <v>700000</v>
      </c>
      <c r="P17" s="4">
        <f>'תקציב הנדסה 2021'!P35</f>
        <v>618664</v>
      </c>
      <c r="Q17" s="4">
        <f>'תקציב הנדסה 2021'!Q35</f>
        <v>0</v>
      </c>
      <c r="R17" s="4">
        <f>'תקציב הנדסה 2021'!R35</f>
        <v>0</v>
      </c>
      <c r="S17" s="4">
        <f>'תקציב הנדסה 2021'!S35</f>
        <v>0</v>
      </c>
      <c r="T17" s="4">
        <f>'תקציב הנדסה 2021'!T35</f>
        <v>600000</v>
      </c>
      <c r="U17" s="4">
        <f>'תקציב הנדסה 2021'!U35</f>
        <v>200000</v>
      </c>
      <c r="V17" s="4">
        <f>'תקציב הנדסה 2021'!V35</f>
        <v>200000</v>
      </c>
      <c r="W17" s="4">
        <f>'תקציב הנדסה 2021'!W35</f>
        <v>0</v>
      </c>
      <c r="X17" s="4">
        <f>'תקציב הנדסה 2021'!X35</f>
        <v>0</v>
      </c>
      <c r="Y17" s="4">
        <f>'תקציב הנדסה 2021'!Y35</f>
        <v>0</v>
      </c>
      <c r="Z17" s="4">
        <f>'תקציב הנדסה 2021'!Z35</f>
        <v>0</v>
      </c>
      <c r="AA17" s="4">
        <f>'תקציב הנדסה 2021'!AA35</f>
        <v>0</v>
      </c>
      <c r="AB17" s="280" t="str">
        <f>'תקציב הנדסה 2021'!AB35</f>
        <v>בדיקת התכנות של מתחמי פינוי בינוי ותכנון פרויקטים להתחדשות עירונית ופינוי בינוי. איחוד עם תב"ר 1674.</v>
      </c>
      <c r="AC17" s="3">
        <f>'תקציב הנדסה 2021'!AC35</f>
        <v>732000</v>
      </c>
      <c r="AD17" s="387"/>
      <c r="AE17" s="387"/>
      <c r="AF17" s="387"/>
    </row>
    <row r="18" spans="1:32" s="5" customFormat="1" ht="42">
      <c r="A18" s="3">
        <f t="shared" si="0"/>
        <v>14</v>
      </c>
      <c r="B18" s="3">
        <f>'תקציב הנדסה 2021'!B37</f>
        <v>1674</v>
      </c>
      <c r="C18" s="280" t="str">
        <f>'תקציב הנדסה 2021'!C37</f>
        <v>התחדשות עירונית</v>
      </c>
      <c r="D18" s="4">
        <f>'תקציב הנדסה 2021'!D37</f>
        <v>1800000</v>
      </c>
      <c r="E18" s="4">
        <f>'תקציב הנדסה 2021'!E37</f>
        <v>2300000</v>
      </c>
      <c r="F18" s="4">
        <f>'תקציב הנדסה 2021'!F37</f>
        <v>-500000</v>
      </c>
      <c r="G18" s="4">
        <f>'תקציב הנדסה 2021'!G37</f>
        <v>2300000</v>
      </c>
      <c r="H18" s="4">
        <f>'תקציב הנדסה 2021'!H37</f>
        <v>1565978</v>
      </c>
      <c r="I18" s="4">
        <f>'תקציב הנדסה 2021'!I37</f>
        <v>127422</v>
      </c>
      <c r="J18" s="4">
        <f>'תקציב הנדסה 2021'!J37</f>
        <v>88003</v>
      </c>
      <c r="K18" s="4">
        <f>'תקציב הנדסה 2021'!K37</f>
        <v>215425</v>
      </c>
      <c r="L18" s="4">
        <f>'תקציב הנדסה 2021'!L37</f>
        <v>1781403</v>
      </c>
      <c r="M18" s="4">
        <f>'תקציב הנדסה 2021'!M37</f>
        <v>18597</v>
      </c>
      <c r="N18" s="4">
        <f>'תקציב הנדסה 2021'!N37</f>
        <v>0</v>
      </c>
      <c r="O18" s="4">
        <f>'תקציב הנדסה 2021'!O37</f>
        <v>0</v>
      </c>
      <c r="P18" s="4">
        <f>'תקציב הנדסה 2021'!P37</f>
        <v>518597</v>
      </c>
      <c r="Q18" s="4">
        <f>'תקציב הנדסה 2021'!Q37</f>
        <v>0</v>
      </c>
      <c r="R18" s="4">
        <f>'תקציב הנדסה 2021'!R37</f>
        <v>0</v>
      </c>
      <c r="S18" s="4">
        <f>'תקציב הנדסה 2021'!S37</f>
        <v>0</v>
      </c>
      <c r="T18" s="4">
        <f>'תקציב הנדסה 2021'!T37</f>
        <v>500000</v>
      </c>
      <c r="U18" s="4">
        <f>'תקציב הנדסה 2021'!U37</f>
        <v>-500000</v>
      </c>
      <c r="V18" s="4">
        <f>'תקציב הנדסה 2021'!V37</f>
        <v>-500000</v>
      </c>
      <c r="W18" s="4">
        <f>'תקציב הנדסה 2021'!W37</f>
        <v>0</v>
      </c>
      <c r="X18" s="4">
        <f>'תקציב הנדסה 2021'!X37</f>
        <v>0</v>
      </c>
      <c r="Y18" s="4">
        <f>'תקציב הנדסה 2021'!Y37</f>
        <v>0</v>
      </c>
      <c r="Z18" s="4">
        <f>'תקציב הנדסה 2021'!Z37</f>
        <v>0</v>
      </c>
      <c r="AA18" s="4">
        <f>'תקציב הנדסה 2021'!AA37</f>
        <v>0</v>
      </c>
      <c r="AB18" s="280" t="str">
        <f>'תקציב הנדסה 2021'!AB37</f>
        <v>בדיקת התכנות טרם קביעת ותוך כדי בחינת מתחמי פינוי בינוי. ראה תב"ר 1660.</v>
      </c>
      <c r="AC18" s="3">
        <f>'תקציב הנדסה 2021'!AC37</f>
        <v>732000</v>
      </c>
      <c r="AD18" s="387"/>
      <c r="AE18" s="387"/>
      <c r="AF18" s="387"/>
    </row>
    <row r="19" spans="1:32" s="6" customFormat="1" ht="42">
      <c r="A19" s="3">
        <f t="shared" si="0"/>
        <v>15</v>
      </c>
      <c r="B19" s="3">
        <f>'תקציב הנדסה 2021'!B38</f>
        <v>1692</v>
      </c>
      <c r="C19" s="280" t="str">
        <f>'תקציב הנדסה 2021'!C38</f>
        <v>פינוי בינוי מעונות שרה</v>
      </c>
      <c r="D19" s="4">
        <f>'תקציב הנדסה 2021'!D38</f>
        <v>2450000</v>
      </c>
      <c r="E19" s="4">
        <f>'תקציב הנדסה 2021'!E38</f>
        <v>2450000</v>
      </c>
      <c r="F19" s="4">
        <f>'תקציב הנדסה 2021'!F38</f>
        <v>0</v>
      </c>
      <c r="G19" s="4">
        <f>'תקציב הנדסה 2021'!G38</f>
        <v>1746509</v>
      </c>
      <c r="H19" s="4">
        <f>'תקציב הנדסה 2021'!H38</f>
        <v>578671</v>
      </c>
      <c r="I19" s="4">
        <f>'תקציב הנדסה 2021'!I38</f>
        <v>128716</v>
      </c>
      <c r="J19" s="4">
        <f>'תקציב הנדסה 2021'!J38</f>
        <v>0</v>
      </c>
      <c r="K19" s="4">
        <f>'תקציב הנדסה 2021'!K38</f>
        <v>128716</v>
      </c>
      <c r="L19" s="4">
        <f>'תקציב הנדסה 2021'!L38</f>
        <v>707387</v>
      </c>
      <c r="M19" s="4">
        <f>'תקציב הנדסה 2021'!M38</f>
        <v>1039122</v>
      </c>
      <c r="N19" s="4">
        <f>'תקציב הנדסה 2021'!N38</f>
        <v>0</v>
      </c>
      <c r="O19" s="4">
        <f>'תקציב הנדסה 2021'!O38</f>
        <v>703491</v>
      </c>
      <c r="P19" s="4">
        <f>'תקציב הנדסה 2021'!P38</f>
        <v>1039122</v>
      </c>
      <c r="Q19" s="4">
        <f>'תקציב הנדסה 2021'!Q38</f>
        <v>0</v>
      </c>
      <c r="R19" s="4">
        <f>'תקציב הנדסה 2021'!R38</f>
        <v>0</v>
      </c>
      <c r="S19" s="4">
        <f>'תקציב הנדסה 2021'!S38</f>
        <v>0</v>
      </c>
      <c r="T19" s="4">
        <f>'תקציב הנדסה 2021'!T38</f>
        <v>0</v>
      </c>
      <c r="U19" s="4">
        <f>'תקציב הנדסה 2021'!U38</f>
        <v>0</v>
      </c>
      <c r="V19" s="4">
        <f>'תקציב הנדסה 2021'!V38</f>
        <v>0</v>
      </c>
      <c r="W19" s="4">
        <f>'תקציב הנדסה 2021'!W38</f>
        <v>0</v>
      </c>
      <c r="X19" s="4">
        <f>'תקציב הנדסה 2021'!X38</f>
        <v>0</v>
      </c>
      <c r="Y19" s="4">
        <f>'תקציב הנדסה 2021'!Y38</f>
        <v>0</v>
      </c>
      <c r="Z19" s="4">
        <f>'תקציב הנדסה 2021'!Z38</f>
        <v>0</v>
      </c>
      <c r="AA19" s="4">
        <f>'תקציב הנדסה 2021'!AA38</f>
        <v>0</v>
      </c>
      <c r="AB19" s="280" t="str">
        <f>'תקציב הנדסה 2021'!AB38</f>
        <v>תכנון מתחם מעונות שרה לפינוי ובינוי.התוכנית בשלב סטוטורי מתקדם - בשלב הפקדה. מימון מ. הבינוי.</v>
      </c>
      <c r="AC19" s="3">
        <f>'תקציב הנדסה 2021'!AC38</f>
        <v>732000</v>
      </c>
      <c r="AD19" s="387"/>
      <c r="AE19" s="387"/>
      <c r="AF19" s="387"/>
    </row>
    <row r="20" spans="1:32" s="6" customFormat="1" ht="40.25" customHeight="1">
      <c r="A20" s="3">
        <f t="shared" si="0"/>
        <v>16</v>
      </c>
      <c r="B20" s="3">
        <f>'תקציב הנדסה 2021'!B39</f>
        <v>1693</v>
      </c>
      <c r="C20" s="280" t="str">
        <f>'תקציב הנדסה 2021'!C39</f>
        <v xml:space="preserve">פינוי בינוי צומת כדורי </v>
      </c>
      <c r="D20" s="4">
        <f>'תקציב הנדסה 2021'!D39</f>
        <v>4500000</v>
      </c>
      <c r="E20" s="4">
        <f>'תקציב הנדסה 2021'!E39</f>
        <v>4500000</v>
      </c>
      <c r="F20" s="4">
        <f>'תקציב הנדסה 2021'!F39</f>
        <v>0</v>
      </c>
      <c r="G20" s="4">
        <f>'תקציב הנדסה 2021'!G39</f>
        <v>2235481</v>
      </c>
      <c r="H20" s="4">
        <f>'תקציב הנדסה 2021'!H39</f>
        <v>312539</v>
      </c>
      <c r="I20" s="4">
        <f>'תקציב הנדסה 2021'!I39</f>
        <v>48063</v>
      </c>
      <c r="J20" s="4">
        <f>'תקציב הנדסה 2021'!J39</f>
        <v>0</v>
      </c>
      <c r="K20" s="4">
        <f>'תקציב הנדסה 2021'!K39</f>
        <v>48063</v>
      </c>
      <c r="L20" s="4">
        <f>'תקציב הנדסה 2021'!L39</f>
        <v>360602</v>
      </c>
      <c r="M20" s="4">
        <f>'תקציב הנדסה 2021'!M39</f>
        <v>1874879</v>
      </c>
      <c r="N20" s="4">
        <f>'תקציב הנדסה 2021'!N39</f>
        <v>0</v>
      </c>
      <c r="O20" s="4">
        <f>'תקציב הנדסה 2021'!O39</f>
        <v>2264519</v>
      </c>
      <c r="P20" s="4">
        <f>'תקציב הנדסה 2021'!P39</f>
        <v>1874879</v>
      </c>
      <c r="Q20" s="4">
        <f>'תקציב הנדסה 2021'!Q39</f>
        <v>0</v>
      </c>
      <c r="R20" s="4">
        <f>'תקציב הנדסה 2021'!R39</f>
        <v>0</v>
      </c>
      <c r="S20" s="4">
        <f>'תקציב הנדסה 2021'!S39</f>
        <v>0</v>
      </c>
      <c r="T20" s="4">
        <f>'תקציב הנדסה 2021'!T39</f>
        <v>0</v>
      </c>
      <c r="U20" s="4">
        <f>'תקציב הנדסה 2021'!U39</f>
        <v>0</v>
      </c>
      <c r="V20" s="4">
        <f>'תקציב הנדסה 2021'!V39</f>
        <v>0</v>
      </c>
      <c r="W20" s="4">
        <f>'תקציב הנדסה 2021'!W39</f>
        <v>0</v>
      </c>
      <c r="X20" s="4">
        <f>'תקציב הנדסה 2021'!X39</f>
        <v>0</v>
      </c>
      <c r="Y20" s="4">
        <f>'תקציב הנדסה 2021'!Y39</f>
        <v>0</v>
      </c>
      <c r="Z20" s="4">
        <f>'תקציב הנדסה 2021'!Z39</f>
        <v>0</v>
      </c>
      <c r="AA20" s="4">
        <f>'תקציב הנדסה 2021'!AA39</f>
        <v>0</v>
      </c>
      <c r="AB20" s="280" t="str">
        <f>'תקציב הנדסה 2021'!AB39</f>
        <v>תכנון מתחם צומת כדורי לפינוי ובינוי.התוכנית בשלב של הנעת התכנון לשלבים סטטוטוריים.מימון מ. הבינוי.</v>
      </c>
      <c r="AC20" s="3">
        <f>'תקציב הנדסה 2021'!AC39</f>
        <v>732000</v>
      </c>
      <c r="AD20" s="387"/>
      <c r="AE20" s="387"/>
      <c r="AF20" s="387"/>
    </row>
    <row r="21" spans="1:32" s="6" customFormat="1" ht="42">
      <c r="A21" s="3">
        <f t="shared" si="0"/>
        <v>17</v>
      </c>
      <c r="B21" s="3">
        <f>'תקציב הנדסה 2021'!B40</f>
        <v>1701</v>
      </c>
      <c r="C21" s="280" t="str">
        <f>'תקציב הנדסה 2021'!C40</f>
        <v>תב"ע הר' 2394 (לשעבר הר  2159 )</v>
      </c>
      <c r="D21" s="4">
        <f>'תקציב הנדסה 2021'!D40</f>
        <v>1250000</v>
      </c>
      <c r="E21" s="4">
        <f>'תקציב הנדסה 2021'!E40</f>
        <v>1250000</v>
      </c>
      <c r="F21" s="4">
        <f>'תקציב הנדסה 2021'!F40</f>
        <v>0</v>
      </c>
      <c r="G21" s="4">
        <f>'תקציב הנדסה 2021'!G40</f>
        <v>570000</v>
      </c>
      <c r="H21" s="4">
        <f>'תקציב הנדסה 2021'!H40</f>
        <v>149316</v>
      </c>
      <c r="I21" s="4">
        <f>'תקציב הנדסה 2021'!I40</f>
        <v>75117</v>
      </c>
      <c r="J21" s="4">
        <f>'תקציב הנדסה 2021'!J40</f>
        <v>263559</v>
      </c>
      <c r="K21" s="4">
        <f>'תקציב הנדסה 2021'!K40</f>
        <v>338676</v>
      </c>
      <c r="L21" s="4">
        <f>'תקציב הנדסה 2021'!L40</f>
        <v>487992</v>
      </c>
      <c r="M21" s="4">
        <f>'תקציב הנדסה 2021'!M40</f>
        <v>32008</v>
      </c>
      <c r="N21" s="4">
        <f>'תקציב הנדסה 2021'!N40</f>
        <v>200000</v>
      </c>
      <c r="O21" s="4">
        <f>'תקציב הנדסה 2021'!O40</f>
        <v>530000</v>
      </c>
      <c r="P21" s="4">
        <f>'תקציב הנדסה 2021'!P40</f>
        <v>82008</v>
      </c>
      <c r="Q21" s="4">
        <f>'תקציב הנדסה 2021'!Q40</f>
        <v>0</v>
      </c>
      <c r="R21" s="4">
        <f>'תקציב הנדסה 2021'!R40</f>
        <v>0</v>
      </c>
      <c r="S21" s="4">
        <f>'תקציב הנדסה 2021'!S40</f>
        <v>0</v>
      </c>
      <c r="T21" s="4">
        <f>'תקציב הנדסה 2021'!T40</f>
        <v>50000</v>
      </c>
      <c r="U21" s="4">
        <f>'תקציב הנדסה 2021'!U40</f>
        <v>150000</v>
      </c>
      <c r="V21" s="4">
        <f>'תקציב הנדסה 2021'!V40</f>
        <v>150000</v>
      </c>
      <c r="W21" s="4">
        <f>'תקציב הנדסה 2021'!W40</f>
        <v>0</v>
      </c>
      <c r="X21" s="4">
        <f>'תקציב הנדסה 2021'!X40</f>
        <v>0</v>
      </c>
      <c r="Y21" s="4">
        <f>'תקציב הנדסה 2021'!Y40</f>
        <v>0</v>
      </c>
      <c r="Z21" s="4">
        <f>'תקציב הנדסה 2021'!Z40</f>
        <v>0</v>
      </c>
      <c r="AA21" s="4">
        <f>'תקציב הנדסה 2021'!AA40</f>
        <v>0</v>
      </c>
      <c r="AB21" s="280" t="str">
        <f>'תקציב הנדסה 2021'!AB40</f>
        <v xml:space="preserve">תכנון תב"ע לשכונה חדשה בהרצליה הצעירה. שטח בגודל של כ - 50 דונם , כ - 300 יח"ד. </v>
      </c>
      <c r="AC21" s="3">
        <f>'תקציב הנדסה 2021'!AC40</f>
        <v>732000</v>
      </c>
      <c r="AD21" s="387"/>
      <c r="AE21" s="387"/>
      <c r="AF21" s="387"/>
    </row>
    <row r="22" spans="1:32" s="5" customFormat="1" ht="70">
      <c r="A22" s="3">
        <f t="shared" si="0"/>
        <v>18</v>
      </c>
      <c r="B22" s="3">
        <f>'תקציב הנדסה 2021'!B43</f>
        <v>1756</v>
      </c>
      <c r="C22" s="280" t="str">
        <f>'תקציב הנדסה 2021'!C43</f>
        <v xml:space="preserve">מסמכי מדיניות  ותוכניות אסטרטגיות להתחדשות עירונית בשכונות </v>
      </c>
      <c r="D22" s="4">
        <f>'תקציב הנדסה 2021'!D43</f>
        <v>1700000</v>
      </c>
      <c r="E22" s="4">
        <f>'תקציב הנדסה 2021'!E43</f>
        <v>1400000</v>
      </c>
      <c r="F22" s="4">
        <f>'תקציב הנדסה 2021'!F43</f>
        <v>300000</v>
      </c>
      <c r="G22" s="4">
        <f>'תקציב הנדסה 2021'!G43</f>
        <v>1100000</v>
      </c>
      <c r="H22" s="4">
        <f>'תקציב הנדסה 2021'!H43</f>
        <v>239672</v>
      </c>
      <c r="I22" s="4">
        <f>'תקציב הנדסה 2021'!I43</f>
        <v>173160</v>
      </c>
      <c r="J22" s="4">
        <f>'תקציב הנדסה 2021'!J43</f>
        <v>44604</v>
      </c>
      <c r="K22" s="4">
        <f>'תקציב הנדסה 2021'!K43</f>
        <v>217764</v>
      </c>
      <c r="L22" s="4">
        <f>'תקציב הנדסה 2021'!L43</f>
        <v>457436</v>
      </c>
      <c r="M22" s="4">
        <f>'תקציב הנדסה 2021'!M43</f>
        <v>42564</v>
      </c>
      <c r="N22" s="4">
        <f>'תקציב הנדסה 2021'!N43</f>
        <v>900000</v>
      </c>
      <c r="O22" s="4">
        <f>'תקציב הנדסה 2021'!O43</f>
        <v>300000</v>
      </c>
      <c r="P22" s="4">
        <f>'תקציב הנדסה 2021'!P43</f>
        <v>642564</v>
      </c>
      <c r="Q22" s="4">
        <f>'תקציב הנדסה 2021'!Q43</f>
        <v>0</v>
      </c>
      <c r="R22" s="4">
        <f>'תקציב הנדסה 2021'!R43</f>
        <v>0</v>
      </c>
      <c r="S22" s="4">
        <f>'תקציב הנדסה 2021'!S43</f>
        <v>0</v>
      </c>
      <c r="T22" s="4">
        <f>'תקציב הנדסה 2021'!T43</f>
        <v>600000</v>
      </c>
      <c r="U22" s="4">
        <f>'תקציב הנדסה 2021'!U43</f>
        <v>300000</v>
      </c>
      <c r="V22" s="4">
        <f>'תקציב הנדסה 2021'!V43</f>
        <v>300000</v>
      </c>
      <c r="W22" s="4">
        <f>'תקציב הנדסה 2021'!W43</f>
        <v>0</v>
      </c>
      <c r="X22" s="4">
        <f>'תקציב הנדסה 2021'!X43</f>
        <v>0</v>
      </c>
      <c r="Y22" s="4">
        <f>'תקציב הנדסה 2021'!Y43</f>
        <v>0</v>
      </c>
      <c r="Z22" s="4">
        <f>'תקציב הנדסה 2021'!Z43</f>
        <v>0</v>
      </c>
      <c r="AA22" s="4">
        <f>'תקציב הנדסה 2021'!AA43</f>
        <v>0</v>
      </c>
      <c r="AB22" s="280" t="str">
        <f>'תקציב הנדסה 2021'!AB43</f>
        <v>הכנת מסמכי מדיניות להתחדשות עירונית בשכונות לגיבוש מדיניות לחידוש המרקם הקיים בשכונות. רח' הרב קוק  , רח' בן גוריון ,תוכנית הר/2213. איחוד עם תב"ר 1759.</v>
      </c>
      <c r="AC22" s="3">
        <f>'תקציב הנדסה 2021'!AC43</f>
        <v>732000</v>
      </c>
      <c r="AD22" s="387"/>
      <c r="AE22" s="387"/>
      <c r="AF22" s="387"/>
    </row>
    <row r="23" spans="1:32" s="5" customFormat="1" ht="70">
      <c r="A23" s="3">
        <f t="shared" si="0"/>
        <v>19</v>
      </c>
      <c r="B23" s="3">
        <f>'תקציב הנדסה 2021'!B44</f>
        <v>1759</v>
      </c>
      <c r="C23" s="280" t="str">
        <f>'תקציב הנדסה 2021'!C44</f>
        <v xml:space="preserve">תוכנית אסטרטגית להתייעלות עירונית במרכז העיר ובשכונות </v>
      </c>
      <c r="D23" s="4">
        <f>'תקציב הנדסה 2021'!D44</f>
        <v>500000</v>
      </c>
      <c r="E23" s="4">
        <f>'תקציב הנדסה 2021'!E44</f>
        <v>940000</v>
      </c>
      <c r="F23" s="4">
        <f>'תקציב הנדסה 2021'!F44</f>
        <v>-440000</v>
      </c>
      <c r="G23" s="4">
        <f>'תקציב הנדסה 2021'!G44</f>
        <v>540000</v>
      </c>
      <c r="H23" s="4">
        <f>'תקציב הנדסה 2021'!H44</f>
        <v>478660</v>
      </c>
      <c r="I23" s="4">
        <f>'תקציב הנדסה 2021'!I44</f>
        <v>0</v>
      </c>
      <c r="J23" s="4">
        <f>'תקציב הנדסה 2021'!J44</f>
        <v>17152</v>
      </c>
      <c r="K23" s="4">
        <f>'תקציב הנדסה 2021'!K44</f>
        <v>17152</v>
      </c>
      <c r="L23" s="4">
        <f>'תקציב הנדסה 2021'!L44</f>
        <v>495812</v>
      </c>
      <c r="M23" s="4">
        <f>'תקציב הנדסה 2021'!M44</f>
        <v>4188</v>
      </c>
      <c r="N23" s="4">
        <f>'תקציב הנדסה 2021'!N44</f>
        <v>0</v>
      </c>
      <c r="O23" s="4">
        <f>'תקציב הנדסה 2021'!O44</f>
        <v>0</v>
      </c>
      <c r="P23" s="4">
        <f>'תקציב הנדסה 2021'!P44</f>
        <v>44188</v>
      </c>
      <c r="Q23" s="4">
        <f>'תקציב הנדסה 2021'!Q44</f>
        <v>0</v>
      </c>
      <c r="R23" s="4">
        <f>'תקציב הנדסה 2021'!R44</f>
        <v>0</v>
      </c>
      <c r="S23" s="4">
        <f>'תקציב הנדסה 2021'!S44</f>
        <v>0</v>
      </c>
      <c r="T23" s="4">
        <f>'תקציב הנדסה 2021'!T44</f>
        <v>40000</v>
      </c>
      <c r="U23" s="4">
        <f>'תקציב הנדסה 2021'!U44</f>
        <v>-40000</v>
      </c>
      <c r="V23" s="4">
        <f>'תקציב הנדסה 2021'!V44</f>
        <v>-40000</v>
      </c>
      <c r="W23" s="4">
        <f>'תקציב הנדסה 2021'!W44</f>
        <v>0</v>
      </c>
      <c r="X23" s="4">
        <f>'תקציב הנדסה 2021'!X44</f>
        <v>0</v>
      </c>
      <c r="Y23" s="4">
        <f>'תקציב הנדסה 2021'!Y44</f>
        <v>0</v>
      </c>
      <c r="Z23" s="4">
        <f>'תקציב הנדסה 2021'!Z44</f>
        <v>0</v>
      </c>
      <c r="AA23" s="4">
        <f>'תקציב הנדסה 2021'!AA44</f>
        <v>0</v>
      </c>
      <c r="AB23" s="280" t="str">
        <f>'תקציב הנדסה 2021'!AB44</f>
        <v xml:space="preserve">תוכנית לצורך מידע מה וכמה ניתן לבנות  בהתאם לתשתיות הקיימות במרכז ותוכנית לבחינת הנדרש לאוכלוסיה בשכונות עפ"י תחזיות גידול האוכלוסיה. ראה תב"ר 1756. </v>
      </c>
      <c r="AC23" s="3">
        <f>'תקציב הנדסה 2021'!AC44</f>
        <v>732000</v>
      </c>
      <c r="AD23" s="387"/>
      <c r="AE23" s="387"/>
      <c r="AF23" s="387"/>
    </row>
    <row r="24" spans="1:32" s="5" customFormat="1" ht="42">
      <c r="A24" s="3">
        <f t="shared" si="0"/>
        <v>20</v>
      </c>
      <c r="B24" s="3">
        <f>'תקציב הנדסה 2021'!B45</f>
        <v>1760</v>
      </c>
      <c r="C24" s="280" t="str">
        <f>'תקציב הנדסה 2021'!C45</f>
        <v xml:space="preserve">תוכנית אסטרטגית באזהת"ש </v>
      </c>
      <c r="D24" s="4">
        <f>'תקציב הנדסה 2021'!D45</f>
        <v>900000</v>
      </c>
      <c r="E24" s="4">
        <f>'תקציב הנדסה 2021'!E45</f>
        <v>900000</v>
      </c>
      <c r="F24" s="4">
        <f>'תקציב הנדסה 2021'!F45</f>
        <v>0</v>
      </c>
      <c r="G24" s="4">
        <f>'תקציב הנדסה 2021'!G45</f>
        <v>300000</v>
      </c>
      <c r="H24" s="4">
        <f>'תקציב הנדסה 2021'!H45</f>
        <v>38898</v>
      </c>
      <c r="I24" s="4">
        <f>'תקציב הנדסה 2021'!I45</f>
        <v>0</v>
      </c>
      <c r="J24" s="4">
        <f>'תקציב הנדסה 2021'!J45</f>
        <v>1228</v>
      </c>
      <c r="K24" s="4">
        <f>'תקציב הנדסה 2021'!K45</f>
        <v>1228</v>
      </c>
      <c r="L24" s="4">
        <f>'תקציב הנדסה 2021'!L45</f>
        <v>40126</v>
      </c>
      <c r="M24" s="4">
        <f>'תקציב הנדסה 2021'!M45</f>
        <v>9874</v>
      </c>
      <c r="N24" s="4">
        <f>'תקציב הנדסה 2021'!N45</f>
        <v>250000</v>
      </c>
      <c r="O24" s="4">
        <f>'תקציב הנדסה 2021'!O45</f>
        <v>600000</v>
      </c>
      <c r="P24" s="4">
        <f>'תקציב הנדסה 2021'!P45</f>
        <v>259874</v>
      </c>
      <c r="Q24" s="4">
        <f>'תקציב הנדסה 2021'!Q45</f>
        <v>0</v>
      </c>
      <c r="R24" s="4">
        <f>'תקציב הנדסה 2021'!R45</f>
        <v>0</v>
      </c>
      <c r="S24" s="4">
        <f>'תקציב הנדסה 2021'!S45</f>
        <v>0</v>
      </c>
      <c r="T24" s="4">
        <f>'תקציב הנדסה 2021'!T45</f>
        <v>250000</v>
      </c>
      <c r="U24" s="4">
        <f>'תקציב הנדסה 2021'!U45</f>
        <v>0</v>
      </c>
      <c r="V24" s="4">
        <f>'תקציב הנדסה 2021'!V45</f>
        <v>0</v>
      </c>
      <c r="W24" s="4">
        <f>'תקציב הנדסה 2021'!W45</f>
        <v>0</v>
      </c>
      <c r="X24" s="4">
        <f>'תקציב הנדסה 2021'!X45</f>
        <v>0</v>
      </c>
      <c r="Y24" s="4">
        <f>'תקציב הנדסה 2021'!Y45</f>
        <v>0</v>
      </c>
      <c r="Z24" s="4">
        <f>'תקציב הנדסה 2021'!Z45</f>
        <v>0</v>
      </c>
      <c r="AA24" s="4">
        <f>'תקציב הנדסה 2021'!AA45</f>
        <v>0</v>
      </c>
      <c r="AB24" s="280" t="str">
        <f>'תקציב הנדסה 2021'!AB45</f>
        <v xml:space="preserve">בדיקת התכנות והכנת תב"עות של מתחמים מפוצלים בין מס' בעלים באיזהת"ש החשובים מבחינה ציבורית. </v>
      </c>
      <c r="AC24" s="3">
        <f>'תקציב הנדסה 2021'!AC45</f>
        <v>732000</v>
      </c>
      <c r="AD24" s="387"/>
      <c r="AE24" s="387"/>
      <c r="AF24" s="387"/>
    </row>
    <row r="25" spans="1:32" s="5" customFormat="1" ht="28">
      <c r="A25" s="3">
        <f t="shared" si="0"/>
        <v>21</v>
      </c>
      <c r="B25" s="3">
        <f>'תקציב הנדסה 2021'!B46</f>
        <v>1799</v>
      </c>
      <c r="C25" s="280" t="str">
        <f>'תקציב הנדסה 2021'!C46</f>
        <v>תב"ע קרית השחקים</v>
      </c>
      <c r="D25" s="4">
        <f>'תקציב הנדסה 2021'!D46</f>
        <v>1000000</v>
      </c>
      <c r="E25" s="4">
        <f>'תקציב הנדסה 2021'!E46</f>
        <v>1000000</v>
      </c>
      <c r="F25" s="4">
        <f>'תקציב הנדסה 2021'!F46</f>
        <v>0</v>
      </c>
      <c r="G25" s="4">
        <f>'תקציב הנדסה 2021'!G46</f>
        <v>350000</v>
      </c>
      <c r="H25" s="4">
        <f>'תקציב הנדסה 2021'!H46</f>
        <v>183189</v>
      </c>
      <c r="I25" s="4">
        <f>'תקציב הנדסה 2021'!I46</f>
        <v>32175</v>
      </c>
      <c r="J25" s="4">
        <f>'תקציב הנדסה 2021'!J46</f>
        <v>6426</v>
      </c>
      <c r="K25" s="4">
        <f>'תקציב הנדסה 2021'!K46</f>
        <v>38601</v>
      </c>
      <c r="L25" s="4">
        <f>'תקציב הנדסה 2021'!L46</f>
        <v>221790</v>
      </c>
      <c r="M25" s="4">
        <f>'תקציב הנדסה 2021'!M46</f>
        <v>28210</v>
      </c>
      <c r="N25" s="4">
        <f>'תקציב הנדסה 2021'!N46</f>
        <v>550000</v>
      </c>
      <c r="O25" s="4">
        <f>'תקציב הנדסה 2021'!O46</f>
        <v>200000</v>
      </c>
      <c r="P25" s="4">
        <f>'תקציב הנדסה 2021'!P46</f>
        <v>128210</v>
      </c>
      <c r="Q25" s="4">
        <f>'תקציב הנדסה 2021'!Q46</f>
        <v>0</v>
      </c>
      <c r="R25" s="4">
        <f>'תקציב הנדסה 2021'!R46</f>
        <v>0</v>
      </c>
      <c r="S25" s="4">
        <f>'תקציב הנדסה 2021'!S46</f>
        <v>0</v>
      </c>
      <c r="T25" s="4">
        <f>'תקציב הנדסה 2021'!T46</f>
        <v>100000</v>
      </c>
      <c r="U25" s="4">
        <f>'תקציב הנדסה 2021'!U46</f>
        <v>450000</v>
      </c>
      <c r="V25" s="4">
        <f>'תקציב הנדסה 2021'!V46</f>
        <v>450000</v>
      </c>
      <c r="W25" s="4">
        <f>'תקציב הנדסה 2021'!W46</f>
        <v>0</v>
      </c>
      <c r="X25" s="4">
        <f>'תקציב הנדסה 2021'!X46</f>
        <v>0</v>
      </c>
      <c r="Y25" s="4">
        <f>'תקציב הנדסה 2021'!Y46</f>
        <v>0</v>
      </c>
      <c r="Z25" s="4">
        <f>'תקציב הנדסה 2021'!Z46</f>
        <v>0</v>
      </c>
      <c r="AA25" s="4">
        <f>'תקציב הנדסה 2021'!AA46</f>
        <v>0</v>
      </c>
      <c r="AB25" s="280" t="str">
        <f>'תקציב הנדסה 2021'!AB46</f>
        <v xml:space="preserve">תכנון איזור תעשיה ושכונת מגורים במשולש התחבורה. מקודם בותמ"ל .  </v>
      </c>
      <c r="AC25" s="3">
        <f>'תקציב הנדסה 2021'!AC46</f>
        <v>732000</v>
      </c>
      <c r="AD25" s="387"/>
      <c r="AE25" s="387"/>
      <c r="AF25" s="387"/>
    </row>
    <row r="26" spans="1:32" s="5" customFormat="1" ht="28">
      <c r="A26" s="3">
        <f t="shared" si="0"/>
        <v>22</v>
      </c>
      <c r="B26" s="3">
        <f>'תקציב הנדסה 2021'!B48</f>
        <v>1811</v>
      </c>
      <c r="C26" s="280" t="str">
        <f>'תקציב הנדסה 2021'!C48</f>
        <v>תכנון דיור בן ציון מיכאלי</v>
      </c>
      <c r="D26" s="4">
        <f>'תקציב הנדסה 2021'!D48</f>
        <v>250000</v>
      </c>
      <c r="E26" s="4">
        <f>'תקציב הנדסה 2021'!E48</f>
        <v>250000</v>
      </c>
      <c r="F26" s="4">
        <f>'תקציב הנדסה 2021'!F48</f>
        <v>0</v>
      </c>
      <c r="G26" s="4">
        <f>'תקציב הנדסה 2021'!G48</f>
        <v>250000</v>
      </c>
      <c r="H26" s="4">
        <f>'תקציב הנדסה 2021'!H48</f>
        <v>0</v>
      </c>
      <c r="I26" s="4">
        <f>'תקציב הנדסה 2021'!I48</f>
        <v>0</v>
      </c>
      <c r="J26" s="4">
        <f>'תקציב הנדסה 2021'!J48</f>
        <v>0</v>
      </c>
      <c r="K26" s="4">
        <f>'תקציב הנדסה 2021'!K48</f>
        <v>0</v>
      </c>
      <c r="L26" s="4">
        <f>'תקציב הנדסה 2021'!L48</f>
        <v>0</v>
      </c>
      <c r="M26" s="4">
        <f>'תקציב הנדסה 2021'!M48</f>
        <v>250000</v>
      </c>
      <c r="N26" s="4">
        <f>'תקציב הנדסה 2021'!N48</f>
        <v>0</v>
      </c>
      <c r="O26" s="4">
        <f>'תקציב הנדסה 2021'!O48</f>
        <v>0</v>
      </c>
      <c r="P26" s="4">
        <f>'תקציב הנדסה 2021'!P48</f>
        <v>250000</v>
      </c>
      <c r="Q26" s="4">
        <f>'תקציב הנדסה 2021'!Q48</f>
        <v>0</v>
      </c>
      <c r="R26" s="4">
        <f>'תקציב הנדסה 2021'!R48</f>
        <v>0</v>
      </c>
      <c r="S26" s="4">
        <f>'תקציב הנדסה 2021'!S48</f>
        <v>0</v>
      </c>
      <c r="T26" s="4">
        <f>'תקציב הנדסה 2021'!T48</f>
        <v>0</v>
      </c>
      <c r="U26" s="4">
        <f>'תקציב הנדסה 2021'!U48</f>
        <v>0</v>
      </c>
      <c r="V26" s="4">
        <f>'תקציב הנדסה 2021'!V48</f>
        <v>0</v>
      </c>
      <c r="W26" s="4">
        <f>'תקציב הנדסה 2021'!W48</f>
        <v>0</v>
      </c>
      <c r="X26" s="4">
        <f>'תקציב הנדסה 2021'!X48</f>
        <v>0</v>
      </c>
      <c r="Y26" s="4">
        <f>'תקציב הנדסה 2021'!Y48</f>
        <v>0</v>
      </c>
      <c r="Z26" s="4">
        <f>'תקציב הנדסה 2021'!Z48</f>
        <v>0</v>
      </c>
      <c r="AA26" s="4">
        <f>'תקציב הנדסה 2021'!AA48</f>
        <v>0</v>
      </c>
      <c r="AB26" s="280" t="str">
        <f>'תקציב הנדסה 2021'!AB48</f>
        <v xml:space="preserve">העסקת צוות יועצים לתכנון התב"ע  לדיור בר השגה רח' בן ציון. </v>
      </c>
      <c r="AC26" s="3">
        <f>'תקציב הנדסה 2021'!AC48</f>
        <v>732000</v>
      </c>
      <c r="AD26" s="387"/>
      <c r="AE26" s="387"/>
      <c r="AF26" s="387"/>
    </row>
    <row r="27" spans="1:32" s="5" customFormat="1" ht="28">
      <c r="A27" s="3">
        <f t="shared" si="0"/>
        <v>23</v>
      </c>
      <c r="B27" s="3">
        <f>'תקציב הנדסה 2021'!B49</f>
        <v>1843</v>
      </c>
      <c r="C27" s="280" t="str">
        <f>'תקציב הנדסה 2021'!C49</f>
        <v>פינוי בינוי מול התחנה</v>
      </c>
      <c r="D27" s="4">
        <f>'תקציב הנדסה 2021'!D49</f>
        <v>380000</v>
      </c>
      <c r="E27" s="4">
        <f>'תקציב הנדסה 2021'!E49</f>
        <v>380000</v>
      </c>
      <c r="F27" s="4">
        <f>'תקציב הנדסה 2021'!F49</f>
        <v>0</v>
      </c>
      <c r="G27" s="4">
        <f>'תקציב הנדסה 2021'!G49</f>
        <v>0</v>
      </c>
      <c r="H27" s="4">
        <f>'תקציב הנדסה 2021'!H49</f>
        <v>0</v>
      </c>
      <c r="I27" s="4">
        <f>'תקציב הנדסה 2021'!I49</f>
        <v>0</v>
      </c>
      <c r="J27" s="4">
        <f>'תקציב הנדסה 2021'!J49</f>
        <v>0</v>
      </c>
      <c r="K27" s="4">
        <f>'תקציב הנדסה 2021'!K49</f>
        <v>0</v>
      </c>
      <c r="L27" s="4">
        <f>'תקציב הנדסה 2021'!L49</f>
        <v>0</v>
      </c>
      <c r="M27" s="4">
        <f>'תקציב הנדסה 2021'!M49</f>
        <v>0</v>
      </c>
      <c r="N27" s="4">
        <f>'תקציב הנדסה 2021'!N49</f>
        <v>200000</v>
      </c>
      <c r="O27" s="4">
        <f>'תקציב הנדסה 2021'!O49</f>
        <v>180000</v>
      </c>
      <c r="P27" s="4">
        <f>'תקציב הנדסה 2021'!P49</f>
        <v>0</v>
      </c>
      <c r="Q27" s="4">
        <f>'תקציב הנדסה 2021'!Q49</f>
        <v>0</v>
      </c>
      <c r="R27" s="4">
        <f>'תקציב הנדסה 2021'!R49</f>
        <v>0</v>
      </c>
      <c r="S27" s="4">
        <f>'תקציב הנדסה 2021'!S49</f>
        <v>0</v>
      </c>
      <c r="T27" s="4">
        <f>'תקציב הנדסה 2021'!T49</f>
        <v>0</v>
      </c>
      <c r="U27" s="4">
        <f>'תקציב הנדסה 2021'!U49</f>
        <v>200000</v>
      </c>
      <c r="V27" s="4">
        <f>'תקציב הנדסה 2021'!V49</f>
        <v>200000</v>
      </c>
      <c r="W27" s="4">
        <f>'תקציב הנדסה 2021'!W49</f>
        <v>0</v>
      </c>
      <c r="X27" s="4">
        <f>'תקציב הנדסה 2021'!X49</f>
        <v>0</v>
      </c>
      <c r="Y27" s="4">
        <f>'תקציב הנדסה 2021'!Y49</f>
        <v>0</v>
      </c>
      <c r="Z27" s="4">
        <f>'תקציב הנדסה 2021'!Z49</f>
        <v>0</v>
      </c>
      <c r="AA27" s="4">
        <f>'תקציב הנדסה 2021'!AA49</f>
        <v>0</v>
      </c>
      <c r="AB27" s="280" t="str">
        <f>'תקציב הנדסה 2021'!AB49</f>
        <v xml:space="preserve">הליך התנעה לתכנון מתחם לפינוי בינוי מול התחנה. </v>
      </c>
      <c r="AC27" s="3">
        <f>'תקציב הנדסה 2021'!AC49</f>
        <v>732000</v>
      </c>
      <c r="AD27" s="387"/>
      <c r="AE27" s="387"/>
      <c r="AF27" s="387"/>
    </row>
    <row r="28" spans="1:32" s="5" customFormat="1" ht="56">
      <c r="A28" s="3">
        <f t="shared" si="0"/>
        <v>24</v>
      </c>
      <c r="B28" s="3">
        <f>'תקציב הנדסה 2021'!B51</f>
        <v>1937</v>
      </c>
      <c r="C28" s="280" t="str">
        <f>'תקציב הנדסה 2021'!C51</f>
        <v>תב"ע משולש המנהרה הר' 2350</v>
      </c>
      <c r="D28" s="4">
        <f>'תקציב הנדסה 2021'!D51</f>
        <v>1050000</v>
      </c>
      <c r="E28" s="4">
        <f>'תקציב הנדסה 2021'!E51</f>
        <v>1050000</v>
      </c>
      <c r="F28" s="4">
        <f>'תקציב הנדסה 2021'!F51</f>
        <v>0</v>
      </c>
      <c r="G28" s="4">
        <f>'תקציב הנדסה 2021'!G51</f>
        <v>750000</v>
      </c>
      <c r="H28" s="4">
        <f>'תקציב הנדסה 2021'!H51</f>
        <v>56082</v>
      </c>
      <c r="I28" s="4">
        <f>'תקציב הנדסה 2021'!I51</f>
        <v>244936</v>
      </c>
      <c r="J28" s="4">
        <f>'תקציב הנדסה 2021'!J51</f>
        <v>40358</v>
      </c>
      <c r="K28" s="4">
        <f>'תקציב הנדסה 2021'!K51</f>
        <v>285294</v>
      </c>
      <c r="L28" s="4">
        <f>'תקציב הנדסה 2021'!L51</f>
        <v>341376</v>
      </c>
      <c r="M28" s="4">
        <f>'תקציב הנדסה 2021'!M51</f>
        <v>8624</v>
      </c>
      <c r="N28" s="4">
        <f>'תקציב הנדסה 2021'!N51</f>
        <v>300000</v>
      </c>
      <c r="O28" s="4">
        <f>'תקציב הנדסה 2021'!O51</f>
        <v>400000</v>
      </c>
      <c r="P28" s="4">
        <f>'תקציב הנדסה 2021'!P51</f>
        <v>408624</v>
      </c>
      <c r="Q28" s="4">
        <f>'תקציב הנדסה 2021'!Q51</f>
        <v>0</v>
      </c>
      <c r="R28" s="4">
        <f>'תקציב הנדסה 2021'!R51</f>
        <v>0</v>
      </c>
      <c r="S28" s="4">
        <f>'תקציב הנדסה 2021'!S51</f>
        <v>0</v>
      </c>
      <c r="T28" s="4">
        <f>'תקציב הנדסה 2021'!T51</f>
        <v>400000</v>
      </c>
      <c r="U28" s="4">
        <f>'תקציב הנדסה 2021'!U51</f>
        <v>-100000</v>
      </c>
      <c r="V28" s="4">
        <f>'תקציב הנדסה 2021'!V51</f>
        <v>-100000</v>
      </c>
      <c r="W28" s="4">
        <f>'תקציב הנדסה 2021'!W51</f>
        <v>0</v>
      </c>
      <c r="X28" s="4">
        <f>'תקציב הנדסה 2021'!X51</f>
        <v>0</v>
      </c>
      <c r="Y28" s="4">
        <f>'תקציב הנדסה 2021'!Y51</f>
        <v>0</v>
      </c>
      <c r="Z28" s="4">
        <f>'תקציב הנדסה 2021'!Z51</f>
        <v>0</v>
      </c>
      <c r="AA28" s="4">
        <f>'תקציב הנדסה 2021'!AA51</f>
        <v>0</v>
      </c>
      <c r="AB28" s="280" t="str">
        <f>'תקציב הנדסה 2021'!AB51</f>
        <v xml:space="preserve">תוכנית מתארית ומפורטת חלקית לאורך רחוב המנהרה ועד פארק הואדי. התוכנית כוללת מתחם לשימור. יש עתירה לבימ"ש של בעלי קרקע פרטיים. </v>
      </c>
      <c r="AC28" s="3">
        <f>'תקציב הנדסה 2021'!AC51</f>
        <v>732000</v>
      </c>
      <c r="AD28" s="387"/>
      <c r="AE28" s="387"/>
      <c r="AF28" s="387"/>
    </row>
    <row r="29" spans="1:32" s="6" customFormat="1" ht="42">
      <c r="A29" s="3">
        <f t="shared" si="0"/>
        <v>25</v>
      </c>
      <c r="B29" s="3">
        <f>'תקציב הנדסה 2021'!B53</f>
        <v>1950</v>
      </c>
      <c r="C29" s="280" t="str">
        <f>'תקציב הנדסה 2021'!C53</f>
        <v>תכנון שינוי גבולות העיר</v>
      </c>
      <c r="D29" s="4">
        <f>'תקציב הנדסה 2021'!D53</f>
        <v>500000</v>
      </c>
      <c r="E29" s="4">
        <f>'תקציב הנדסה 2021'!E53</f>
        <v>500000</v>
      </c>
      <c r="F29" s="4">
        <f>'תקציב הנדסה 2021'!F53</f>
        <v>0</v>
      </c>
      <c r="G29" s="4">
        <f>'תקציב הנדסה 2021'!G53</f>
        <v>100000</v>
      </c>
      <c r="H29" s="4">
        <f>'תקציב הנדסה 2021'!H53</f>
        <v>0</v>
      </c>
      <c r="I29" s="4">
        <f>'תקציב הנדסה 2021'!I53</f>
        <v>0</v>
      </c>
      <c r="J29" s="4">
        <f>'תקציב הנדסה 2021'!J53</f>
        <v>0</v>
      </c>
      <c r="K29" s="4">
        <f>'תקציב הנדסה 2021'!K53</f>
        <v>0</v>
      </c>
      <c r="L29" s="4">
        <f>'תקציב הנדסה 2021'!L53</f>
        <v>0</v>
      </c>
      <c r="M29" s="4">
        <f>'תקציב הנדסה 2021'!M53</f>
        <v>100000</v>
      </c>
      <c r="N29" s="4">
        <f>'תקציב הנדסה 2021'!N53</f>
        <v>0</v>
      </c>
      <c r="O29" s="4">
        <f>'תקציב הנדסה 2021'!O53</f>
        <v>400000</v>
      </c>
      <c r="P29" s="4">
        <f>'תקציב הנדסה 2021'!P53</f>
        <v>100000</v>
      </c>
      <c r="Q29" s="4">
        <f>'תקציב הנדסה 2021'!Q53</f>
        <v>0</v>
      </c>
      <c r="R29" s="4">
        <f>'תקציב הנדסה 2021'!R53</f>
        <v>0</v>
      </c>
      <c r="S29" s="4">
        <f>'תקציב הנדסה 2021'!S53</f>
        <v>0</v>
      </c>
      <c r="T29" s="4">
        <f>'תקציב הנדסה 2021'!T53</f>
        <v>0</v>
      </c>
      <c r="U29" s="4">
        <f>'תקציב הנדסה 2021'!U53</f>
        <v>0</v>
      </c>
      <c r="V29" s="4">
        <f>'תקציב הנדסה 2021'!V53</f>
        <v>0</v>
      </c>
      <c r="W29" s="4">
        <f>'תקציב הנדסה 2021'!W53</f>
        <v>0</v>
      </c>
      <c r="X29" s="4">
        <f>'תקציב הנדסה 2021'!X53</f>
        <v>0</v>
      </c>
      <c r="Y29" s="4">
        <f>'תקציב הנדסה 2021'!Y53</f>
        <v>0</v>
      </c>
      <c r="Z29" s="4">
        <f>'תקציב הנדסה 2021'!Z53</f>
        <v>0</v>
      </c>
      <c r="AA29" s="4">
        <f>'תקציב הנדסה 2021'!AA53</f>
        <v>0</v>
      </c>
      <c r="AB29" s="280" t="str">
        <f>'תקציב הנדסה 2021'!AB53</f>
        <v xml:space="preserve">עלויות לצורך מתן מענה לדיון במשרד הפנים עקב אישורה של תוכנית תמ"ל מס' 1068. </v>
      </c>
      <c r="AC29" s="3">
        <f>'תקציב הנדסה 2021'!AC53</f>
        <v>732000</v>
      </c>
      <c r="AD29" s="387"/>
      <c r="AE29" s="387"/>
      <c r="AF29" s="387"/>
    </row>
    <row r="30" spans="1:32" s="5" customFormat="1" ht="42">
      <c r="A30" s="3">
        <f t="shared" si="0"/>
        <v>26</v>
      </c>
      <c r="B30" s="3">
        <f>'תקציב הנדסה 2021'!B55</f>
        <v>2014</v>
      </c>
      <c r="C30" s="280" t="str">
        <f>'תקציב הנדסה 2021'!C55</f>
        <v>תכנון אסטרטגי ציר מעפילים</v>
      </c>
      <c r="D30" s="4">
        <f>'תקציב הנדסה 2021'!D55</f>
        <v>750000</v>
      </c>
      <c r="E30" s="4">
        <f>'תקציב הנדסה 2021'!E55</f>
        <v>750000</v>
      </c>
      <c r="F30" s="4">
        <f>'תקציב הנדסה 2021'!F55</f>
        <v>0</v>
      </c>
      <c r="G30" s="4">
        <f>'תקציב הנדסה 2021'!G55</f>
        <v>100000</v>
      </c>
      <c r="H30" s="4">
        <f>'תקציב הנדסה 2021'!H55</f>
        <v>0</v>
      </c>
      <c r="I30" s="4">
        <f>'תקציב הנדסה 2021'!I55</f>
        <v>0</v>
      </c>
      <c r="J30" s="4">
        <f>'תקציב הנדסה 2021'!J55</f>
        <v>0</v>
      </c>
      <c r="K30" s="4">
        <f>'תקציב הנדסה 2021'!K55</f>
        <v>0</v>
      </c>
      <c r="L30" s="4">
        <f>'תקציב הנדסה 2021'!L55</f>
        <v>0</v>
      </c>
      <c r="M30" s="4">
        <f>'תקציב הנדסה 2021'!M55</f>
        <v>0</v>
      </c>
      <c r="N30" s="4">
        <f>'תקציב הנדסה 2021'!N55</f>
        <v>100000</v>
      </c>
      <c r="O30" s="4">
        <f>'תקציב הנדסה 2021'!O55</f>
        <v>650000</v>
      </c>
      <c r="P30" s="4">
        <f>'תקציב הנדסה 2021'!P55</f>
        <v>100000</v>
      </c>
      <c r="Q30" s="4">
        <f>'תקציב הנדסה 2021'!Q55</f>
        <v>0</v>
      </c>
      <c r="R30" s="4">
        <f>'תקציב הנדסה 2021'!R55</f>
        <v>0</v>
      </c>
      <c r="S30" s="4">
        <f>'תקציב הנדסה 2021'!S55</f>
        <v>0</v>
      </c>
      <c r="T30" s="4">
        <f>'תקציב הנדסה 2021'!T55</f>
        <v>100000</v>
      </c>
      <c r="U30" s="4">
        <f>'תקציב הנדסה 2021'!U55</f>
        <v>0</v>
      </c>
      <c r="V30" s="4">
        <f>'תקציב הנדסה 2021'!V55</f>
        <v>0</v>
      </c>
      <c r="W30" s="4">
        <f>'תקציב הנדסה 2021'!W55</f>
        <v>0</v>
      </c>
      <c r="X30" s="4">
        <f>'תקציב הנדסה 2021'!X55</f>
        <v>0</v>
      </c>
      <c r="Y30" s="4">
        <f>'תקציב הנדסה 2021'!Y55</f>
        <v>0</v>
      </c>
      <c r="Z30" s="4">
        <f>'תקציב הנדסה 2021'!Z55</f>
        <v>0</v>
      </c>
      <c r="AA30" s="4">
        <f>'תקציב הנדסה 2021'!AA55</f>
        <v>0</v>
      </c>
      <c r="AB30" s="280" t="str">
        <f>'תקציב הנדסה 2021'!AB55</f>
        <v xml:space="preserve">תכנון ציר המעפילים הכניסה הצפונית לעיר בשיתוף מועצה מקומית כפר שמריהו. </v>
      </c>
      <c r="AC30" s="3">
        <f>'תקציב הנדסה 2021'!AC55</f>
        <v>732000</v>
      </c>
      <c r="AD30" s="387"/>
      <c r="AE30" s="387"/>
      <c r="AF30" s="387"/>
    </row>
    <row r="31" spans="1:32" s="6" customFormat="1" ht="28">
      <c r="A31" s="3">
        <f t="shared" si="0"/>
        <v>27</v>
      </c>
      <c r="B31" s="3">
        <f>'תקציב הנדסה 2021'!B58</f>
        <v>2112</v>
      </c>
      <c r="C31" s="280" t="str">
        <f>'תקציב הנדסה 2021'!C58</f>
        <v>סקר חריגות בניה ברחבי העיר</v>
      </c>
      <c r="D31" s="4">
        <f>'תקציב הנדסה 2021'!D58</f>
        <v>7650000</v>
      </c>
      <c r="E31" s="4">
        <f>'תקציב הנדסה 2021'!E58</f>
        <v>7650000</v>
      </c>
      <c r="F31" s="4">
        <f>'תקציב הנדסה 2021'!F58</f>
        <v>0</v>
      </c>
      <c r="G31" s="4">
        <f>'תקציב הנדסה 2021'!G58</f>
        <v>2160000</v>
      </c>
      <c r="H31" s="4">
        <f>'תקציב הנדסה 2021'!H58</f>
        <v>0</v>
      </c>
      <c r="I31" s="4">
        <f>'תקציב הנדסה 2021'!I58</f>
        <v>0</v>
      </c>
      <c r="J31" s="4">
        <f>'תקציב הנדסה 2021'!J58</f>
        <v>13843</v>
      </c>
      <c r="K31" s="4">
        <f>'תקציב הנדסה 2021'!K58</f>
        <v>13843</v>
      </c>
      <c r="L31" s="4">
        <f>'תקציב הנדסה 2021'!L58</f>
        <v>13843</v>
      </c>
      <c r="M31" s="4">
        <f>'תקציב הנדסה 2021'!M58</f>
        <v>46157</v>
      </c>
      <c r="N31" s="4">
        <f>'תקציב הנדסה 2021'!N58</f>
        <v>2100000</v>
      </c>
      <c r="O31" s="4">
        <f>'תקציב הנדסה 2021'!O58</f>
        <v>5490000</v>
      </c>
      <c r="P31" s="4">
        <f>'תקציב הנדסה 2021'!P58</f>
        <v>2146157</v>
      </c>
      <c r="Q31" s="4">
        <f>'תקציב הנדסה 2021'!Q58</f>
        <v>0</v>
      </c>
      <c r="R31" s="4">
        <f>'תקציב הנדסה 2021'!R58</f>
        <v>0</v>
      </c>
      <c r="S31" s="4">
        <f>'תקציב הנדסה 2021'!S58</f>
        <v>0</v>
      </c>
      <c r="T31" s="4">
        <f>'תקציב הנדסה 2021'!T58</f>
        <v>2100000</v>
      </c>
      <c r="U31" s="4">
        <f>'תקציב הנדסה 2021'!U58</f>
        <v>0</v>
      </c>
      <c r="V31" s="4">
        <f>'תקציב הנדסה 2021'!V58</f>
        <v>0</v>
      </c>
      <c r="W31" s="4">
        <f>'תקציב הנדסה 2021'!W58</f>
        <v>0</v>
      </c>
      <c r="X31" s="4">
        <f>'תקציב הנדסה 2021'!X58</f>
        <v>0</v>
      </c>
      <c r="Y31" s="4">
        <f>'תקציב הנדסה 2021'!Y58</f>
        <v>0</v>
      </c>
      <c r="Z31" s="4">
        <f>'תקציב הנדסה 2021'!Z58</f>
        <v>0</v>
      </c>
      <c r="AA31" s="4">
        <f>'תקציב הנדסה 2021'!AA58</f>
        <v>0</v>
      </c>
      <c r="AB31" s="280" t="str">
        <f>'תקציב הנדסה 2021'!AB58</f>
        <v>ביצוע סקר חריגות בנייה עפ"י תיקון לחוק הרשויות.</v>
      </c>
      <c r="AC31" s="3">
        <f>'תקציב הנדסה 2021'!AC58</f>
        <v>732000</v>
      </c>
      <c r="AD31" s="387"/>
      <c r="AE31" s="387"/>
      <c r="AF31" s="387"/>
    </row>
    <row r="32" spans="1:32" s="5" customFormat="1" ht="42">
      <c r="A32" s="3">
        <f t="shared" si="0"/>
        <v>28</v>
      </c>
      <c r="B32" s="3">
        <f>'תקציב הנדסה 2021'!B59</f>
        <v>2113</v>
      </c>
      <c r="C32" s="280" t="str">
        <f>'תקציב הנדסה 2021'!C59</f>
        <v>ביצוע הריסות עפ"י צווים</v>
      </c>
      <c r="D32" s="4">
        <f>'תקציב הנדסה 2021'!D59</f>
        <v>2550000</v>
      </c>
      <c r="E32" s="4">
        <f>'תקציב הנדסה 2021'!E59</f>
        <v>2550000</v>
      </c>
      <c r="F32" s="4">
        <f>'תקציב הנדסה 2021'!F59</f>
        <v>0</v>
      </c>
      <c r="G32" s="4">
        <f>'תקציב הנדסה 2021'!G59</f>
        <v>200000</v>
      </c>
      <c r="H32" s="4">
        <f>'תקציב הנדסה 2021'!H59</f>
        <v>0</v>
      </c>
      <c r="I32" s="4">
        <f>'תקציב הנדסה 2021'!I59</f>
        <v>0</v>
      </c>
      <c r="J32" s="4">
        <f>'תקציב הנדסה 2021'!J59</f>
        <v>0</v>
      </c>
      <c r="K32" s="4">
        <f>'תקציב הנדסה 2021'!K59</f>
        <v>0</v>
      </c>
      <c r="L32" s="4">
        <f>'תקציב הנדסה 2021'!L59</f>
        <v>0</v>
      </c>
      <c r="M32" s="4">
        <f>'תקציב הנדסה 2021'!M59</f>
        <v>0</v>
      </c>
      <c r="N32" s="4">
        <f>'תקציב הנדסה 2021'!N59</f>
        <v>200000</v>
      </c>
      <c r="O32" s="4">
        <f>'תקציב הנדסה 2021'!O59</f>
        <v>2350000</v>
      </c>
      <c r="P32" s="4">
        <f>'תקציב הנדסה 2021'!P59</f>
        <v>200000</v>
      </c>
      <c r="Q32" s="4">
        <f>'תקציב הנדסה 2021'!Q59</f>
        <v>0</v>
      </c>
      <c r="R32" s="4">
        <f>'תקציב הנדסה 2021'!R59</f>
        <v>0</v>
      </c>
      <c r="S32" s="4">
        <f>'תקציב הנדסה 2021'!S59</f>
        <v>0</v>
      </c>
      <c r="T32" s="4">
        <f>'תקציב הנדסה 2021'!T59</f>
        <v>200000</v>
      </c>
      <c r="U32" s="4">
        <f>'תקציב הנדסה 2021'!U59</f>
        <v>0</v>
      </c>
      <c r="V32" s="4">
        <f>'תקציב הנדסה 2021'!V59</f>
        <v>0</v>
      </c>
      <c r="W32" s="4">
        <f>'תקציב הנדסה 2021'!W59</f>
        <v>0</v>
      </c>
      <c r="X32" s="4">
        <f>'תקציב הנדסה 2021'!X59</f>
        <v>0</v>
      </c>
      <c r="Y32" s="4">
        <f>'תקציב הנדסה 2021'!Y59</f>
        <v>0</v>
      </c>
      <c r="Z32" s="4">
        <f>'תקציב הנדסה 2021'!Z59</f>
        <v>0</v>
      </c>
      <c r="AA32" s="4">
        <f>'תקציב הנדסה 2021'!AA59</f>
        <v>0</v>
      </c>
      <c r="AB32" s="280" t="str">
        <f>'תקציב הנדסה 2021'!AB59</f>
        <v xml:space="preserve"> ביצוע צווים שיפוטיים וביצוע הריסות במקרים בהם לא בוצעו, ככל שיידרש בהמשך לסקר חריגות הבניה.</v>
      </c>
      <c r="AC32" s="3">
        <f>'תקציב הנדסה 2021'!AC59</f>
        <v>732000</v>
      </c>
      <c r="AD32" s="387"/>
      <c r="AE32" s="387"/>
      <c r="AF32" s="387"/>
    </row>
    <row r="33" spans="1:32" s="5" customFormat="1" ht="56">
      <c r="A33" s="3">
        <f t="shared" si="0"/>
        <v>29</v>
      </c>
      <c r="B33" s="3">
        <f>'תקציב הנדסה 2021'!B60</f>
        <v>2114</v>
      </c>
      <c r="C33" s="280" t="str">
        <f>'תקציב הנדסה 2021'!C60</f>
        <v>תב"ע תוכנית שיקום המסילה המתפנה הר '2435</v>
      </c>
      <c r="D33" s="4">
        <f>'תקציב הנדסה 2021'!D60</f>
        <v>1450000</v>
      </c>
      <c r="E33" s="4">
        <f>'תקציב הנדסה 2021'!E60</f>
        <v>1450000</v>
      </c>
      <c r="F33" s="4">
        <f>'תקציב הנדסה 2021'!F60</f>
        <v>0</v>
      </c>
      <c r="G33" s="4">
        <f>'תקציב הנדסה 2021'!G60</f>
        <v>850000</v>
      </c>
      <c r="H33" s="4">
        <f>'תקציב הנדסה 2021'!H60</f>
        <v>0</v>
      </c>
      <c r="I33" s="4">
        <f>'תקציב הנדסה 2021'!I60</f>
        <v>44352</v>
      </c>
      <c r="J33" s="4">
        <f>'תקציב הנדסה 2021'!J60</f>
        <v>0</v>
      </c>
      <c r="K33" s="4">
        <f>'תקציב הנדסה 2021'!K60</f>
        <v>44352</v>
      </c>
      <c r="L33" s="4">
        <f>'תקציב הנדסה 2021'!L60</f>
        <v>44352</v>
      </c>
      <c r="M33" s="4">
        <f>'תקציב הנדסה 2021'!M60</f>
        <v>5648</v>
      </c>
      <c r="N33" s="4">
        <f>'תקציב הנדסה 2021'!N60</f>
        <v>600000</v>
      </c>
      <c r="O33" s="4">
        <f>'תקציב הנדסה 2021'!O60</f>
        <v>800000</v>
      </c>
      <c r="P33" s="4">
        <f>'תקציב הנדסה 2021'!P60</f>
        <v>805648</v>
      </c>
      <c r="Q33" s="4">
        <f>'תקציב הנדסה 2021'!Q60</f>
        <v>0</v>
      </c>
      <c r="R33" s="4">
        <f>'תקציב הנדסה 2021'!R60</f>
        <v>0</v>
      </c>
      <c r="S33" s="4">
        <f>'תקציב הנדסה 2021'!S60</f>
        <v>0</v>
      </c>
      <c r="T33" s="4">
        <f>'תקציב הנדסה 2021'!T60</f>
        <v>800000</v>
      </c>
      <c r="U33" s="4">
        <f>'תקציב הנדסה 2021'!U60</f>
        <v>-200000</v>
      </c>
      <c r="V33" s="4">
        <f>'תקציב הנדסה 2021'!V60</f>
        <v>-200000</v>
      </c>
      <c r="W33" s="4">
        <f>'תקציב הנדסה 2021'!W60</f>
        <v>0</v>
      </c>
      <c r="X33" s="4">
        <f>'תקציב הנדסה 2021'!X60</f>
        <v>0</v>
      </c>
      <c r="Y33" s="4">
        <f>'תקציב הנדסה 2021'!Y60</f>
        <v>0</v>
      </c>
      <c r="Z33" s="4">
        <f>'תקציב הנדסה 2021'!Z60</f>
        <v>0</v>
      </c>
      <c r="AA33" s="4">
        <f>'תקציב הנדסה 2021'!AA60</f>
        <v>0</v>
      </c>
      <c r="AB33" s="280" t="str">
        <f>'תקציב הנדסה 2021'!AB60</f>
        <v>תב"ע בשיתוף מועצת כפר שמריהו לתכנון קישוריות שביל אופניים ופארק בתחום המסילה המתפנה ובחינת חיבור תחבורתי נוסף להרצליה ב'.</v>
      </c>
      <c r="AC33" s="3">
        <f>'תקציב הנדסה 2021'!AC60</f>
        <v>732000</v>
      </c>
      <c r="AD33" s="387"/>
      <c r="AE33" s="387"/>
      <c r="AF33" s="387"/>
    </row>
    <row r="34" spans="1:32" s="5" customFormat="1" ht="42">
      <c r="A34" s="3">
        <f t="shared" si="0"/>
        <v>30</v>
      </c>
      <c r="B34" s="3">
        <f>'תקציב הנדסה 2021'!B61</f>
        <v>2117</v>
      </c>
      <c r="C34" s="280" t="str">
        <f>'תקציב הנדסה 2021'!C61</f>
        <v>שינוי תוכנית גליל ים א' ב' (=ט')</v>
      </c>
      <c r="D34" s="4">
        <f>'תקציב הנדסה 2021'!D61</f>
        <v>750000</v>
      </c>
      <c r="E34" s="4">
        <f>'תקציב הנדסה 2021'!E61</f>
        <v>600000</v>
      </c>
      <c r="F34" s="4">
        <f>'תקציב הנדסה 2021'!F61</f>
        <v>150000</v>
      </c>
      <c r="G34" s="4">
        <f>'תקציב הנדסה 2021'!G61</f>
        <v>600000</v>
      </c>
      <c r="H34" s="4">
        <f>'תקציב הנדסה 2021'!H61</f>
        <v>0</v>
      </c>
      <c r="I34" s="4">
        <f>'תקציב הנדסה 2021'!I61</f>
        <v>0</v>
      </c>
      <c r="J34" s="4">
        <f>'תקציב הנדסה 2021'!J61</f>
        <v>0</v>
      </c>
      <c r="K34" s="4">
        <f>'תקציב הנדסה 2021'!K61</f>
        <v>0</v>
      </c>
      <c r="L34" s="4">
        <f>'תקציב הנדסה 2021'!L61</f>
        <v>0</v>
      </c>
      <c r="M34" s="4">
        <f>'תקציב הנדסה 2021'!M61</f>
        <v>0</v>
      </c>
      <c r="N34" s="4">
        <f>'תקציב הנדסה 2021'!N61</f>
        <v>400000</v>
      </c>
      <c r="O34" s="4">
        <f>'תקציב הנדסה 2021'!O61</f>
        <v>350000</v>
      </c>
      <c r="P34" s="4">
        <f>'תקציב הנדסה 2021'!P61</f>
        <v>600000</v>
      </c>
      <c r="Q34" s="4">
        <f>'תקציב הנדסה 2021'!Q61</f>
        <v>0</v>
      </c>
      <c r="R34" s="4">
        <f>'תקציב הנדסה 2021'!R61</f>
        <v>0</v>
      </c>
      <c r="S34" s="4">
        <f>'תקציב הנדסה 2021'!S61</f>
        <v>0</v>
      </c>
      <c r="T34" s="4">
        <f>'תקציב הנדסה 2021'!T61</f>
        <v>600000</v>
      </c>
      <c r="U34" s="4">
        <f>'תקציב הנדסה 2021'!U61</f>
        <v>-200000</v>
      </c>
      <c r="V34" s="4">
        <f>'תקציב הנדסה 2021'!V61</f>
        <v>-200000</v>
      </c>
      <c r="W34" s="4">
        <f>'תקציב הנדסה 2021'!W61</f>
        <v>0</v>
      </c>
      <c r="X34" s="4">
        <f>'תקציב הנדסה 2021'!X61</f>
        <v>0</v>
      </c>
      <c r="Y34" s="4">
        <f>'תקציב הנדסה 2021'!Y61</f>
        <v>0</v>
      </c>
      <c r="Z34" s="4">
        <f>'תקציב הנדסה 2021'!Z61</f>
        <v>0</v>
      </c>
      <c r="AA34" s="4">
        <f>'תקציב הנדסה 2021'!AA61</f>
        <v>0</v>
      </c>
      <c r="AB34" s="280" t="str">
        <f>'תקציב הנדסה 2021'!AB61</f>
        <v xml:space="preserve">שינוי לתוכנית הר' 1985 ב' עקב ריבוי יח"ד והצורך לספק שטחים ציבוריים בגינם. </v>
      </c>
      <c r="AC34" s="3">
        <f>'תקציב הנדסה 2021'!AC61</f>
        <v>732000</v>
      </c>
      <c r="AD34" s="387"/>
      <c r="AE34" s="387"/>
      <c r="AF34" s="387"/>
    </row>
    <row r="35" spans="1:32" s="6" customFormat="1" ht="56">
      <c r="A35" s="3">
        <f t="shared" si="0"/>
        <v>31</v>
      </c>
      <c r="B35" s="3">
        <f>'תקציב הנדסה 2021'!B65</f>
        <v>2141</v>
      </c>
      <c r="C35" s="280" t="str">
        <f>'תקציב הנדסה 2021'!C65</f>
        <v>תכנית פיתוח של המרחב הציבורי תל מיכל</v>
      </c>
      <c r="D35" s="4">
        <f>'תקציב הנדסה 2021'!D65</f>
        <v>640000</v>
      </c>
      <c r="E35" s="4">
        <f>'תקציב הנדסה 2021'!E65</f>
        <v>640000</v>
      </c>
      <c r="F35" s="4">
        <f>'תקציב הנדסה 2021'!F65</f>
        <v>0</v>
      </c>
      <c r="G35" s="4">
        <f>'תקציב הנדסה 2021'!G65</f>
        <v>0</v>
      </c>
      <c r="H35" s="4">
        <f>'תקציב הנדסה 2021'!H65</f>
        <v>0</v>
      </c>
      <c r="I35" s="4">
        <f>'תקציב הנדסה 2021'!I65</f>
        <v>0</v>
      </c>
      <c r="J35" s="4">
        <f>'תקציב הנדסה 2021'!J65</f>
        <v>0</v>
      </c>
      <c r="K35" s="4">
        <f>'תקציב הנדסה 2021'!K65</f>
        <v>0</v>
      </c>
      <c r="L35" s="4">
        <f>'תקציב הנדסה 2021'!L65</f>
        <v>0</v>
      </c>
      <c r="M35" s="4">
        <f>'תקציב הנדסה 2021'!M65</f>
        <v>0</v>
      </c>
      <c r="N35" s="4">
        <f>'תקציב הנדסה 2021'!N65</f>
        <v>0</v>
      </c>
      <c r="O35" s="4">
        <f>'תקציב הנדסה 2021'!O65</f>
        <v>640000</v>
      </c>
      <c r="P35" s="4">
        <f>'תקציב הנדסה 2021'!P65</f>
        <v>0</v>
      </c>
      <c r="Q35" s="4">
        <f>'תקציב הנדסה 2021'!Q65</f>
        <v>0</v>
      </c>
      <c r="R35" s="4">
        <f>'תקציב הנדסה 2021'!R65</f>
        <v>0</v>
      </c>
      <c r="S35" s="4">
        <f>'תקציב הנדסה 2021'!S65</f>
        <v>0</v>
      </c>
      <c r="T35" s="4">
        <f>'תקציב הנדסה 2021'!T65</f>
        <v>0</v>
      </c>
      <c r="U35" s="4">
        <f>'תקציב הנדסה 2021'!U65</f>
        <v>0</v>
      </c>
      <c r="V35" s="4">
        <f>'תקציב הנדסה 2021'!V65</f>
        <v>0</v>
      </c>
      <c r="W35" s="4">
        <f>'תקציב הנדסה 2021'!W65</f>
        <v>0</v>
      </c>
      <c r="X35" s="4">
        <f>'תקציב הנדסה 2021'!X65</f>
        <v>0</v>
      </c>
      <c r="Y35" s="4">
        <f>'תקציב הנדסה 2021'!Y65</f>
        <v>0</v>
      </c>
      <c r="Z35" s="4">
        <f>'תקציב הנדסה 2021'!Z65</f>
        <v>0</v>
      </c>
      <c r="AA35" s="4">
        <f>'תקציב הנדסה 2021'!AA65</f>
        <v>0</v>
      </c>
      <c r="AB35" s="280" t="str">
        <f>'תקציב הנדסה 2021'!AB65</f>
        <v xml:space="preserve">ליווי אדריכלי  לתוכנית בחינת הקשר השביל הירוק המטרופולוני לאורך אבא אבן תל מיכל והמרחב הציבורי במרינה לחיזוק הקישוריות העיר למרינה ולחוף . </v>
      </c>
      <c r="AC35" s="3">
        <f>'תקציב הנדסה 2021'!AC65</f>
        <v>732000</v>
      </c>
      <c r="AD35" s="387"/>
      <c r="AE35" s="387"/>
      <c r="AF35" s="387"/>
    </row>
    <row r="36" spans="1:32" s="5" customFormat="1" ht="42">
      <c r="A36" s="3">
        <f t="shared" si="0"/>
        <v>32</v>
      </c>
      <c r="B36" s="3">
        <f>'תקציב הנדסה 2021'!B67</f>
        <v>2143</v>
      </c>
      <c r="C36" s="280" t="str">
        <f>'תקציב הנדסה 2021'!C67</f>
        <v>סקר תשתיות קיימות</v>
      </c>
      <c r="D36" s="4">
        <f>'תקציב הנדסה 2021'!D67</f>
        <v>500000</v>
      </c>
      <c r="E36" s="4">
        <f>'תקציב הנדסה 2021'!E67</f>
        <v>500000</v>
      </c>
      <c r="F36" s="4">
        <f>'תקציב הנדסה 2021'!F67</f>
        <v>0</v>
      </c>
      <c r="G36" s="4">
        <f>'תקציב הנדסה 2021'!G67</f>
        <v>500000</v>
      </c>
      <c r="H36" s="4">
        <f>'תקציב הנדסה 2021'!H67</f>
        <v>0</v>
      </c>
      <c r="I36" s="4">
        <f>'תקציב הנדסה 2021'!I67</f>
        <v>0</v>
      </c>
      <c r="J36" s="4">
        <f>'תקציב הנדסה 2021'!J67</f>
        <v>0</v>
      </c>
      <c r="K36" s="4">
        <f>'תקציב הנדסה 2021'!K67</f>
        <v>0</v>
      </c>
      <c r="L36" s="4">
        <f>'תקציב הנדסה 2021'!L67</f>
        <v>0</v>
      </c>
      <c r="M36" s="4">
        <f>'תקציב הנדסה 2021'!M67</f>
        <v>0</v>
      </c>
      <c r="N36" s="4">
        <f>'תקציב הנדסה 2021'!N67</f>
        <v>500000</v>
      </c>
      <c r="O36" s="4">
        <f>'תקציב הנדסה 2021'!O67</f>
        <v>0</v>
      </c>
      <c r="P36" s="4">
        <f>'תקציב הנדסה 2021'!P67</f>
        <v>500000</v>
      </c>
      <c r="Q36" s="4">
        <f>'תקציב הנדסה 2021'!Q67</f>
        <v>0</v>
      </c>
      <c r="R36" s="4">
        <f>'תקציב הנדסה 2021'!R67</f>
        <v>0</v>
      </c>
      <c r="S36" s="4">
        <f>'תקציב הנדסה 2021'!S67</f>
        <v>0</v>
      </c>
      <c r="T36" s="4">
        <f>'תקציב הנדסה 2021'!T67</f>
        <v>500000</v>
      </c>
      <c r="U36" s="4">
        <f>'תקציב הנדסה 2021'!U67</f>
        <v>0</v>
      </c>
      <c r="V36" s="4">
        <f>'תקציב הנדסה 2021'!V67</f>
        <v>0</v>
      </c>
      <c r="W36" s="4">
        <f>'תקציב הנדסה 2021'!W67</f>
        <v>0</v>
      </c>
      <c r="X36" s="4">
        <f>'תקציב הנדסה 2021'!X67</f>
        <v>0</v>
      </c>
      <c r="Y36" s="4">
        <f>'תקציב הנדסה 2021'!Y67</f>
        <v>0</v>
      </c>
      <c r="Z36" s="4">
        <f>'תקציב הנדסה 2021'!Z67</f>
        <v>0</v>
      </c>
      <c r="AA36" s="4">
        <f>'תקציב הנדסה 2021'!AA67</f>
        <v>0</v>
      </c>
      <c r="AB36" s="280" t="str">
        <f>'תקציב הנדסה 2021'!AB67</f>
        <v>מיחשוב כלל התשתיות הקיימות במרחב הציבורי. ב - 2021 : מיפוי ואיסוף נתונים.</v>
      </c>
      <c r="AC36" s="3">
        <f>'תקציב הנדסה 2021'!AC67</f>
        <v>732000</v>
      </c>
      <c r="AD36" s="387"/>
      <c r="AE36" s="387"/>
      <c r="AF36" s="387"/>
    </row>
    <row r="37" spans="1:32" s="6" customFormat="1" ht="28">
      <c r="A37" s="3">
        <f t="shared" si="0"/>
        <v>33</v>
      </c>
      <c r="B37" s="3">
        <f>'תקציב הנדסה 2021'!B68</f>
        <v>2144</v>
      </c>
      <c r="C37" s="280" t="str">
        <f>'תקציב הנדסה 2021'!C68</f>
        <v>תוכנת ניהול ותאום תשתיות</v>
      </c>
      <c r="D37" s="4">
        <f>'תקציב הנדסה 2021'!D68</f>
        <v>500000</v>
      </c>
      <c r="E37" s="4">
        <f>'תקציב הנדסה 2021'!E68</f>
        <v>500000</v>
      </c>
      <c r="F37" s="4">
        <f>'תקציב הנדסה 2021'!F68</f>
        <v>0</v>
      </c>
      <c r="G37" s="4">
        <f>'תקציב הנדסה 2021'!G68</f>
        <v>500000</v>
      </c>
      <c r="H37" s="4">
        <f>'תקציב הנדסה 2021'!H68</f>
        <v>0</v>
      </c>
      <c r="I37" s="4">
        <f>'תקציב הנדסה 2021'!I68</f>
        <v>0</v>
      </c>
      <c r="J37" s="4">
        <f>'תקציב הנדסה 2021'!J68</f>
        <v>5850</v>
      </c>
      <c r="K37" s="4">
        <f>'תקציב הנדסה 2021'!K68</f>
        <v>5850</v>
      </c>
      <c r="L37" s="4">
        <f>'תקציב הנדסה 2021'!L68</f>
        <v>5850</v>
      </c>
      <c r="M37" s="4">
        <f>'תקציב הנדסה 2021'!M68</f>
        <v>44150</v>
      </c>
      <c r="N37" s="4">
        <f>'תקציב הנדסה 2021'!N68</f>
        <v>450000</v>
      </c>
      <c r="O37" s="4">
        <f>'תקציב הנדסה 2021'!O68</f>
        <v>0</v>
      </c>
      <c r="P37" s="4">
        <f>'תקציב הנדסה 2021'!P68</f>
        <v>494150</v>
      </c>
      <c r="Q37" s="4">
        <f>'תקציב הנדסה 2021'!Q68</f>
        <v>0</v>
      </c>
      <c r="R37" s="4">
        <f>'תקציב הנדסה 2021'!R68</f>
        <v>0</v>
      </c>
      <c r="S37" s="4">
        <f>'תקציב הנדסה 2021'!S68</f>
        <v>0</v>
      </c>
      <c r="T37" s="4">
        <f>'תקציב הנדסה 2021'!T68</f>
        <v>450000</v>
      </c>
      <c r="U37" s="4">
        <f>'תקציב הנדסה 2021'!U68</f>
        <v>0</v>
      </c>
      <c r="V37" s="4">
        <f>'תקציב הנדסה 2021'!V68</f>
        <v>0</v>
      </c>
      <c r="W37" s="4">
        <f>'תקציב הנדסה 2021'!W68</f>
        <v>0</v>
      </c>
      <c r="X37" s="4">
        <f>'תקציב הנדסה 2021'!X68</f>
        <v>0</v>
      </c>
      <c r="Y37" s="4">
        <f>'תקציב הנדסה 2021'!Y68</f>
        <v>0</v>
      </c>
      <c r="Z37" s="4">
        <f>'תקציב הנדסה 2021'!Z68</f>
        <v>0</v>
      </c>
      <c r="AA37" s="4">
        <f>'תקציב הנדסה 2021'!AA68</f>
        <v>0</v>
      </c>
      <c r="AB37" s="280" t="str">
        <f>'תקציב הנדסה 2021'!AB68</f>
        <v xml:space="preserve">בניית אתר הנדסי לתשתיות וסנכרון בין עבודות התשתית השונות ברחבי העיר. </v>
      </c>
      <c r="AC37" s="3">
        <f>'תקציב הנדסה 2021'!AC68</f>
        <v>732000</v>
      </c>
      <c r="AD37" s="387"/>
      <c r="AE37" s="387"/>
      <c r="AF37" s="387"/>
    </row>
    <row r="38" spans="1:32" s="5" customFormat="1" ht="42">
      <c r="A38" s="3">
        <f t="shared" si="0"/>
        <v>34</v>
      </c>
      <c r="B38" s="3">
        <f>'תקציב הנדסה 2021'!B69</f>
        <v>2146</v>
      </c>
      <c r="C38" s="280" t="str">
        <f>'תקציב הנדסה 2021'!C69</f>
        <v>תוכנית שבילי אופניים בשצ"פים עירוניים</v>
      </c>
      <c r="D38" s="4">
        <f>'תקציב הנדסה 2021'!D69</f>
        <v>220000</v>
      </c>
      <c r="E38" s="4">
        <f>'תקציב הנדסה 2021'!E69</f>
        <v>220000</v>
      </c>
      <c r="F38" s="4">
        <f>'תקציב הנדסה 2021'!F69</f>
        <v>0</v>
      </c>
      <c r="G38" s="4">
        <f>'תקציב הנדסה 2021'!G69</f>
        <v>130000</v>
      </c>
      <c r="H38" s="4">
        <f>'תקציב הנדסה 2021'!H69</f>
        <v>0</v>
      </c>
      <c r="I38" s="4">
        <f>'תקציב הנדסה 2021'!I69</f>
        <v>0</v>
      </c>
      <c r="J38" s="4">
        <f>'תקציב הנדסה 2021'!J69</f>
        <v>0</v>
      </c>
      <c r="K38" s="4">
        <f>'תקציב הנדסה 2021'!K69</f>
        <v>0</v>
      </c>
      <c r="L38" s="4">
        <f>'תקציב הנדסה 2021'!L69</f>
        <v>0</v>
      </c>
      <c r="M38" s="4">
        <f>'תקציב הנדסה 2021'!M69</f>
        <v>130000</v>
      </c>
      <c r="N38" s="4">
        <f>'תקציב הנדסה 2021'!N69</f>
        <v>0</v>
      </c>
      <c r="O38" s="4">
        <f>'תקציב הנדסה 2021'!O69</f>
        <v>90000</v>
      </c>
      <c r="P38" s="4">
        <f>'תקציב הנדסה 2021'!P69</f>
        <v>130000</v>
      </c>
      <c r="Q38" s="4">
        <f>'תקציב הנדסה 2021'!Q69</f>
        <v>0</v>
      </c>
      <c r="R38" s="4">
        <f>'תקציב הנדסה 2021'!R69</f>
        <v>0</v>
      </c>
      <c r="S38" s="4">
        <f>'תקציב הנדסה 2021'!S69</f>
        <v>0</v>
      </c>
      <c r="T38" s="4">
        <f>'תקציב הנדסה 2021'!T69</f>
        <v>0</v>
      </c>
      <c r="U38" s="4">
        <f>'תקציב הנדסה 2021'!U69</f>
        <v>0</v>
      </c>
      <c r="V38" s="4">
        <f>'תקציב הנדסה 2021'!V69</f>
        <v>0</v>
      </c>
      <c r="W38" s="4">
        <f>'תקציב הנדסה 2021'!W69</f>
        <v>0</v>
      </c>
      <c r="X38" s="4">
        <f>'תקציב הנדסה 2021'!X69</f>
        <v>0</v>
      </c>
      <c r="Y38" s="4">
        <f>'תקציב הנדסה 2021'!Y69</f>
        <v>0</v>
      </c>
      <c r="Z38" s="4">
        <f>'תקציב הנדסה 2021'!Z69</f>
        <v>0</v>
      </c>
      <c r="AA38" s="4">
        <f>'תקציב הנדסה 2021'!AA69</f>
        <v>0</v>
      </c>
      <c r="AB38" s="280" t="str">
        <f>'תקציב הנדסה 2021'!AB69</f>
        <v xml:space="preserve">הכנת תוכנית לניצול יעיל לשצ"פים ברחבי העיר לשימושי שבילי אופניים והתקנת מצללות. </v>
      </c>
      <c r="AC38" s="3">
        <f>'תקציב הנדסה 2021'!AC69</f>
        <v>732000</v>
      </c>
      <c r="AD38" s="387"/>
      <c r="AE38" s="387"/>
      <c r="AF38" s="387"/>
    </row>
    <row r="39" spans="1:32" s="5" customFormat="1">
      <c r="A39" s="3">
        <f t="shared" si="0"/>
        <v>35</v>
      </c>
      <c r="B39" s="3">
        <f>'תקציב הנדסה 2021'!B70</f>
        <v>2173</v>
      </c>
      <c r="C39" s="280" t="str">
        <f>'תקציב הנדסה 2021'!C70</f>
        <v>פינוי בינוי גורדון</v>
      </c>
      <c r="D39" s="4">
        <f>'תקציב הנדסה 2021'!D70</f>
        <v>1950000</v>
      </c>
      <c r="E39" s="4">
        <f>'תקציב הנדסה 2021'!E70</f>
        <v>1950000</v>
      </c>
      <c r="F39" s="4">
        <f>'תקציב הנדסה 2021'!F70</f>
        <v>0</v>
      </c>
      <c r="G39" s="4">
        <f>'תקציב הנדסה 2021'!G70</f>
        <v>0</v>
      </c>
      <c r="H39" s="4">
        <f>'תקציב הנדסה 2021'!H70</f>
        <v>0</v>
      </c>
      <c r="I39" s="4">
        <f>'תקציב הנדסה 2021'!I70</f>
        <v>0</v>
      </c>
      <c r="J39" s="4">
        <f>'תקציב הנדסה 2021'!J70</f>
        <v>0</v>
      </c>
      <c r="K39" s="4">
        <f>'תקציב הנדסה 2021'!K70</f>
        <v>0</v>
      </c>
      <c r="L39" s="4">
        <f>'תקציב הנדסה 2021'!L70</f>
        <v>0</v>
      </c>
      <c r="M39" s="4">
        <f>'תקציב הנדסה 2021'!M70</f>
        <v>0</v>
      </c>
      <c r="N39" s="4">
        <f>'תקציב הנדסה 2021'!N70</f>
        <v>1950000</v>
      </c>
      <c r="O39" s="4">
        <f>'תקציב הנדסה 2021'!O70</f>
        <v>0</v>
      </c>
      <c r="P39" s="4">
        <f>'תקציב הנדסה 2021'!P70</f>
        <v>0</v>
      </c>
      <c r="Q39" s="4">
        <f>'תקציב הנדסה 2021'!Q70</f>
        <v>0</v>
      </c>
      <c r="R39" s="4">
        <f>'תקציב הנדסה 2021'!R70</f>
        <v>0</v>
      </c>
      <c r="S39" s="4">
        <f>'תקציב הנדסה 2021'!S70</f>
        <v>0</v>
      </c>
      <c r="T39" s="4">
        <f>'תקציב הנדסה 2021'!T70</f>
        <v>0</v>
      </c>
      <c r="U39" s="4">
        <f>'תקציב הנדסה 2021'!U70</f>
        <v>1950000</v>
      </c>
      <c r="V39" s="4">
        <f>'תקציב הנדסה 2021'!V70</f>
        <v>138750</v>
      </c>
      <c r="W39" s="4">
        <f>'תקציב הנדסה 2021'!W70</f>
        <v>0</v>
      </c>
      <c r="X39" s="4">
        <f>'תקציב הנדסה 2021'!X70</f>
        <v>0</v>
      </c>
      <c r="Y39" s="4">
        <f>'תקציב הנדסה 2021'!Y70</f>
        <v>0</v>
      </c>
      <c r="Z39" s="4">
        <f>'תקציב הנדסה 2021'!Z70</f>
        <v>0</v>
      </c>
      <c r="AA39" s="4">
        <f>'תקציב הנדסה 2021'!AA70</f>
        <v>1811250</v>
      </c>
      <c r="AB39" s="280" t="str">
        <f>'תקציב הנדסה 2021'!AB70</f>
        <v>פינוי בינוי גורדון. מימון מ. הבינוי.</v>
      </c>
      <c r="AC39" s="3">
        <f>'תקציב הנדסה 2021'!AC70</f>
        <v>732000</v>
      </c>
      <c r="AD39" s="387"/>
      <c r="AE39" s="387"/>
      <c r="AF39" s="387"/>
    </row>
    <row r="40" spans="1:32" s="5" customFormat="1" ht="28">
      <c r="A40" s="3">
        <f>1+A39</f>
        <v>36</v>
      </c>
      <c r="B40" s="3">
        <f>'תקציב הנדסה 2021'!B81</f>
        <v>2199</v>
      </c>
      <c r="C40" s="280" t="str">
        <f>'תקציב הנדסה 2021'!C81</f>
        <v>ליווי תוכניות ארציות</v>
      </c>
      <c r="D40" s="4">
        <f>'תקציב הנדסה 2021'!D81</f>
        <v>1000000</v>
      </c>
      <c r="E40" s="4">
        <f>'תקציב הנדסה 2021'!E81</f>
        <v>0</v>
      </c>
      <c r="F40" s="4">
        <f>'תקציב הנדסה 2021'!F81</f>
        <v>1000000</v>
      </c>
      <c r="G40" s="4">
        <f>'תקציב הנדסה 2021'!G81</f>
        <v>0</v>
      </c>
      <c r="H40" s="4">
        <f>'תקציב הנדסה 2021'!H81</f>
        <v>0</v>
      </c>
      <c r="I40" s="4">
        <f>'תקציב הנדסה 2021'!I81</f>
        <v>0</v>
      </c>
      <c r="J40" s="4">
        <f>'תקציב הנדסה 2021'!J81</f>
        <v>0</v>
      </c>
      <c r="K40" s="4">
        <f>'תקציב הנדסה 2021'!K81</f>
        <v>0</v>
      </c>
      <c r="L40" s="4">
        <f>'תקציב הנדסה 2021'!L81</f>
        <v>0</v>
      </c>
      <c r="M40" s="4">
        <f>'תקציב הנדסה 2021'!M81</f>
        <v>0</v>
      </c>
      <c r="N40" s="4">
        <f>'תקציב הנדסה 2021'!N81</f>
        <v>200000</v>
      </c>
      <c r="O40" s="4">
        <f>'תקציב הנדסה 2021'!O81</f>
        <v>800000</v>
      </c>
      <c r="P40" s="4">
        <f>'תקציב הנדסה 2021'!P81</f>
        <v>0</v>
      </c>
      <c r="Q40" s="4">
        <f>'תקציב הנדסה 2021'!Q81</f>
        <v>0</v>
      </c>
      <c r="R40" s="4">
        <f>'תקציב הנדסה 2021'!R81</f>
        <v>0</v>
      </c>
      <c r="S40" s="4">
        <f>'תקציב הנדסה 2021'!S81</f>
        <v>0</v>
      </c>
      <c r="T40" s="4">
        <f>'תקציב הנדסה 2021'!T81</f>
        <v>0</v>
      </c>
      <c r="U40" s="4">
        <f>'תקציב הנדסה 2021'!U81</f>
        <v>200000</v>
      </c>
      <c r="V40" s="4">
        <f>'תקציב הנדסה 2021'!V81</f>
        <v>200000</v>
      </c>
      <c r="W40" s="4">
        <f>'תקציב הנדסה 2021'!W81</f>
        <v>0</v>
      </c>
      <c r="X40" s="4">
        <f>'תקציב הנדסה 2021'!X81</f>
        <v>0</v>
      </c>
      <c r="Y40" s="4">
        <f>'תקציב הנדסה 2021'!Y81</f>
        <v>0</v>
      </c>
      <c r="Z40" s="4">
        <f>'תקציב הנדסה 2021'!Z81</f>
        <v>0</v>
      </c>
      <c r="AA40" s="4">
        <f>'תקציב הנדסה 2021'!AA81</f>
        <v>0</v>
      </c>
      <c r="AB40" s="280" t="str">
        <f>'תקציב הנדסה 2021'!AB81</f>
        <v>ליווי של יועצים ,מתכננים , אגרונום למגוון תוכניות ארציות (תמ"א,תמ"ל)</v>
      </c>
      <c r="AC40" s="3">
        <f>'תקציב הנדסה 2021'!AC81</f>
        <v>732000</v>
      </c>
      <c r="AD40" s="387"/>
      <c r="AE40" s="387"/>
      <c r="AF40" s="387"/>
    </row>
    <row r="41" spans="1:32" s="5" customFormat="1" ht="42">
      <c r="A41" s="3">
        <f>1+A40</f>
        <v>37</v>
      </c>
      <c r="B41" s="3">
        <f>'תקציב הנדסה 2021'!B82</f>
        <v>2200</v>
      </c>
      <c r="C41" s="280" t="str">
        <f>'תקציב הנדסה 2021'!C82</f>
        <v>פיתוח קיימות סביבה וחדשנות</v>
      </c>
      <c r="D41" s="4">
        <f>'תקציב הנדסה 2021'!D82</f>
        <v>1700000</v>
      </c>
      <c r="E41" s="4">
        <f>'תקציב הנדסה 2021'!E82</f>
        <v>0</v>
      </c>
      <c r="F41" s="4">
        <f>'תקציב הנדסה 2021'!F82</f>
        <v>1700000</v>
      </c>
      <c r="G41" s="4">
        <f>'תקציב הנדסה 2021'!G82</f>
        <v>0</v>
      </c>
      <c r="H41" s="4">
        <f>'תקציב הנדסה 2021'!H82</f>
        <v>0</v>
      </c>
      <c r="I41" s="4">
        <f>'תקציב הנדסה 2021'!I82</f>
        <v>0</v>
      </c>
      <c r="J41" s="4">
        <f>'תקציב הנדסה 2021'!J82</f>
        <v>0</v>
      </c>
      <c r="K41" s="4">
        <f>'תקציב הנדסה 2021'!K82</f>
        <v>0</v>
      </c>
      <c r="L41" s="4">
        <f>'תקציב הנדסה 2021'!L82</f>
        <v>0</v>
      </c>
      <c r="M41" s="4">
        <f>'תקציב הנדסה 2021'!M82</f>
        <v>0</v>
      </c>
      <c r="N41" s="4">
        <f>'תקציב הנדסה 2021'!N82</f>
        <v>350000</v>
      </c>
      <c r="O41" s="4">
        <f>'תקציב הנדסה 2021'!O82</f>
        <v>1350000</v>
      </c>
      <c r="P41" s="4">
        <f>'תקציב הנדסה 2021'!P82</f>
        <v>0</v>
      </c>
      <c r="Q41" s="4">
        <f>'תקציב הנדסה 2021'!Q82</f>
        <v>0</v>
      </c>
      <c r="R41" s="4">
        <f>'תקציב הנדסה 2021'!R82</f>
        <v>0</v>
      </c>
      <c r="S41" s="4">
        <f>'תקציב הנדסה 2021'!S82</f>
        <v>0</v>
      </c>
      <c r="T41" s="4">
        <f>'תקציב הנדסה 2021'!T82</f>
        <v>0</v>
      </c>
      <c r="U41" s="4">
        <f>'תקציב הנדסה 2021'!U82</f>
        <v>350000</v>
      </c>
      <c r="V41" s="4">
        <f>'תקציב הנדסה 2021'!V82</f>
        <v>350000</v>
      </c>
      <c r="W41" s="4">
        <f>'תקציב הנדסה 2021'!W82</f>
        <v>0</v>
      </c>
      <c r="X41" s="4">
        <f>'תקציב הנדסה 2021'!X82</f>
        <v>0</v>
      </c>
      <c r="Y41" s="4">
        <f>'תקציב הנדסה 2021'!Y82</f>
        <v>0</v>
      </c>
      <c r="Z41" s="4">
        <f>'תקציב הנדסה 2021'!Z82</f>
        <v>0</v>
      </c>
      <c r="AA41" s="4">
        <f>'תקציב הנדסה 2021'!AA82</f>
        <v>0</v>
      </c>
      <c r="AB41" s="280" t="str">
        <f>'תקציב הנדסה 2021'!AB82</f>
        <v xml:space="preserve">יועצי סביבה וקיימות בהיבטים תכנוניים. גיבוש מדיניות של תכנון מיטבי של שטחי החוץ בבי"ס. </v>
      </c>
      <c r="AC41" s="3">
        <v>732000</v>
      </c>
      <c r="AD41" s="387"/>
      <c r="AE41" s="387"/>
      <c r="AF41" s="387"/>
    </row>
    <row r="42" spans="1:32" s="70" customFormat="1">
      <c r="A42" s="33"/>
      <c r="B42" s="33"/>
      <c r="C42" s="412" t="s">
        <v>1476</v>
      </c>
      <c r="D42" s="73">
        <f>SUM(D5:D41)</f>
        <v>111785490</v>
      </c>
      <c r="E42" s="73">
        <f t="shared" ref="E42:AA42" si="1">SUM(E5:E41)</f>
        <v>99795490</v>
      </c>
      <c r="F42" s="73">
        <f t="shared" si="1"/>
        <v>11990000</v>
      </c>
      <c r="G42" s="73">
        <f t="shared" si="1"/>
        <v>65857480</v>
      </c>
      <c r="H42" s="73">
        <f t="shared" si="1"/>
        <v>40903638</v>
      </c>
      <c r="I42" s="73">
        <f t="shared" si="1"/>
        <v>4325565</v>
      </c>
      <c r="J42" s="73">
        <f t="shared" si="1"/>
        <v>1881216</v>
      </c>
      <c r="K42" s="73">
        <f t="shared" si="1"/>
        <v>6206781</v>
      </c>
      <c r="L42" s="73">
        <f t="shared" si="1"/>
        <v>47110419</v>
      </c>
      <c r="M42" s="73">
        <f t="shared" si="1"/>
        <v>4217061</v>
      </c>
      <c r="N42" s="73">
        <f t="shared" si="1"/>
        <v>25360000</v>
      </c>
      <c r="O42" s="73">
        <f t="shared" si="1"/>
        <v>35098010</v>
      </c>
      <c r="P42" s="73">
        <f t="shared" si="1"/>
        <v>18747061</v>
      </c>
      <c r="Q42" s="73">
        <f t="shared" si="1"/>
        <v>0</v>
      </c>
      <c r="R42" s="73">
        <f t="shared" si="1"/>
        <v>0</v>
      </c>
      <c r="S42" s="73">
        <f t="shared" si="1"/>
        <v>0</v>
      </c>
      <c r="T42" s="73">
        <f t="shared" si="1"/>
        <v>14530000</v>
      </c>
      <c r="U42" s="73">
        <f t="shared" si="1"/>
        <v>10830000</v>
      </c>
      <c r="V42" s="73">
        <f t="shared" si="1"/>
        <v>7018750</v>
      </c>
      <c r="W42" s="73">
        <f t="shared" si="1"/>
        <v>0</v>
      </c>
      <c r="X42" s="73">
        <f t="shared" si="1"/>
        <v>0</v>
      </c>
      <c r="Y42" s="73">
        <f t="shared" si="1"/>
        <v>0</v>
      </c>
      <c r="Z42" s="73">
        <f t="shared" si="1"/>
        <v>0</v>
      </c>
      <c r="AA42" s="73">
        <f t="shared" si="1"/>
        <v>3811250</v>
      </c>
      <c r="AB42" s="412"/>
      <c r="AC42" s="33"/>
      <c r="AD42" s="388"/>
      <c r="AE42" s="388"/>
      <c r="AF42" s="388"/>
    </row>
    <row r="43" spans="1:32" s="6" customFormat="1" ht="28">
      <c r="A43" s="3">
        <f>A41+1</f>
        <v>38</v>
      </c>
      <c r="B43" s="3">
        <f>'תקציב הנדסה 2021'!B7</f>
        <v>507</v>
      </c>
      <c r="C43" s="280" t="str">
        <f>'תקציב הנדסה 2021'!C7</f>
        <v>החלפת מדרכות</v>
      </c>
      <c r="D43" s="4">
        <f>'תקציב הנדסה 2021'!D7</f>
        <v>1965000</v>
      </c>
      <c r="E43" s="4">
        <f>'תקציב הנדסה 2021'!E7</f>
        <v>2310000</v>
      </c>
      <c r="F43" s="4">
        <f>'תקציב הנדסה 2021'!F7</f>
        <v>-345000</v>
      </c>
      <c r="G43" s="4">
        <f>'תקציב הנדסה 2021'!G7</f>
        <v>1965000</v>
      </c>
      <c r="H43" s="4">
        <f>'תקציב הנדסה 2021'!H7</f>
        <v>1653104</v>
      </c>
      <c r="I43" s="4">
        <f>'תקציב הנדסה 2021'!I7</f>
        <v>0</v>
      </c>
      <c r="J43" s="4">
        <f>'תקציב הנדסה 2021'!J7</f>
        <v>18103</v>
      </c>
      <c r="K43" s="4">
        <f>'תקציב הנדסה 2021'!K7</f>
        <v>18103</v>
      </c>
      <c r="L43" s="4">
        <f>'תקציב הנדסה 2021'!L7</f>
        <v>1671207</v>
      </c>
      <c r="M43" s="4">
        <f>'תקציב הנדסה 2021'!M7</f>
        <v>93793</v>
      </c>
      <c r="N43" s="4">
        <f>'תקציב הנדסה 2021'!N7</f>
        <v>200000</v>
      </c>
      <c r="O43" s="4">
        <f>'תקציב הנדסה 2021'!O7</f>
        <v>0</v>
      </c>
      <c r="P43" s="4">
        <f>'תקציב הנדסה 2021'!P7</f>
        <v>293793</v>
      </c>
      <c r="Q43" s="4">
        <f>'תקציב הנדסה 2021'!Q7</f>
        <v>0</v>
      </c>
      <c r="R43" s="4">
        <f>'תקציב הנדסה 2021'!R7</f>
        <v>0</v>
      </c>
      <c r="S43" s="4">
        <f>'תקציב הנדסה 2021'!S7</f>
        <v>0</v>
      </c>
      <c r="T43" s="4">
        <f>'תקציב הנדסה 2021'!T7</f>
        <v>200000</v>
      </c>
      <c r="U43" s="4">
        <f>'תקציב הנדסה 2021'!U7</f>
        <v>0</v>
      </c>
      <c r="V43" s="4">
        <f>'תקציב הנדסה 2021'!V7</f>
        <v>0</v>
      </c>
      <c r="W43" s="4">
        <f>'תקציב הנדסה 2021'!W7</f>
        <v>0</v>
      </c>
      <c r="X43" s="4">
        <f>'תקציב הנדסה 2021'!X7</f>
        <v>0</v>
      </c>
      <c r="Y43" s="4">
        <f>'תקציב הנדסה 2021'!Y7</f>
        <v>0</v>
      </c>
      <c r="Z43" s="4">
        <f>'תקציב הנדסה 2021'!Z7</f>
        <v>0</v>
      </c>
      <c r="AA43" s="4">
        <f>'תקציב הנדסה 2021'!AA7</f>
        <v>0</v>
      </c>
      <c r="AB43" s="280" t="str">
        <f>'תקציב הנדסה 2021'!AB7</f>
        <v>מסגרת ביצוע  עבודות מדרכות לאחר השלמת עבודות בניה כתוצאה מהיתרים.</v>
      </c>
      <c r="AC43" s="3">
        <f>'תקציב הנדסה 2021'!AC7</f>
        <v>742000</v>
      </c>
      <c r="AD43" s="387"/>
      <c r="AE43" s="387"/>
      <c r="AF43" s="387"/>
    </row>
    <row r="44" spans="1:32" s="5" customFormat="1" ht="28">
      <c r="A44" s="3">
        <f t="shared" ref="A44:A68" si="2">A43+1</f>
        <v>39</v>
      </c>
      <c r="B44" s="3">
        <f>'תקציב הנדסה 2021'!B8</f>
        <v>546</v>
      </c>
      <c r="C44" s="280" t="str">
        <f>'תקציב הנדסה 2021'!C8</f>
        <v>מתחם הגאון מוילנא חתם סופר</v>
      </c>
      <c r="D44" s="4">
        <f>'תקציב הנדסה 2021'!D8</f>
        <v>2920000</v>
      </c>
      <c r="E44" s="4">
        <f>'תקציב הנדסה 2021'!E8</f>
        <v>2920000</v>
      </c>
      <c r="F44" s="4">
        <f>'תקציב הנדסה 2021'!F8</f>
        <v>0</v>
      </c>
      <c r="G44" s="4">
        <f>'תקציב הנדסה 2021'!G8</f>
        <v>2920000</v>
      </c>
      <c r="H44" s="4">
        <f>'תקציב הנדסה 2021'!H8</f>
        <v>2895703</v>
      </c>
      <c r="I44" s="4">
        <f>'תקציב הנדסה 2021'!I8</f>
        <v>0</v>
      </c>
      <c r="J44" s="4">
        <f>'תקציב הנדסה 2021'!J8</f>
        <v>18053</v>
      </c>
      <c r="K44" s="4">
        <f>'תקציב הנדסה 2021'!K8</f>
        <v>18053</v>
      </c>
      <c r="L44" s="4">
        <f>'תקציב הנדסה 2021'!L8</f>
        <v>2913756</v>
      </c>
      <c r="M44" s="4">
        <f>'תקציב הנדסה 2021'!M8</f>
        <v>6244</v>
      </c>
      <c r="N44" s="4">
        <f>'תקציב הנדסה 2021'!N8</f>
        <v>0</v>
      </c>
      <c r="O44" s="4">
        <f>'תקציב הנדסה 2021'!O8</f>
        <v>0</v>
      </c>
      <c r="P44" s="4">
        <f>'תקציב הנדסה 2021'!P8</f>
        <v>6244</v>
      </c>
      <c r="Q44" s="4">
        <f>'תקציב הנדסה 2021'!Q8</f>
        <v>0</v>
      </c>
      <c r="R44" s="4">
        <f>'תקציב הנדסה 2021'!R8</f>
        <v>0</v>
      </c>
      <c r="S44" s="4">
        <f>'תקציב הנדסה 2021'!S8</f>
        <v>0</v>
      </c>
      <c r="T44" s="4">
        <f>'תקציב הנדסה 2021'!T8</f>
        <v>0</v>
      </c>
      <c r="U44" s="4">
        <f>'תקציב הנדסה 2021'!U8</f>
        <v>0</v>
      </c>
      <c r="V44" s="4">
        <f>'תקציב הנדסה 2021'!V8</f>
        <v>0</v>
      </c>
      <c r="W44" s="4">
        <f>'תקציב הנדסה 2021'!W8</f>
        <v>0</v>
      </c>
      <c r="X44" s="4">
        <f>'תקציב הנדסה 2021'!X8</f>
        <v>0</v>
      </c>
      <c r="Y44" s="4">
        <f>'תקציב הנדסה 2021'!Y8</f>
        <v>0</v>
      </c>
      <c r="Z44" s="4">
        <f>'תקציב הנדסה 2021'!Z8</f>
        <v>0</v>
      </c>
      <c r="AA44" s="4">
        <f>'תקציב הנדסה 2021'!AA8</f>
        <v>0</v>
      </c>
      <c r="AB44" s="280" t="str">
        <f>'תקציב הנדסה 2021'!AB8</f>
        <v>התב"ר לסגירה.</v>
      </c>
      <c r="AC44" s="3">
        <f>'תקציב הנדסה 2021'!AC8</f>
        <v>742000</v>
      </c>
      <c r="AD44" s="387"/>
      <c r="AE44" s="387"/>
      <c r="AF44" s="387"/>
    </row>
    <row r="45" spans="1:32" s="5" customFormat="1" ht="28">
      <c r="A45" s="3">
        <f t="shared" si="2"/>
        <v>40</v>
      </c>
      <c r="B45" s="3">
        <f>'תקציב הנדסה 2021'!B9</f>
        <v>592</v>
      </c>
      <c r="C45" s="280" t="str">
        <f>'תקציב הנדסה 2021'!C9</f>
        <v>מתחם הבריגדה מתחם הר' 1960</v>
      </c>
      <c r="D45" s="4">
        <f>'תקציב הנדסה 2021'!D9</f>
        <v>54893000</v>
      </c>
      <c r="E45" s="4">
        <f>'תקציב הנדסה 2021'!E9</f>
        <v>54893000</v>
      </c>
      <c r="F45" s="4">
        <f>'תקציב הנדסה 2021'!F9</f>
        <v>0</v>
      </c>
      <c r="G45" s="4">
        <f>'תקציב הנדסה 2021'!G9</f>
        <v>22020000</v>
      </c>
      <c r="H45" s="4">
        <f>'תקציב הנדסה 2021'!H9</f>
        <v>19123122</v>
      </c>
      <c r="I45" s="4">
        <f>'תקציב הנדסה 2021'!I9</f>
        <v>149112</v>
      </c>
      <c r="J45" s="4">
        <f>'תקציב הנדסה 2021'!J9</f>
        <v>1050364</v>
      </c>
      <c r="K45" s="4">
        <f>'תקציב הנדסה 2021'!K9</f>
        <v>1199476</v>
      </c>
      <c r="L45" s="4">
        <f>'תקציב הנדסה 2021'!L9</f>
        <v>20322598</v>
      </c>
      <c r="M45" s="4">
        <f>'תקציב הנדסה 2021'!M9</f>
        <v>97402</v>
      </c>
      <c r="N45" s="4">
        <f>'תקציב הנדסה 2021'!N9</f>
        <v>1000000</v>
      </c>
      <c r="O45" s="4">
        <f>'תקציב הנדסה 2021'!O9</f>
        <v>33473000</v>
      </c>
      <c r="P45" s="4">
        <f>'תקציב הנדסה 2021'!P9</f>
        <v>1697402</v>
      </c>
      <c r="Q45" s="4">
        <f>'תקציב הנדסה 2021'!Q9</f>
        <v>0</v>
      </c>
      <c r="R45" s="4">
        <f>'תקציב הנדסה 2021'!R9</f>
        <v>0</v>
      </c>
      <c r="S45" s="4">
        <f>'תקציב הנדסה 2021'!S9</f>
        <v>0</v>
      </c>
      <c r="T45" s="4">
        <f>'תקציב הנדסה 2021'!T9</f>
        <v>1600000</v>
      </c>
      <c r="U45" s="4">
        <f>'תקציב הנדסה 2021'!U9</f>
        <v>-600000</v>
      </c>
      <c r="V45" s="4">
        <f>'תקציב הנדסה 2021'!V9</f>
        <v>-600000</v>
      </c>
      <c r="W45" s="4">
        <f>'תקציב הנדסה 2021'!W9</f>
        <v>0</v>
      </c>
      <c r="X45" s="4">
        <f>'תקציב הנדסה 2021'!X9</f>
        <v>0</v>
      </c>
      <c r="Y45" s="4">
        <f>'תקציב הנדסה 2021'!Y9</f>
        <v>0</v>
      </c>
      <c r="Z45" s="4">
        <f>'תקציב הנדסה 2021'!Z9</f>
        <v>0</v>
      </c>
      <c r="AA45" s="4">
        <f>'תקציב הנדסה 2021'!AA9</f>
        <v>0</v>
      </c>
      <c r="AB45" s="280" t="str">
        <f>'תקציב הנדסה 2021'!AB9</f>
        <v xml:space="preserve">השלמת ביצוע  עבודות סלילה ופיתוח סופי רח' דן שומרון. תכנון רח' דורי. </v>
      </c>
      <c r="AC45" s="3">
        <f>'תקציב הנדסה 2021'!AC9</f>
        <v>742000</v>
      </c>
      <c r="AD45" s="387"/>
      <c r="AE45" s="387"/>
      <c r="AF45" s="387"/>
    </row>
    <row r="46" spans="1:32" s="5" customFormat="1" ht="28">
      <c r="A46" s="3">
        <f t="shared" si="2"/>
        <v>41</v>
      </c>
      <c r="B46" s="3">
        <f>'תקציב הנדסה 2021'!B12</f>
        <v>638</v>
      </c>
      <c r="C46" s="280" t="str">
        <f>'תקציב הנדסה 2021'!C12</f>
        <v>פיתוח מתחם רזיאל מע' תב"ע 1706</v>
      </c>
      <c r="D46" s="4">
        <f>'תקציב הנדסה 2021'!D12</f>
        <v>7000000</v>
      </c>
      <c r="E46" s="4">
        <f>'תקציב הנדסה 2021'!E12</f>
        <v>7000000</v>
      </c>
      <c r="F46" s="4">
        <f>'תקציב הנדסה 2021'!F12</f>
        <v>0</v>
      </c>
      <c r="G46" s="4">
        <f>'תקציב הנדסה 2021'!G12</f>
        <v>3936000</v>
      </c>
      <c r="H46" s="4">
        <f>'תקציב הנדסה 2021'!H12</f>
        <v>3713997</v>
      </c>
      <c r="I46" s="4">
        <f>'תקציב הנדסה 2021'!I12</f>
        <v>0</v>
      </c>
      <c r="J46" s="4">
        <f>'תקציב הנדסה 2021'!J12</f>
        <v>221161</v>
      </c>
      <c r="K46" s="4">
        <f>'תקציב הנדסה 2021'!K12</f>
        <v>221161</v>
      </c>
      <c r="L46" s="4">
        <f>'תקציב הנדסה 2021'!L12</f>
        <v>3935158</v>
      </c>
      <c r="M46" s="4">
        <f>'תקציב הנדסה 2021'!M12</f>
        <v>842</v>
      </c>
      <c r="N46" s="4">
        <f>'תקציב הנדסה 2021'!N12</f>
        <v>1500000</v>
      </c>
      <c r="O46" s="4">
        <f>'תקציב הנדסה 2021'!O12</f>
        <v>1564000</v>
      </c>
      <c r="P46" s="4">
        <f>'תקציב הנדסה 2021'!P12</f>
        <v>842</v>
      </c>
      <c r="Q46" s="4">
        <f>'תקציב הנדסה 2021'!Q12</f>
        <v>0</v>
      </c>
      <c r="R46" s="4">
        <f>'תקציב הנדסה 2021'!R12</f>
        <v>0</v>
      </c>
      <c r="S46" s="4">
        <f>'תקציב הנדסה 2021'!S12</f>
        <v>0</v>
      </c>
      <c r="T46" s="4">
        <f>'תקציב הנדסה 2021'!T12</f>
        <v>0</v>
      </c>
      <c r="U46" s="4">
        <f>'תקציב הנדסה 2021'!U12</f>
        <v>1500000</v>
      </c>
      <c r="V46" s="4">
        <f>'תקציב הנדסה 2021'!V12</f>
        <v>1500000</v>
      </c>
      <c r="W46" s="4">
        <f>'תקציב הנדסה 2021'!W12</f>
        <v>0</v>
      </c>
      <c r="X46" s="4">
        <f>'תקציב הנדסה 2021'!X12</f>
        <v>0</v>
      </c>
      <c r="Y46" s="4">
        <f>'תקציב הנדסה 2021'!Y12</f>
        <v>0</v>
      </c>
      <c r="Z46" s="4">
        <f>'תקציב הנדסה 2021'!Z12</f>
        <v>0</v>
      </c>
      <c r="AA46" s="4">
        <f>'תקציב הנדסה 2021'!AA12</f>
        <v>0</v>
      </c>
      <c r="AB46" s="280" t="str">
        <f>'תקציב הנדסה 2021'!AB12</f>
        <v>פיתוח  סופי ברח' זאב במתחם והתחברות כביש סלילה ליהודה הנשיא.</v>
      </c>
      <c r="AC46" s="3">
        <f>'תקציב הנדסה 2021'!AC12</f>
        <v>742000</v>
      </c>
      <c r="AD46" s="387"/>
      <c r="AE46" s="387"/>
      <c r="AF46" s="387"/>
    </row>
    <row r="47" spans="1:32" s="5" customFormat="1" ht="42">
      <c r="A47" s="3">
        <f t="shared" si="2"/>
        <v>42</v>
      </c>
      <c r="B47" s="3">
        <f>'תקציב הנדסה 2021'!B13</f>
        <v>1018</v>
      </c>
      <c r="C47" s="280" t="str">
        <f>'תקציב הנדסה 2021'!C13</f>
        <v>מחלף הרב מכר</v>
      </c>
      <c r="D47" s="4">
        <f>'תקציב הנדסה 2021'!D13</f>
        <v>31900000</v>
      </c>
      <c r="E47" s="4">
        <f>'תקציב הנדסה 2021'!E13</f>
        <v>31900000</v>
      </c>
      <c r="F47" s="4">
        <f>'תקציב הנדסה 2021'!F13</f>
        <v>0</v>
      </c>
      <c r="G47" s="4">
        <f>'תקציב הנדסה 2021'!G13</f>
        <v>3150000</v>
      </c>
      <c r="H47" s="4">
        <f>'תקציב הנדסה 2021'!H13</f>
        <v>3059671</v>
      </c>
      <c r="I47" s="4">
        <f>'תקציב הנדסה 2021'!I13</f>
        <v>84193</v>
      </c>
      <c r="J47" s="4">
        <f>'תקציב הנדסה 2021'!J13</f>
        <v>0</v>
      </c>
      <c r="K47" s="4">
        <f>'תקציב הנדסה 2021'!K13</f>
        <v>84193</v>
      </c>
      <c r="L47" s="4">
        <f>'תקציב הנדסה 2021'!L13</f>
        <v>3143864</v>
      </c>
      <c r="M47" s="4">
        <f>'תקציב הנדסה 2021'!M13</f>
        <v>6136</v>
      </c>
      <c r="N47" s="4">
        <f>'תקציב הנדסה 2021'!N13</f>
        <v>0</v>
      </c>
      <c r="O47" s="4">
        <f>'תקציב הנדסה 2021'!O13</f>
        <v>28750000</v>
      </c>
      <c r="P47" s="4">
        <f>'תקציב הנדסה 2021'!P13</f>
        <v>6136</v>
      </c>
      <c r="Q47" s="4">
        <f>'תקציב הנדסה 2021'!Q13</f>
        <v>0</v>
      </c>
      <c r="R47" s="4">
        <f>'תקציב הנדסה 2021'!R13</f>
        <v>0</v>
      </c>
      <c r="S47" s="4">
        <f>'תקציב הנדסה 2021'!S13</f>
        <v>0</v>
      </c>
      <c r="T47" s="4">
        <f>'תקציב הנדסה 2021'!T13</f>
        <v>0</v>
      </c>
      <c r="U47" s="4">
        <f>'תקציב הנדסה 2021'!U13</f>
        <v>0</v>
      </c>
      <c r="V47" s="4">
        <f>'תקציב הנדסה 2021'!V13</f>
        <v>0</v>
      </c>
      <c r="W47" s="4">
        <f>'תקציב הנדסה 2021'!W13</f>
        <v>0</v>
      </c>
      <c r="X47" s="4">
        <f>'תקציב הנדסה 2021'!X13</f>
        <v>0</v>
      </c>
      <c r="Y47" s="4">
        <f>'תקציב הנדסה 2021'!Y13</f>
        <v>0</v>
      </c>
      <c r="Z47" s="4">
        <f>'תקציב הנדסה 2021'!Z13</f>
        <v>0</v>
      </c>
      <c r="AA47" s="4">
        <f>'תקציב הנדסה 2021'!AA13</f>
        <v>0</v>
      </c>
      <c r="AB47" s="280" t="str">
        <f>'תקציב הנדסה 2021'!AB13</f>
        <v>פרויקט ממשלתי המתוקצב ע"י המדינה במקביל לרשות. הביצוע העירוני מתעכב עקב בעית פולש והמינהל.</v>
      </c>
      <c r="AC47" s="3">
        <f>'תקציב הנדסה 2021'!AC13</f>
        <v>742000</v>
      </c>
      <c r="AD47" s="387"/>
      <c r="AE47" s="387"/>
      <c r="AF47" s="387"/>
    </row>
    <row r="48" spans="1:32" s="5" customFormat="1" ht="28">
      <c r="A48" s="3">
        <f t="shared" si="2"/>
        <v>43</v>
      </c>
      <c r="B48" s="3">
        <f>'תקציב הנדסה 2021'!B15</f>
        <v>1129</v>
      </c>
      <c r="C48" s="280" t="str">
        <f>'תקציב הנדסה 2021'!C15</f>
        <v>עבודות פיתוח ותשתיות קטנות</v>
      </c>
      <c r="D48" s="4">
        <f>'תקציב הנדסה 2021'!D15</f>
        <v>7000000</v>
      </c>
      <c r="E48" s="4">
        <f>'תקציב הנדסה 2021'!E15</f>
        <v>7000000</v>
      </c>
      <c r="F48" s="4">
        <f>'תקציב הנדסה 2021'!F15</f>
        <v>0</v>
      </c>
      <c r="G48" s="4">
        <f>'תקציב הנדסה 2021'!G15</f>
        <v>6191771</v>
      </c>
      <c r="H48" s="4">
        <f>'תקציב הנדסה 2021'!H15</f>
        <v>5147258</v>
      </c>
      <c r="I48" s="4">
        <f>'תקציב הנדסה 2021'!I15</f>
        <v>0</v>
      </c>
      <c r="J48" s="4">
        <f>'תקציב הנדסה 2021'!J15</f>
        <v>665793</v>
      </c>
      <c r="K48" s="4">
        <f>'תקציב הנדסה 2021'!K15</f>
        <v>665793</v>
      </c>
      <c r="L48" s="4">
        <f>'תקציב הנדסה 2021'!L15</f>
        <v>5813051</v>
      </c>
      <c r="M48" s="4">
        <f>'תקציב הנדסה 2021'!M15</f>
        <v>78720</v>
      </c>
      <c r="N48" s="4">
        <f>'תקציב הנדסה 2021'!N15</f>
        <v>600000</v>
      </c>
      <c r="O48" s="4">
        <f>'תקציב הנדסה 2021'!O15</f>
        <v>508229</v>
      </c>
      <c r="P48" s="4">
        <f>'תקציב הנדסה 2021'!P15</f>
        <v>378720</v>
      </c>
      <c r="Q48" s="4">
        <f>'תקציב הנדסה 2021'!Q15</f>
        <v>0</v>
      </c>
      <c r="R48" s="4">
        <f>'תקציב הנדסה 2021'!R15</f>
        <v>0</v>
      </c>
      <c r="S48" s="4">
        <f>'תקציב הנדסה 2021'!S15</f>
        <v>0</v>
      </c>
      <c r="T48" s="4">
        <f>'תקציב הנדסה 2021'!T15</f>
        <v>300000</v>
      </c>
      <c r="U48" s="4">
        <f>'תקציב הנדסה 2021'!U15</f>
        <v>300000</v>
      </c>
      <c r="V48" s="4">
        <f>'תקציב הנדסה 2021'!V15</f>
        <v>300000</v>
      </c>
      <c r="W48" s="4">
        <f>'תקציב הנדסה 2021'!W15</f>
        <v>0</v>
      </c>
      <c r="X48" s="4">
        <f>'תקציב הנדסה 2021'!X15</f>
        <v>0</v>
      </c>
      <c r="Y48" s="4">
        <f>'תקציב הנדסה 2021'!Y15</f>
        <v>0</v>
      </c>
      <c r="Z48" s="4">
        <f>'תקציב הנדסה 2021'!Z15</f>
        <v>0</v>
      </c>
      <c r="AA48" s="4">
        <f>'תקציב הנדסה 2021'!AA15</f>
        <v>0</v>
      </c>
      <c r="AB48" s="280" t="str">
        <f>'תקציב הנדסה 2021'!AB15</f>
        <v>סל עבודות פיתוח קטנות מזדמנות הנדרשות במהלך השנה.</v>
      </c>
      <c r="AC48" s="3">
        <f>'תקציב הנדסה 2021'!AC15</f>
        <v>742000</v>
      </c>
      <c r="AD48" s="387"/>
      <c r="AE48" s="387"/>
      <c r="AF48" s="387"/>
    </row>
    <row r="49" spans="1:32" s="5" customFormat="1" ht="42">
      <c r="A49" s="3">
        <f t="shared" si="2"/>
        <v>44</v>
      </c>
      <c r="B49" s="3">
        <f>'תקציב הנדסה 2021'!B18</f>
        <v>1363</v>
      </c>
      <c r="C49" s="280" t="str">
        <f>'תקציב הנדסה 2021'!C18</f>
        <v>מתחם יהודה המכבי וזוהר טל</v>
      </c>
      <c r="D49" s="4">
        <f>'תקציב הנדסה 2021'!D18</f>
        <v>7550000</v>
      </c>
      <c r="E49" s="4">
        <f>'תקציב הנדסה 2021'!E18</f>
        <v>15500000</v>
      </c>
      <c r="F49" s="4">
        <f>'תקציב הנדסה 2021'!F18</f>
        <v>-7950000</v>
      </c>
      <c r="G49" s="4">
        <f>'תקציב הנדסה 2021'!G18</f>
        <v>8050000</v>
      </c>
      <c r="H49" s="4">
        <f>'תקציב הנדסה 2021'!H18</f>
        <v>5873469</v>
      </c>
      <c r="I49" s="4">
        <f>'תקציב הנדסה 2021'!I18</f>
        <v>72510</v>
      </c>
      <c r="J49" s="4">
        <f>'תקציב הנדסה 2021'!J18</f>
        <v>1132586</v>
      </c>
      <c r="K49" s="4">
        <f>'תקציב הנדסה 2021'!K18</f>
        <v>1205096</v>
      </c>
      <c r="L49" s="4">
        <f>'תקציב הנדסה 2021'!L18</f>
        <v>7078565</v>
      </c>
      <c r="M49" s="4">
        <f>'תקציב הנדסה 2021'!M18</f>
        <v>471435</v>
      </c>
      <c r="N49" s="4">
        <f>'תקציב הנדסה 2021'!N18</f>
        <v>0</v>
      </c>
      <c r="O49" s="4">
        <f>'תקציב הנדסה 2021'!O18</f>
        <v>0</v>
      </c>
      <c r="P49" s="4">
        <f>'תקציב הנדסה 2021'!P18</f>
        <v>971435</v>
      </c>
      <c r="Q49" s="4">
        <f>'תקציב הנדסה 2021'!Q18</f>
        <v>0</v>
      </c>
      <c r="R49" s="4">
        <f>'תקציב הנדסה 2021'!R18</f>
        <v>0</v>
      </c>
      <c r="S49" s="4">
        <f>'תקציב הנדסה 2021'!S18</f>
        <v>0</v>
      </c>
      <c r="T49" s="4">
        <f>'תקציב הנדסה 2021'!T18</f>
        <v>500000</v>
      </c>
      <c r="U49" s="4">
        <f>'תקציב הנדסה 2021'!U18</f>
        <v>-500000</v>
      </c>
      <c r="V49" s="4">
        <f>'תקציב הנדסה 2021'!V18</f>
        <v>-500000</v>
      </c>
      <c r="W49" s="4">
        <f>'תקציב הנדסה 2021'!W18</f>
        <v>0</v>
      </c>
      <c r="X49" s="4">
        <f>'תקציב הנדסה 2021'!X18</f>
        <v>0</v>
      </c>
      <c r="Y49" s="4">
        <f>'תקציב הנדסה 2021'!Y18</f>
        <v>0</v>
      </c>
      <c r="Z49" s="4">
        <f>'תקציב הנדסה 2021'!Z18</f>
        <v>0</v>
      </c>
      <c r="AA49" s="4">
        <f>'תקציב הנדסה 2021'!AA18</f>
        <v>0</v>
      </c>
      <c r="AB49" s="280" t="str">
        <f>'תקציב הנדסה 2021'!AB18</f>
        <v>פיתוח מתחם הרחובות יהודה המכבי, זוהר טל, האצל, הגבורה. סיום. ח-ן סופיים.</v>
      </c>
      <c r="AC49" s="3">
        <f>'תקציב הנדסה 2021'!AC18</f>
        <v>742000</v>
      </c>
      <c r="AD49" s="387"/>
      <c r="AE49" s="387"/>
      <c r="AF49" s="387"/>
    </row>
    <row r="50" spans="1:32" s="617" customFormat="1" ht="56">
      <c r="A50" s="3">
        <f t="shared" si="2"/>
        <v>45</v>
      </c>
      <c r="B50" s="3">
        <f>'תקציב הנדסה 2021'!B19</f>
        <v>1366</v>
      </c>
      <c r="C50" s="280" t="str">
        <f>'תקציב הנדסה 2021'!C19</f>
        <v>ליווי תשתיות לאומיות</v>
      </c>
      <c r="D50" s="4">
        <f>'תקציב הנדסה 2021'!D19</f>
        <v>1500000</v>
      </c>
      <c r="E50" s="4">
        <f>'תקציב הנדסה 2021'!E19</f>
        <v>1500000</v>
      </c>
      <c r="F50" s="4">
        <f>'תקציב הנדסה 2021'!F19</f>
        <v>0</v>
      </c>
      <c r="G50" s="4">
        <f>'תקציב הנדסה 2021'!G19</f>
        <v>846000</v>
      </c>
      <c r="H50" s="4">
        <f>'תקציב הנדסה 2021'!H19</f>
        <v>742521</v>
      </c>
      <c r="I50" s="4">
        <f>'תקציב הנדסה 2021'!I19</f>
        <v>0</v>
      </c>
      <c r="J50" s="4">
        <f>'תקציב הנדסה 2021'!J19</f>
        <v>0</v>
      </c>
      <c r="K50" s="4">
        <f>'תקציב הנדסה 2021'!K19</f>
        <v>0</v>
      </c>
      <c r="L50" s="4">
        <f>'תקציב הנדסה 2021'!L19</f>
        <v>742521</v>
      </c>
      <c r="M50" s="4">
        <f>'תקציב הנדסה 2021'!M19</f>
        <v>3479</v>
      </c>
      <c r="N50" s="4">
        <f>'תקציב הנדסה 2021'!N19</f>
        <v>400000</v>
      </c>
      <c r="O50" s="4">
        <f>'תקציב הנדסה 2021'!O19</f>
        <v>354000</v>
      </c>
      <c r="P50" s="4">
        <f>'תקציב הנדסה 2021'!P19</f>
        <v>103479</v>
      </c>
      <c r="Q50" s="4">
        <f>'תקציב הנדסה 2021'!Q19</f>
        <v>0</v>
      </c>
      <c r="R50" s="4">
        <f>'תקציב הנדסה 2021'!R19</f>
        <v>0</v>
      </c>
      <c r="S50" s="4">
        <f>'תקציב הנדסה 2021'!S19</f>
        <v>0</v>
      </c>
      <c r="T50" s="4">
        <f>'תקציב הנדסה 2021'!T19</f>
        <v>100000</v>
      </c>
      <c r="U50" s="4">
        <f>'תקציב הנדסה 2021'!U19</f>
        <v>300000</v>
      </c>
      <c r="V50" s="4">
        <f>'תקציב הנדסה 2021'!V19</f>
        <v>300000</v>
      </c>
      <c r="W50" s="4">
        <f>'תקציב הנדסה 2021'!W19</f>
        <v>0</v>
      </c>
      <c r="X50" s="4">
        <f>'תקציב הנדסה 2021'!X19</f>
        <v>0</v>
      </c>
      <c r="Y50" s="4">
        <f>'תקציב הנדסה 2021'!Y19</f>
        <v>0</v>
      </c>
      <c r="Z50" s="4">
        <f>'תקציב הנדסה 2021'!Z19</f>
        <v>0</v>
      </c>
      <c r="AA50" s="4">
        <f>'תקציב הנדסה 2021'!AA19</f>
        <v>0</v>
      </c>
      <c r="AB50" s="280" t="str">
        <f>'תקציב הנדסה 2021'!AB19</f>
        <v>ליווי תוכנית הקו הירוק , קו המטרו , מהיר לעיר ואחרים המבוצעים ע"י מ. התחבורה. יועצי תנועה, מפקחים, יועצי בטיחות.</v>
      </c>
      <c r="AC50" s="3">
        <f>'תקציב הנדסה 2021'!AC19</f>
        <v>742000</v>
      </c>
      <c r="AD50" s="387"/>
      <c r="AE50" s="387"/>
      <c r="AF50" s="387"/>
    </row>
    <row r="51" spans="1:32" s="5" customFormat="1" ht="42">
      <c r="A51" s="3">
        <f t="shared" si="2"/>
        <v>46</v>
      </c>
      <c r="B51" s="3">
        <f>'תקציב הנדסה 2021'!B23</f>
        <v>1457</v>
      </c>
      <c r="C51" s="280" t="str">
        <f>'תקציב הנדסה 2021'!C23</f>
        <v xml:space="preserve">ליווי "מהיר" לעיר </v>
      </c>
      <c r="D51" s="4">
        <f>'תקציב הנדסה 2021'!D23</f>
        <v>230000</v>
      </c>
      <c r="E51" s="4">
        <f>'תקציב הנדסה 2021'!E23</f>
        <v>1100000</v>
      </c>
      <c r="F51" s="4">
        <f>'תקציב הנדסה 2021'!F23</f>
        <v>-870000</v>
      </c>
      <c r="G51" s="4">
        <f>'תקציב הנדסה 2021'!G23</f>
        <v>430000</v>
      </c>
      <c r="H51" s="4">
        <f>'תקציב הנדסה 2021'!H23</f>
        <v>171904</v>
      </c>
      <c r="I51" s="4">
        <f>'תקציב הנדסה 2021'!I23</f>
        <v>0</v>
      </c>
      <c r="J51" s="4">
        <f>'תקציב הנדסה 2021'!J23</f>
        <v>28846</v>
      </c>
      <c r="K51" s="4">
        <f>'תקציב הנדסה 2021'!K23</f>
        <v>28846</v>
      </c>
      <c r="L51" s="4">
        <f>'תקציב הנדסה 2021'!L23</f>
        <v>200750</v>
      </c>
      <c r="M51" s="4">
        <f>'תקציב הנדסה 2021'!M23</f>
        <v>29250</v>
      </c>
      <c r="N51" s="4">
        <f>'תקציב הנדסה 2021'!N23</f>
        <v>0</v>
      </c>
      <c r="O51" s="4">
        <f>'תקציב הנדסה 2021'!O23</f>
        <v>0</v>
      </c>
      <c r="P51" s="4">
        <f>'תקציב הנדסה 2021'!P23</f>
        <v>229250</v>
      </c>
      <c r="Q51" s="4">
        <f>'תקציב הנדסה 2021'!Q23</f>
        <v>0</v>
      </c>
      <c r="R51" s="4">
        <f>'תקציב הנדסה 2021'!R23</f>
        <v>0</v>
      </c>
      <c r="S51" s="4">
        <f>'תקציב הנדסה 2021'!S23</f>
        <v>0</v>
      </c>
      <c r="T51" s="4">
        <f>'תקציב הנדסה 2021'!T23</f>
        <v>200000</v>
      </c>
      <c r="U51" s="4">
        <f>'תקציב הנדסה 2021'!U23</f>
        <v>-200000</v>
      </c>
      <c r="V51" s="4">
        <f>'תקציב הנדסה 2021'!V23</f>
        <v>-200000</v>
      </c>
      <c r="W51" s="4">
        <f>'תקציב הנדסה 2021'!W23</f>
        <v>0</v>
      </c>
      <c r="X51" s="4">
        <f>'תקציב הנדסה 2021'!X23</f>
        <v>0</v>
      </c>
      <c r="Y51" s="4">
        <f>'תקציב הנדסה 2021'!Y23</f>
        <v>0</v>
      </c>
      <c r="Z51" s="4">
        <f>'תקציב הנדסה 2021'!Z23</f>
        <v>0</v>
      </c>
      <c r="AA51" s="4">
        <f>'תקציב הנדסה 2021'!AA23</f>
        <v>0</v>
      </c>
      <c r="AB51" s="280" t="str">
        <f>'תקציב הנדסה 2021'!AB23</f>
        <v>העסקת צוות יועצים שילווה את התכנון והביצוע של הפרויקט. התב"ר לסגירה. ראה תב"ר 1366.</v>
      </c>
      <c r="AC51" s="3">
        <f>'תקציב הנדסה 2021'!AC23</f>
        <v>742000</v>
      </c>
      <c r="AD51" s="387"/>
      <c r="AE51" s="387"/>
      <c r="AF51" s="387"/>
    </row>
    <row r="52" spans="1:32" s="6" customFormat="1" ht="56">
      <c r="A52" s="3">
        <f t="shared" si="2"/>
        <v>47</v>
      </c>
      <c r="B52" s="3">
        <f>'תקציב הנדסה 2021'!B25</f>
        <v>1511</v>
      </c>
      <c r="C52" s="280" t="str">
        <f>'תקציב הנדסה 2021'!C25</f>
        <v>פתוח קטעי רח' דרך ירושלים גולומב</v>
      </c>
      <c r="D52" s="4">
        <f>'תקציב הנדסה 2021'!D25</f>
        <v>960000</v>
      </c>
      <c r="E52" s="4">
        <f>'תקציב הנדסה 2021'!E25</f>
        <v>960000</v>
      </c>
      <c r="F52" s="4">
        <f>'תקציב הנדסה 2021'!F25</f>
        <v>0</v>
      </c>
      <c r="G52" s="4">
        <f>'תקציב הנדסה 2021'!G25</f>
        <v>100000</v>
      </c>
      <c r="H52" s="4">
        <f>'תקציב הנדסה 2021'!H25</f>
        <v>17284</v>
      </c>
      <c r="I52" s="4">
        <f>'תקציב הנדסה 2021'!I25</f>
        <v>0</v>
      </c>
      <c r="J52" s="4">
        <f>'תקציב הנדסה 2021'!J25</f>
        <v>0</v>
      </c>
      <c r="K52" s="4">
        <f>'תקציב הנדסה 2021'!K25</f>
        <v>0</v>
      </c>
      <c r="L52" s="4">
        <f>'תקציב הנדסה 2021'!L25</f>
        <v>17284</v>
      </c>
      <c r="M52" s="4">
        <f>'תקציב הנדסה 2021'!M25</f>
        <v>82716</v>
      </c>
      <c r="N52" s="4">
        <f>'תקציב הנדסה 2021'!N25</f>
        <v>0</v>
      </c>
      <c r="O52" s="4">
        <f>'תקציב הנדסה 2021'!O25</f>
        <v>860000</v>
      </c>
      <c r="P52" s="4">
        <f>'תקציב הנדסה 2021'!P25</f>
        <v>82716</v>
      </c>
      <c r="Q52" s="4">
        <f>'תקציב הנדסה 2021'!Q25</f>
        <v>0</v>
      </c>
      <c r="R52" s="4">
        <f>'תקציב הנדסה 2021'!R25</f>
        <v>0</v>
      </c>
      <c r="S52" s="4">
        <f>'תקציב הנדסה 2021'!S25</f>
        <v>0</v>
      </c>
      <c r="T52" s="4">
        <f>'תקציב הנדסה 2021'!T25</f>
        <v>0</v>
      </c>
      <c r="U52" s="4">
        <f>'תקציב הנדסה 2021'!U25</f>
        <v>0</v>
      </c>
      <c r="V52" s="4">
        <f>'תקציב הנדסה 2021'!V25</f>
        <v>0</v>
      </c>
      <c r="W52" s="4">
        <f>'תקציב הנדסה 2021'!W25</f>
        <v>0</v>
      </c>
      <c r="X52" s="4">
        <f>'תקציב הנדסה 2021'!X25</f>
        <v>0</v>
      </c>
      <c r="Y52" s="4">
        <f>'תקציב הנדסה 2021'!Y25</f>
        <v>0</v>
      </c>
      <c r="Z52" s="4">
        <f>'תקציב הנדסה 2021'!Z25</f>
        <v>0</v>
      </c>
      <c r="AA52" s="4">
        <f>'תקציב הנדסה 2021'!AA25</f>
        <v>0</v>
      </c>
      <c r="AB52" s="280" t="str">
        <f>'תקציב הנדסה 2021'!AB25</f>
        <v xml:space="preserve">הקמת חניות והסדרים גיאומטרים ליד מבנה לזכר השואה שיוקם ע"י היזם (ליאור דינור ואחרים). מימון היזם מובטח בערבות. </v>
      </c>
      <c r="AC52" s="3">
        <f>'תקציב הנדסה 2021'!AC25</f>
        <v>742000</v>
      </c>
      <c r="AD52" s="387"/>
      <c r="AE52" s="387"/>
      <c r="AF52" s="387"/>
    </row>
    <row r="53" spans="1:32" s="5" customFormat="1" ht="30" customHeight="1">
      <c r="A53" s="3">
        <f t="shared" si="2"/>
        <v>48</v>
      </c>
      <c r="B53" s="3">
        <f>'תקציב הנדסה 2021'!B31</f>
        <v>1587</v>
      </c>
      <c r="C53" s="280" t="str">
        <f>'תקציב הנדסה 2021'!C31</f>
        <v>פיתוח מתחם המכללות הר' 1920/1</v>
      </c>
      <c r="D53" s="4">
        <f>'תקציב הנדסה 2021'!D31</f>
        <v>34200000</v>
      </c>
      <c r="E53" s="4">
        <f>'תקציב הנדסה 2021'!E31</f>
        <v>34200000</v>
      </c>
      <c r="F53" s="4">
        <f>'תקציב הנדסה 2021'!F31</f>
        <v>0</v>
      </c>
      <c r="G53" s="4">
        <f>'תקציב הנדסה 2021'!G31</f>
        <v>12550000</v>
      </c>
      <c r="H53" s="4">
        <f>'תקציב הנדסה 2021'!H31</f>
        <v>8932630</v>
      </c>
      <c r="I53" s="4">
        <f>'תקציב הנדסה 2021'!I31</f>
        <v>1089975</v>
      </c>
      <c r="J53" s="4">
        <f>'תקציב הנדסה 2021'!J31</f>
        <v>1077252</v>
      </c>
      <c r="K53" s="4">
        <f>'תקציב הנדסה 2021'!K31</f>
        <v>2167227</v>
      </c>
      <c r="L53" s="4">
        <f>'תקציב הנדסה 2021'!L31</f>
        <v>11099857</v>
      </c>
      <c r="M53" s="4">
        <f>'תקציב הנדסה 2021'!M31</f>
        <v>50143</v>
      </c>
      <c r="N53" s="4">
        <f>'תקציב הנדסה 2021'!N31</f>
        <v>1500000</v>
      </c>
      <c r="O53" s="4">
        <f>'תקציב הנדסה 2021'!O31</f>
        <v>21550000</v>
      </c>
      <c r="P53" s="4">
        <f>'תקציב הנדסה 2021'!P31</f>
        <v>1450143</v>
      </c>
      <c r="Q53" s="4">
        <f>'תקציב הנדסה 2021'!Q31</f>
        <v>0</v>
      </c>
      <c r="R53" s="4">
        <f>'תקציב הנדסה 2021'!R31</f>
        <v>0</v>
      </c>
      <c r="S53" s="4">
        <f>'תקציב הנדסה 2021'!S31</f>
        <v>0</v>
      </c>
      <c r="T53" s="4">
        <f>'תקציב הנדסה 2021'!T31</f>
        <v>1400000</v>
      </c>
      <c r="U53" s="4">
        <f>'תקציב הנדסה 2021'!U31</f>
        <v>100000</v>
      </c>
      <c r="V53" s="4">
        <f>'תקציב הנדסה 2021'!V31</f>
        <v>100000</v>
      </c>
      <c r="W53" s="4">
        <f>'תקציב הנדסה 2021'!W31</f>
        <v>0</v>
      </c>
      <c r="X53" s="4">
        <f>'תקציב הנדסה 2021'!X31</f>
        <v>0</v>
      </c>
      <c r="Y53" s="4">
        <f>'תקציב הנדסה 2021'!Y31</f>
        <v>0</v>
      </c>
      <c r="Z53" s="4">
        <f>'תקציב הנדסה 2021'!Z31</f>
        <v>0</v>
      </c>
      <c r="AA53" s="4">
        <f>'תקציב הנדסה 2021'!AA31</f>
        <v>0</v>
      </c>
      <c r="AB53" s="280" t="str">
        <f>'תקציב הנדסה 2021'!AB31</f>
        <v xml:space="preserve">עבודה סלילה, גינון ותאורה במתחם. </v>
      </c>
      <c r="AC53" s="3">
        <f>'תקציב הנדסה 2021'!AC31</f>
        <v>742000</v>
      </c>
      <c r="AD53" s="387"/>
      <c r="AE53" s="387"/>
      <c r="AF53" s="387"/>
    </row>
    <row r="54" spans="1:32" s="5" customFormat="1" ht="27" customHeight="1">
      <c r="A54" s="3">
        <f t="shared" si="2"/>
        <v>49</v>
      </c>
      <c r="B54" s="3">
        <f>'תקציב הנדסה 2021'!B32</f>
        <v>1601</v>
      </c>
      <c r="C54" s="280" t="str">
        <f>'תקציב הנדסה 2021'!C32</f>
        <v>העתקות פרויקטים שונים</v>
      </c>
      <c r="D54" s="4">
        <f>'תקציב הנדסה 2021'!D32</f>
        <v>700000</v>
      </c>
      <c r="E54" s="4">
        <f>'תקציב הנדסה 2021'!E32</f>
        <v>700000</v>
      </c>
      <c r="F54" s="4">
        <f>'תקציב הנדסה 2021'!F32</f>
        <v>0</v>
      </c>
      <c r="G54" s="4">
        <f>'תקציב הנדסה 2021'!G32</f>
        <v>650000</v>
      </c>
      <c r="H54" s="4">
        <f>'תקציב הנדסה 2021'!H32</f>
        <v>538227</v>
      </c>
      <c r="I54" s="4">
        <f>'תקציב הנדסה 2021'!I32</f>
        <v>0</v>
      </c>
      <c r="J54" s="4">
        <f>'תקציב הנדסה 2021'!J32</f>
        <v>0</v>
      </c>
      <c r="K54" s="4">
        <f>'תקציב הנדסה 2021'!K32</f>
        <v>0</v>
      </c>
      <c r="L54" s="4">
        <f>'תקציב הנדסה 2021'!L32</f>
        <v>538227</v>
      </c>
      <c r="M54" s="4">
        <f>'תקציב הנדסה 2021'!M32</f>
        <v>11773</v>
      </c>
      <c r="N54" s="4">
        <f>'תקציב הנדסה 2021'!N32</f>
        <v>100000</v>
      </c>
      <c r="O54" s="4">
        <f>'תקציב הנדסה 2021'!O32</f>
        <v>50000</v>
      </c>
      <c r="P54" s="4">
        <f>'תקציב הנדסה 2021'!P32</f>
        <v>111773</v>
      </c>
      <c r="Q54" s="4">
        <f>'תקציב הנדסה 2021'!Q32</f>
        <v>0</v>
      </c>
      <c r="R54" s="4">
        <f>'תקציב הנדסה 2021'!R32</f>
        <v>0</v>
      </c>
      <c r="S54" s="4">
        <f>'תקציב הנדסה 2021'!S32</f>
        <v>0</v>
      </c>
      <c r="T54" s="4">
        <f>'תקציב הנדסה 2021'!T32</f>
        <v>100000</v>
      </c>
      <c r="U54" s="4">
        <f>'תקציב הנדסה 2021'!U32</f>
        <v>0</v>
      </c>
      <c r="V54" s="4">
        <f>'תקציב הנדסה 2021'!V32</f>
        <v>0</v>
      </c>
      <c r="W54" s="4">
        <f>'תקציב הנדסה 2021'!W32</f>
        <v>0</v>
      </c>
      <c r="X54" s="4">
        <f>'תקציב הנדסה 2021'!X32</f>
        <v>0</v>
      </c>
      <c r="Y54" s="4">
        <f>'תקציב הנדסה 2021'!Y32</f>
        <v>0</v>
      </c>
      <c r="Z54" s="4">
        <f>'תקציב הנדסה 2021'!Z32</f>
        <v>0</v>
      </c>
      <c r="AA54" s="4">
        <f>'תקציב הנדסה 2021'!AA32</f>
        <v>0</v>
      </c>
      <c r="AB54" s="280" t="str">
        <f>'תקציב הנדסה 2021'!AB32</f>
        <v>סל העתקות אור של תוכניות הפרויקטים השונים.</v>
      </c>
      <c r="AC54" s="3">
        <f>'תקציב הנדסה 2021'!AC32</f>
        <v>742000</v>
      </c>
      <c r="AD54" s="387"/>
      <c r="AE54" s="387"/>
      <c r="AF54" s="387"/>
    </row>
    <row r="55" spans="1:32" s="5" customFormat="1" ht="28">
      <c r="A55" s="3">
        <f t="shared" si="2"/>
        <v>50</v>
      </c>
      <c r="B55" s="3">
        <f>'תקציב הנדסה 2021'!B33</f>
        <v>1602</v>
      </c>
      <c r="C55" s="280" t="str">
        <f>'תקציב הנדסה 2021'!C33</f>
        <v>רח' ז'בוטינסקי אלתרמן הבריגדה</v>
      </c>
      <c r="D55" s="4">
        <f>'תקציב הנדסה 2021'!D33</f>
        <v>32000000</v>
      </c>
      <c r="E55" s="4">
        <f>'תקציב הנדסה 2021'!E33</f>
        <v>32500000</v>
      </c>
      <c r="F55" s="4">
        <f>'תקציב הנדסה 2021'!F33</f>
        <v>-500000</v>
      </c>
      <c r="G55" s="4">
        <f>'תקציב הנדסה 2021'!G33</f>
        <v>32500000</v>
      </c>
      <c r="H55" s="4">
        <f>'תקציב הנדסה 2021'!H33</f>
        <v>29113324</v>
      </c>
      <c r="I55" s="4">
        <f>'תקציב הנדסה 2021'!I33</f>
        <v>2559506</v>
      </c>
      <c r="J55" s="4">
        <f>'תקציב הנדסה 2021'!J33</f>
        <v>119805</v>
      </c>
      <c r="K55" s="4">
        <f>'תקציב הנדסה 2021'!K33</f>
        <v>2679311</v>
      </c>
      <c r="L55" s="4">
        <f>'תקציב הנדסה 2021'!L33</f>
        <v>31792635</v>
      </c>
      <c r="M55" s="4">
        <f>'תקציב הנדסה 2021'!M33</f>
        <v>207365</v>
      </c>
      <c r="N55" s="4">
        <f>'תקציב הנדסה 2021'!N33</f>
        <v>0</v>
      </c>
      <c r="O55" s="4">
        <f>'תקציב הנדסה 2021'!O33</f>
        <v>0</v>
      </c>
      <c r="P55" s="4">
        <f>'תקציב הנדסה 2021'!P33</f>
        <v>707365</v>
      </c>
      <c r="Q55" s="4">
        <f>'תקציב הנדסה 2021'!Q33</f>
        <v>0</v>
      </c>
      <c r="R55" s="4">
        <f>'תקציב הנדסה 2021'!R33</f>
        <v>0</v>
      </c>
      <c r="S55" s="4">
        <f>'תקציב הנדסה 2021'!S33</f>
        <v>0</v>
      </c>
      <c r="T55" s="4">
        <f>'תקציב הנדסה 2021'!T33</f>
        <v>500000</v>
      </c>
      <c r="U55" s="4">
        <f>'תקציב הנדסה 2021'!U33</f>
        <v>-500000</v>
      </c>
      <c r="V55" s="4">
        <f>'תקציב הנדסה 2021'!V33</f>
        <v>-500000</v>
      </c>
      <c r="W55" s="4">
        <f>'תקציב הנדסה 2021'!W33</f>
        <v>0</v>
      </c>
      <c r="X55" s="4">
        <f>'תקציב הנדסה 2021'!X33</f>
        <v>0</v>
      </c>
      <c r="Y55" s="4">
        <f>'תקציב הנדסה 2021'!Y33</f>
        <v>0</v>
      </c>
      <c r="Z55" s="4">
        <f>'תקציב הנדסה 2021'!Z33</f>
        <v>0</v>
      </c>
      <c r="AA55" s="4">
        <f>'תקציב הנדסה 2021'!AA33</f>
        <v>0</v>
      </c>
      <c r="AB55" s="280" t="str">
        <f>'תקציב הנדסה 2021'!AB33</f>
        <v>עבודות פיתוח במתחם הרחובות והרחבתם.סיום. ח-ן סופיים.</v>
      </c>
      <c r="AC55" s="3">
        <f>'תקציב הנדסה 2021'!AC33</f>
        <v>742000</v>
      </c>
      <c r="AD55" s="387"/>
      <c r="AE55" s="387"/>
      <c r="AF55" s="387"/>
    </row>
    <row r="56" spans="1:32" s="5" customFormat="1" ht="42">
      <c r="A56" s="3">
        <f t="shared" si="2"/>
        <v>51</v>
      </c>
      <c r="B56" s="3">
        <f>'תקציב הנדסה 2021'!B36</f>
        <v>1670</v>
      </c>
      <c r="C56" s="280" t="str">
        <f>'תקציב הנדסה 2021'!C36</f>
        <v>פתוח מתחם הר' 1972 תחנה מרכזית</v>
      </c>
      <c r="D56" s="4">
        <f>'תקציב הנדסה 2021'!D36</f>
        <v>17800000</v>
      </c>
      <c r="E56" s="4">
        <f>'תקציב הנדסה 2021'!E36</f>
        <v>12500000</v>
      </c>
      <c r="F56" s="4">
        <f>'תקציב הנדסה 2021'!F36</f>
        <v>5300000</v>
      </c>
      <c r="G56" s="4">
        <f>'תקציב הנדסה 2021'!G36</f>
        <v>1550000</v>
      </c>
      <c r="H56" s="4">
        <f>'תקציב הנדסה 2021'!H36</f>
        <v>191608</v>
      </c>
      <c r="I56" s="4">
        <f>'תקציב הנדסה 2021'!I36</f>
        <v>195570</v>
      </c>
      <c r="J56" s="4">
        <f>'תקציב הנדסה 2021'!J36</f>
        <v>78302</v>
      </c>
      <c r="K56" s="4">
        <f>'תקציב הנדסה 2021'!K36</f>
        <v>273872</v>
      </c>
      <c r="L56" s="4">
        <f>'תקציב הנדסה 2021'!L36</f>
        <v>465480</v>
      </c>
      <c r="M56" s="4">
        <f>'תקציב הנדסה 2021'!M36</f>
        <v>84520</v>
      </c>
      <c r="N56" s="4">
        <f>'תקציב הנדסה 2021'!N36</f>
        <v>1800000</v>
      </c>
      <c r="O56" s="4">
        <f>'תקציב הנדסה 2021'!O36</f>
        <v>15450000</v>
      </c>
      <c r="P56" s="4">
        <f>'תקציב הנדסה 2021'!P36</f>
        <v>1084520</v>
      </c>
      <c r="Q56" s="4">
        <f>'תקציב הנדסה 2021'!Q36</f>
        <v>0</v>
      </c>
      <c r="R56" s="4">
        <f>'תקציב הנדסה 2021'!R36</f>
        <v>0</v>
      </c>
      <c r="S56" s="4">
        <f>'תקציב הנדסה 2021'!S36</f>
        <v>0</v>
      </c>
      <c r="T56" s="4">
        <f>'תקציב הנדסה 2021'!T36</f>
        <v>1000000</v>
      </c>
      <c r="U56" s="4">
        <f>'תקציב הנדסה 2021'!U36</f>
        <v>800000</v>
      </c>
      <c r="V56" s="4">
        <f>'תקציב הנדסה 2021'!V36</f>
        <v>800000</v>
      </c>
      <c r="W56" s="4">
        <f>'תקציב הנדסה 2021'!W36</f>
        <v>0</v>
      </c>
      <c r="X56" s="4">
        <f>'תקציב הנדסה 2021'!X36</f>
        <v>0</v>
      </c>
      <c r="Y56" s="4">
        <f>'תקציב הנדסה 2021'!Y36</f>
        <v>0</v>
      </c>
      <c r="Z56" s="4">
        <f>'תקציב הנדסה 2021'!Z36</f>
        <v>0</v>
      </c>
      <c r="AA56" s="4">
        <f>'תקציב הנדסה 2021'!AA36</f>
        <v>0</v>
      </c>
      <c r="AB56" s="280" t="str">
        <f>'תקציב הנדסה 2021'!AB36</f>
        <v xml:space="preserve">תכנון פיתוח מתחם "ניצבא" כולל פיתוח רחוב העצמאות מבן גוריון עד קהילת ציון. </v>
      </c>
      <c r="AC56" s="3">
        <f>'תקציב הנדסה 2021'!AC36</f>
        <v>742000</v>
      </c>
      <c r="AD56" s="387"/>
      <c r="AE56" s="387"/>
      <c r="AF56" s="387"/>
    </row>
    <row r="57" spans="1:32" s="6" customFormat="1" ht="28">
      <c r="A57" s="3">
        <f t="shared" si="2"/>
        <v>52</v>
      </c>
      <c r="B57" s="3">
        <f>'תקציב הנדסה 2021'!B41</f>
        <v>1722</v>
      </c>
      <c r="C57" s="280" t="str">
        <f>'תקציב הנדסה 2021'!C41</f>
        <v>חיבור גשר הולכי רגל כביש 20</v>
      </c>
      <c r="D57" s="4">
        <f>'תקציב הנדסה 2021'!D41</f>
        <v>2400000</v>
      </c>
      <c r="E57" s="4">
        <f>'תקציב הנדסה 2021'!E41</f>
        <v>2400000</v>
      </c>
      <c r="F57" s="4">
        <f>'תקציב הנדסה 2021'!F41</f>
        <v>0</v>
      </c>
      <c r="G57" s="4">
        <f>'תקציב הנדסה 2021'!G41</f>
        <v>300000</v>
      </c>
      <c r="H57" s="4">
        <f>'תקציב הנדסה 2021'!H41</f>
        <v>98067</v>
      </c>
      <c r="I57" s="4">
        <f>'תקציב הנדסה 2021'!I41</f>
        <v>67053</v>
      </c>
      <c r="J57" s="4">
        <f>'תקציב הנדסה 2021'!J41</f>
        <v>8850</v>
      </c>
      <c r="K57" s="4">
        <f>'תקציב הנדסה 2021'!K41</f>
        <v>75903</v>
      </c>
      <c r="L57" s="4">
        <f>'תקציב הנדסה 2021'!L41</f>
        <v>173970</v>
      </c>
      <c r="M57" s="4">
        <f>'תקציב הנדסה 2021'!M41</f>
        <v>26030</v>
      </c>
      <c r="N57" s="4">
        <f>'תקציב הנדסה 2021'!N41</f>
        <v>100000</v>
      </c>
      <c r="O57" s="4">
        <f>'תקציב הנדסה 2021'!O41</f>
        <v>2100000</v>
      </c>
      <c r="P57" s="4">
        <f>'תקציב הנדסה 2021'!P41</f>
        <v>126030</v>
      </c>
      <c r="Q57" s="4">
        <f>'תקציב הנדסה 2021'!Q41</f>
        <v>0</v>
      </c>
      <c r="R57" s="4">
        <f>'תקציב הנדסה 2021'!R41</f>
        <v>0</v>
      </c>
      <c r="S57" s="4">
        <f>'תקציב הנדסה 2021'!S41</f>
        <v>0</v>
      </c>
      <c r="T57" s="4">
        <f>'תקציב הנדסה 2021'!T41</f>
        <v>100000</v>
      </c>
      <c r="U57" s="4">
        <f>'תקציב הנדסה 2021'!U41</f>
        <v>0</v>
      </c>
      <c r="V57" s="4">
        <f>'תקציב הנדסה 2021'!V41</f>
        <v>0</v>
      </c>
      <c r="W57" s="4">
        <f>'תקציב הנדסה 2021'!W41</f>
        <v>0</v>
      </c>
      <c r="X57" s="4">
        <f>'תקציב הנדסה 2021'!X41</f>
        <v>0</v>
      </c>
      <c r="Y57" s="4">
        <f>'תקציב הנדסה 2021'!Y41</f>
        <v>0</v>
      </c>
      <c r="Z57" s="4">
        <f>'תקציב הנדסה 2021'!Z41</f>
        <v>0</v>
      </c>
      <c r="AA57" s="4">
        <f>'תקציב הנדסה 2021'!AA41</f>
        <v>0</v>
      </c>
      <c r="AB57" s="280" t="str">
        <f>'תקציב הנדסה 2021'!AB41</f>
        <v>חיבור פארק שלב ב' עם שכונת המסילה בגשר הולכי רגל מעל כביש 20.</v>
      </c>
      <c r="AC57" s="3">
        <f>'תקציב הנדסה 2021'!AC41</f>
        <v>742000</v>
      </c>
      <c r="AD57" s="387"/>
      <c r="AE57" s="387"/>
      <c r="AF57" s="387"/>
    </row>
    <row r="58" spans="1:32" s="5" customFormat="1" ht="42">
      <c r="A58" s="3">
        <f t="shared" si="2"/>
        <v>53</v>
      </c>
      <c r="B58" s="3">
        <f>'תקציב הנדסה 2021'!B42</f>
        <v>1744</v>
      </c>
      <c r="C58" s="280" t="str">
        <f>'תקציב הנדסה 2021'!C42</f>
        <v>מערכת בקרת רמזורים</v>
      </c>
      <c r="D58" s="4">
        <f>'תקציב הנדסה 2021'!D42</f>
        <v>13000000</v>
      </c>
      <c r="E58" s="4">
        <f>'תקציב הנדסה 2021'!E42</f>
        <v>13000000</v>
      </c>
      <c r="F58" s="4">
        <f>'תקציב הנדסה 2021'!F42</f>
        <v>0</v>
      </c>
      <c r="G58" s="4">
        <f>'תקציב הנדסה 2021'!G42</f>
        <v>8700000</v>
      </c>
      <c r="H58" s="4">
        <f>'תקציב הנדסה 2021'!H42</f>
        <v>5930332</v>
      </c>
      <c r="I58" s="4">
        <f>'תקציב הנדסה 2021'!I42</f>
        <v>0</v>
      </c>
      <c r="J58" s="4">
        <f>'תקציב הנדסה 2021'!J42</f>
        <v>1315502</v>
      </c>
      <c r="K58" s="4">
        <f>'תקציב הנדסה 2021'!K42</f>
        <v>1315502</v>
      </c>
      <c r="L58" s="4">
        <f>'תקציב הנדסה 2021'!L42</f>
        <v>7245834</v>
      </c>
      <c r="M58" s="4">
        <f>'תקציב הנדסה 2021'!M42</f>
        <v>54166</v>
      </c>
      <c r="N58" s="4">
        <f>'תקציב הנדסה 2021'!N42</f>
        <v>500000</v>
      </c>
      <c r="O58" s="4">
        <f>'תקציב הנדסה 2021'!O42</f>
        <v>5200000</v>
      </c>
      <c r="P58" s="4">
        <f>'תקציב הנדסה 2021'!P42</f>
        <v>1454166</v>
      </c>
      <c r="Q58" s="4">
        <f>'תקציב הנדסה 2021'!Q42</f>
        <v>0</v>
      </c>
      <c r="R58" s="4">
        <f>'תקציב הנדסה 2021'!R42</f>
        <v>0</v>
      </c>
      <c r="S58" s="4">
        <f>'תקציב הנדסה 2021'!S42</f>
        <v>0</v>
      </c>
      <c r="T58" s="4">
        <f>'תקציב הנדסה 2021'!T42</f>
        <v>1400000</v>
      </c>
      <c r="U58" s="4">
        <f>'תקציב הנדסה 2021'!U42</f>
        <v>-900000</v>
      </c>
      <c r="V58" s="4">
        <f>'תקציב הנדסה 2021'!V42</f>
        <v>-900000</v>
      </c>
      <c r="W58" s="4">
        <f>'תקציב הנדסה 2021'!W42</f>
        <v>0</v>
      </c>
      <c r="X58" s="4">
        <f>'תקציב הנדסה 2021'!X42</f>
        <v>0</v>
      </c>
      <c r="Y58" s="4">
        <f>'תקציב הנדסה 2021'!Y42</f>
        <v>0</v>
      </c>
      <c r="Z58" s="4">
        <f>'תקציב הנדסה 2021'!Z42</f>
        <v>0</v>
      </c>
      <c r="AA58" s="4">
        <f>'תקציב הנדסה 2021'!AA42</f>
        <v>0</v>
      </c>
      <c r="AB58" s="280" t="str">
        <f>'תקציב הנדסה 2021'!AB42</f>
        <v>ליווי ותכנון יועץ רמזורים לעדכון מערכת בקרת רמזורים ברחבי העיר עקב צמתים ורמזורים חדשים.</v>
      </c>
      <c r="AC58" s="3">
        <f>'תקציב הנדסה 2021'!AC42</f>
        <v>742000</v>
      </c>
      <c r="AD58" s="387"/>
      <c r="AE58" s="387"/>
      <c r="AF58" s="387"/>
    </row>
    <row r="59" spans="1:32" s="5" customFormat="1" ht="28">
      <c r="A59" s="3">
        <f t="shared" si="2"/>
        <v>54</v>
      </c>
      <c r="B59" s="3">
        <f>'תקציב הנדסה 2021'!B47</f>
        <v>1805</v>
      </c>
      <c r="C59" s="280" t="str">
        <f>'תקציב הנדסה 2021'!C47</f>
        <v>שביל אופניים הרצליה-ת"א הפקעות</v>
      </c>
      <c r="D59" s="4">
        <f>'תקציב הנדסה 2021'!D47</f>
        <v>1000000</v>
      </c>
      <c r="E59" s="4">
        <f>'תקציב הנדסה 2021'!E47</f>
        <v>1000000</v>
      </c>
      <c r="F59" s="4">
        <f>'תקציב הנדסה 2021'!F47</f>
        <v>0</v>
      </c>
      <c r="G59" s="4">
        <f>'תקציב הנדסה 2021'!G47</f>
        <v>1000000</v>
      </c>
      <c r="H59" s="4">
        <f>'תקציב הנדסה 2021'!H47</f>
        <v>9976</v>
      </c>
      <c r="I59" s="4">
        <f>'תקציב הנדסה 2021'!I47</f>
        <v>0</v>
      </c>
      <c r="J59" s="4">
        <f>'תקציב הנדסה 2021'!J47</f>
        <v>14716</v>
      </c>
      <c r="K59" s="4">
        <f>'תקציב הנדסה 2021'!K47</f>
        <v>14716</v>
      </c>
      <c r="L59" s="4">
        <f>'תקציב הנדסה 2021'!L47</f>
        <v>24692</v>
      </c>
      <c r="M59" s="4">
        <f>'תקציב הנדסה 2021'!M47</f>
        <v>25308</v>
      </c>
      <c r="N59" s="4">
        <f>'תקציב הנדסה 2021'!N47</f>
        <v>500000</v>
      </c>
      <c r="O59" s="4">
        <f>'תקציב הנדסה 2021'!O47</f>
        <v>450000</v>
      </c>
      <c r="P59" s="4">
        <f>'תקציב הנדסה 2021'!P47</f>
        <v>975308</v>
      </c>
      <c r="Q59" s="4">
        <f>'תקציב הנדסה 2021'!Q47</f>
        <v>0</v>
      </c>
      <c r="R59" s="4">
        <f>'תקציב הנדסה 2021'!R47</f>
        <v>0</v>
      </c>
      <c r="S59" s="4">
        <f>'תקציב הנדסה 2021'!S47</f>
        <v>0</v>
      </c>
      <c r="T59" s="4">
        <f>'תקציב הנדסה 2021'!T47</f>
        <v>950000</v>
      </c>
      <c r="U59" s="4">
        <f>'תקציב הנדסה 2021'!U47</f>
        <v>-450000</v>
      </c>
      <c r="V59" s="4">
        <f>'תקציב הנדסה 2021'!V47</f>
        <v>-450000</v>
      </c>
      <c r="W59" s="4">
        <f>'תקציב הנדסה 2021'!W47</f>
        <v>0</v>
      </c>
      <c r="X59" s="4">
        <f>'תקציב הנדסה 2021'!X47</f>
        <v>0</v>
      </c>
      <c r="Y59" s="4">
        <f>'תקציב הנדסה 2021'!Y47</f>
        <v>0</v>
      </c>
      <c r="Z59" s="4">
        <f>'תקציב הנדסה 2021'!Z47</f>
        <v>0</v>
      </c>
      <c r="AA59" s="4">
        <f>'תקציב הנדסה 2021'!AA47</f>
        <v>0</v>
      </c>
      <c r="AB59" s="280" t="str">
        <f>'תקציב הנדסה 2021'!AB47</f>
        <v>תשלומי פיצויים להפקעות לביצוע שביל אופניים זמני ע"י משרד התחבורה.</v>
      </c>
      <c r="AC59" s="3">
        <f>'תקציב הנדסה 2021'!AC47</f>
        <v>742000</v>
      </c>
      <c r="AD59" s="387"/>
      <c r="AE59" s="387"/>
      <c r="AF59" s="387"/>
    </row>
    <row r="60" spans="1:32" s="6" customFormat="1" ht="28">
      <c r="A60" s="3">
        <f t="shared" si="2"/>
        <v>55</v>
      </c>
      <c r="B60" s="3">
        <f>'תקציב הנדסה 2021'!B50</f>
        <v>1882</v>
      </c>
      <c r="C60" s="280" t="str">
        <f>'תקציב הנדסה 2021'!C50</f>
        <v>פיתוח מתחם אולפני הרצליה</v>
      </c>
      <c r="D60" s="4">
        <f>'תקציב הנדסה 2021'!D50</f>
        <v>14300000</v>
      </c>
      <c r="E60" s="4">
        <f>'תקציב הנדסה 2021'!E50</f>
        <v>14300000</v>
      </c>
      <c r="F60" s="4">
        <f>'תקציב הנדסה 2021'!F50</f>
        <v>0</v>
      </c>
      <c r="G60" s="4">
        <f>'תקציב הנדסה 2021'!G50</f>
        <v>200000</v>
      </c>
      <c r="H60" s="4">
        <f>'תקציב הנדסה 2021'!H50</f>
        <v>0</v>
      </c>
      <c r="I60" s="4">
        <f>'תקציב הנדסה 2021'!I50</f>
        <v>0</v>
      </c>
      <c r="J60" s="4">
        <f>'תקציב הנדסה 2021'!J50</f>
        <v>0</v>
      </c>
      <c r="K60" s="4">
        <f>'תקציב הנדסה 2021'!K50</f>
        <v>0</v>
      </c>
      <c r="L60" s="4">
        <f>'תקציב הנדסה 2021'!L50</f>
        <v>0</v>
      </c>
      <c r="M60" s="4">
        <f>'תקציב הנדסה 2021'!M50</f>
        <v>0</v>
      </c>
      <c r="N60" s="4">
        <f>'תקציב הנדסה 2021'!N50</f>
        <v>250000</v>
      </c>
      <c r="O60" s="4">
        <f>'תקציב הנדסה 2021'!O50</f>
        <v>14050000</v>
      </c>
      <c r="P60" s="4">
        <f>'תקציב הנדסה 2021'!P50</f>
        <v>200000</v>
      </c>
      <c r="Q60" s="4">
        <f>'תקציב הנדסה 2021'!Q50</f>
        <v>0</v>
      </c>
      <c r="R60" s="4">
        <f>'תקציב הנדסה 2021'!R50</f>
        <v>0</v>
      </c>
      <c r="S60" s="4">
        <f>'תקציב הנדסה 2021'!S50</f>
        <v>0</v>
      </c>
      <c r="T60" s="4">
        <f>'תקציב הנדסה 2021'!T50</f>
        <v>200000</v>
      </c>
      <c r="U60" s="4">
        <f>'תקציב הנדסה 2021'!U50</f>
        <v>50000</v>
      </c>
      <c r="V60" s="4">
        <f>'תקציב הנדסה 2021'!V50</f>
        <v>50000</v>
      </c>
      <c r="W60" s="4">
        <f>'תקציב הנדסה 2021'!W50</f>
        <v>0</v>
      </c>
      <c r="X60" s="4">
        <f>'תקציב הנדסה 2021'!X50</f>
        <v>0</v>
      </c>
      <c r="Y60" s="4">
        <f>'תקציב הנדסה 2021'!Y50</f>
        <v>0</v>
      </c>
      <c r="Z60" s="4">
        <f>'תקציב הנדסה 2021'!Z50</f>
        <v>0</v>
      </c>
      <c r="AA60" s="4">
        <f>'תקציב הנדסה 2021'!AA50</f>
        <v>0</v>
      </c>
      <c r="AB60" s="280" t="str">
        <f>'תקציב הנדסה 2021'!AB50</f>
        <v xml:space="preserve">פיתוח מתחם אולפני הרצליה תב"ע הר' 2180. תכנון. </v>
      </c>
      <c r="AC60" s="3">
        <f>'תקציב הנדסה 2021'!AC50</f>
        <v>742000</v>
      </c>
      <c r="AD60" s="387"/>
      <c r="AE60" s="387"/>
      <c r="AF60" s="387"/>
    </row>
    <row r="61" spans="1:32" s="6" customFormat="1" ht="56">
      <c r="A61" s="3">
        <f t="shared" si="2"/>
        <v>56</v>
      </c>
      <c r="B61" s="3">
        <f>'תקציב הנדסה 2021'!B54</f>
        <v>2009</v>
      </c>
      <c r="C61" s="280" t="str">
        <f>'תקציב הנדסה 2021'!C54</f>
        <v>סמטת ניסנוב</v>
      </c>
      <c r="D61" s="4">
        <f>'תקציב הנדסה 2021'!D54</f>
        <v>13700000</v>
      </c>
      <c r="E61" s="4">
        <f>'תקציב הנדסה 2021'!E54</f>
        <v>9000000</v>
      </c>
      <c r="F61" s="4">
        <f>'תקציב הנדסה 2021'!F54</f>
        <v>4700000</v>
      </c>
      <c r="G61" s="4">
        <f>'תקציב הנדסה 2021'!G54</f>
        <v>2200000</v>
      </c>
      <c r="H61" s="4">
        <f>'תקציב הנדסה 2021'!H54</f>
        <v>11776</v>
      </c>
      <c r="I61" s="4">
        <f>'תקציב הנדסה 2021'!I54</f>
        <v>292500</v>
      </c>
      <c r="J61" s="4">
        <f>'תקציב הנדסה 2021'!J54</f>
        <v>35675</v>
      </c>
      <c r="K61" s="4">
        <f>'תקציב הנדסה 2021'!K54</f>
        <v>328175</v>
      </c>
      <c r="L61" s="4">
        <f>'תקציב הנדסה 2021'!L54</f>
        <v>339951</v>
      </c>
      <c r="M61" s="4">
        <f>'תקציב הנדסה 2021'!M54</f>
        <v>60049</v>
      </c>
      <c r="N61" s="4">
        <f>'תקציב הנדסה 2021'!N54</f>
        <v>5000000</v>
      </c>
      <c r="O61" s="4">
        <f>'תקציב הנדסה 2021'!O54</f>
        <v>8300000</v>
      </c>
      <c r="P61" s="4">
        <f>'תקציב הנדסה 2021'!P54</f>
        <v>1860049</v>
      </c>
      <c r="Q61" s="4">
        <f>'תקציב הנדסה 2021'!Q54</f>
        <v>0</v>
      </c>
      <c r="R61" s="4">
        <f>'תקציב הנדסה 2021'!R54</f>
        <v>0</v>
      </c>
      <c r="S61" s="4">
        <f>'תקציב הנדסה 2021'!S54</f>
        <v>0</v>
      </c>
      <c r="T61" s="4">
        <f>'תקציב הנדסה 2021'!T54</f>
        <v>1800000</v>
      </c>
      <c r="U61" s="4">
        <f>'תקציב הנדסה 2021'!U54</f>
        <v>3200000</v>
      </c>
      <c r="V61" s="4">
        <f>'תקציב הנדסה 2021'!V54</f>
        <v>3200000</v>
      </c>
      <c r="W61" s="4">
        <f>'תקציב הנדסה 2021'!W54</f>
        <v>0</v>
      </c>
      <c r="X61" s="4">
        <f>'תקציב הנדסה 2021'!X54</f>
        <v>0</v>
      </c>
      <c r="Y61" s="4">
        <f>'תקציב הנדסה 2021'!Y54</f>
        <v>0</v>
      </c>
      <c r="Z61" s="4">
        <f>'תקציב הנדסה 2021'!Z54</f>
        <v>0</v>
      </c>
      <c r="AA61" s="4">
        <f>'תקציב הנדסה 2021'!AA54</f>
        <v>0</v>
      </c>
      <c r="AB61" s="280" t="str">
        <f>'תקציב הנדסה 2021'!AB54</f>
        <v>פיתוח סימטה שהפכה לדרך במסגרת תב"ע 2029 בנווה עמל. העבודות כוללות החלפת תשתיות תת קרקעיות,הריסת מבנה והתחברות לרח' כצלנסון.</v>
      </c>
      <c r="AC61" s="3">
        <f>'תקציב הנדסה 2021'!AC54</f>
        <v>742000</v>
      </c>
      <c r="AD61" s="387"/>
      <c r="AE61" s="387"/>
      <c r="AF61" s="387"/>
    </row>
    <row r="62" spans="1:32" s="6" customFormat="1" ht="56">
      <c r="A62" s="3">
        <f t="shared" si="2"/>
        <v>57</v>
      </c>
      <c r="B62" s="3">
        <f>'תקציב הנדסה 2021'!B56</f>
        <v>2105</v>
      </c>
      <c r="C62" s="280" t="str">
        <f>'תקציב הנדסה 2021'!C56</f>
        <v>הארכת דרך ירושלים והתחברות אליה</v>
      </c>
      <c r="D62" s="4">
        <f>'תקציב הנדסה 2021'!D56</f>
        <v>60000000</v>
      </c>
      <c r="E62" s="4">
        <f>'תקציב הנדסה 2021'!E56</f>
        <v>60000000</v>
      </c>
      <c r="F62" s="4">
        <f>'תקציב הנדסה 2021'!F56</f>
        <v>0</v>
      </c>
      <c r="G62" s="4">
        <f>'תקציב הנדסה 2021'!G56</f>
        <v>1000000</v>
      </c>
      <c r="H62" s="4">
        <f>'תקציב הנדסה 2021'!H56</f>
        <v>0</v>
      </c>
      <c r="I62" s="4">
        <f>'תקציב הנדסה 2021'!I56</f>
        <v>0</v>
      </c>
      <c r="J62" s="4">
        <f>'תקציב הנדסה 2021'!J56</f>
        <v>129838</v>
      </c>
      <c r="K62" s="4">
        <f>'תקציב הנדסה 2021'!K56</f>
        <v>129838</v>
      </c>
      <c r="L62" s="4">
        <f>'תקציב הנדסה 2021'!L56</f>
        <v>129838</v>
      </c>
      <c r="M62" s="4">
        <f>'תקציב הנדסה 2021'!M56</f>
        <v>70162</v>
      </c>
      <c r="N62" s="4">
        <f>'תקציב הנדסה 2021'!N56</f>
        <v>800000</v>
      </c>
      <c r="O62" s="4">
        <f>'תקציב הנדסה 2021'!O56</f>
        <v>59000000</v>
      </c>
      <c r="P62" s="4">
        <f>'תקציב הנדסה 2021'!P56</f>
        <v>870162</v>
      </c>
      <c r="Q62" s="4">
        <f>'תקציב הנדסה 2021'!Q56</f>
        <v>0</v>
      </c>
      <c r="R62" s="4">
        <f>'תקציב הנדסה 2021'!R56</f>
        <v>0</v>
      </c>
      <c r="S62" s="4">
        <f>'תקציב הנדסה 2021'!S56</f>
        <v>0</v>
      </c>
      <c r="T62" s="4">
        <f>'תקציב הנדסה 2021'!T56</f>
        <v>800000</v>
      </c>
      <c r="U62" s="4">
        <f>'תקציב הנדסה 2021'!U56</f>
        <v>0</v>
      </c>
      <c r="V62" s="4">
        <f>'תקציב הנדסה 2021'!V56</f>
        <v>0</v>
      </c>
      <c r="W62" s="4">
        <f>'תקציב הנדסה 2021'!W56</f>
        <v>0</v>
      </c>
      <c r="X62" s="4">
        <f>'תקציב הנדסה 2021'!X56</f>
        <v>0</v>
      </c>
      <c r="Y62" s="4">
        <f>'תקציב הנדסה 2021'!Y56</f>
        <v>0</v>
      </c>
      <c r="Z62" s="4">
        <f>'תקציב הנדסה 2021'!Z56</f>
        <v>0</v>
      </c>
      <c r="AA62" s="4">
        <f>'תקציב הנדסה 2021'!AA56</f>
        <v>0</v>
      </c>
      <c r="AB62" s="280" t="str">
        <f>'תקציב הנדסה 2021'!AB56</f>
        <v xml:space="preserve">הארכת דרך ירושלים  מרחוב סוקולוב עד ליפקין שחק כולל דרך ושביל אופניים , פיתוח רחוב יבנה והנגב . תכנון. </v>
      </c>
      <c r="AC62" s="3">
        <f>'תקציב הנדסה 2021'!AC56</f>
        <v>742000</v>
      </c>
      <c r="AD62" s="387"/>
      <c r="AE62" s="387"/>
      <c r="AF62" s="387"/>
    </row>
    <row r="63" spans="1:32" s="5" customFormat="1" ht="56">
      <c r="A63" s="3">
        <f t="shared" si="2"/>
        <v>58</v>
      </c>
      <c r="B63" s="3">
        <f>'תקציב הנדסה 2021'!B57</f>
        <v>2107</v>
      </c>
      <c r="C63" s="280" t="str">
        <f>'תקציב הנדסה 2021'!C57</f>
        <v>פיתוח וביצוע שידרוג ויזואלי מתחם בני בניימין הנדיב</v>
      </c>
      <c r="D63" s="4">
        <f>'תקציב הנדסה 2021'!D57</f>
        <v>340000</v>
      </c>
      <c r="E63" s="4">
        <f>'תקציב הנדסה 2021'!E57</f>
        <v>340000</v>
      </c>
      <c r="F63" s="4">
        <f>'תקציב הנדסה 2021'!F57</f>
        <v>0</v>
      </c>
      <c r="G63" s="4">
        <f>'תקציב הנדסה 2021'!G57</f>
        <v>340000</v>
      </c>
      <c r="H63" s="4">
        <f>'תקציב הנדסה 2021'!H57</f>
        <v>0</v>
      </c>
      <c r="I63" s="4">
        <f>'תקציב הנדסה 2021'!I57</f>
        <v>0</v>
      </c>
      <c r="J63" s="4">
        <f>'תקציב הנדסה 2021'!J57</f>
        <v>0</v>
      </c>
      <c r="K63" s="4">
        <f>'תקציב הנדסה 2021'!K57</f>
        <v>0</v>
      </c>
      <c r="L63" s="4">
        <f>'תקציב הנדסה 2021'!L57</f>
        <v>0</v>
      </c>
      <c r="M63" s="4">
        <f>'תקציב הנדסה 2021'!M57</f>
        <v>0</v>
      </c>
      <c r="N63" s="4">
        <f>'תקציב הנדסה 2021'!N57</f>
        <v>340000</v>
      </c>
      <c r="O63" s="4">
        <f>'תקציב הנדסה 2021'!O57</f>
        <v>0</v>
      </c>
      <c r="P63" s="4">
        <f>'תקציב הנדסה 2021'!P57</f>
        <v>340000</v>
      </c>
      <c r="Q63" s="4">
        <f>'תקציב הנדסה 2021'!Q57</f>
        <v>0</v>
      </c>
      <c r="R63" s="4">
        <f>'תקציב הנדסה 2021'!R57</f>
        <v>0</v>
      </c>
      <c r="S63" s="4">
        <f>'תקציב הנדסה 2021'!S57</f>
        <v>0</v>
      </c>
      <c r="T63" s="4">
        <f>'תקציב הנדסה 2021'!T57</f>
        <v>340000</v>
      </c>
      <c r="U63" s="4">
        <f>'תקציב הנדסה 2021'!U57</f>
        <v>0</v>
      </c>
      <c r="V63" s="4">
        <f>'תקציב הנדסה 2021'!V57</f>
        <v>0</v>
      </c>
      <c r="W63" s="4">
        <f>'תקציב הנדסה 2021'!W57</f>
        <v>0</v>
      </c>
      <c r="X63" s="4">
        <f>'תקציב הנדסה 2021'!X57</f>
        <v>0</v>
      </c>
      <c r="Y63" s="4">
        <f>'תקציב הנדסה 2021'!Y57</f>
        <v>0</v>
      </c>
      <c r="Z63" s="4">
        <f>'תקציב הנדסה 2021'!Z57</f>
        <v>0</v>
      </c>
      <c r="AA63" s="4">
        <f>'תקציב הנדסה 2021'!AA57</f>
        <v>0</v>
      </c>
      <c r="AB63" s="280" t="str">
        <f>'תקציב הנדסה 2021'!AB57</f>
        <v xml:space="preserve">הסדרת שבילי גישה רגלית וכניסת כלי רכב לחניות,שביל פינוי אשפה,פיתוח כולל גינון ותאורה.ב-2021 מתוכנן מרכז "מייקרים" בשיתוף אדריכלית השימור. </v>
      </c>
      <c r="AC63" s="3">
        <f>'תקציב הנדסה 2021'!AC57</f>
        <v>742000</v>
      </c>
      <c r="AD63" s="387"/>
      <c r="AE63" s="387"/>
      <c r="AF63" s="387"/>
    </row>
    <row r="64" spans="1:32" s="5" customFormat="1" ht="42">
      <c r="A64" s="3">
        <f t="shared" si="2"/>
        <v>59</v>
      </c>
      <c r="B64" s="3">
        <f>'תקציב הנדסה 2021'!B62</f>
        <v>2121</v>
      </c>
      <c r="C64" s="280" t="str">
        <f>'תקציב הנדסה 2021'!C62</f>
        <v>צומת הבריגדה היהודית -מנחם בגין- בטיחות</v>
      </c>
      <c r="D64" s="4">
        <f>'תקציב הנדסה 2021'!D62</f>
        <v>300000</v>
      </c>
      <c r="E64" s="4">
        <f>'תקציב הנדסה 2021'!E62</f>
        <v>300000</v>
      </c>
      <c r="F64" s="4">
        <f>'תקציב הנדסה 2021'!F62</f>
        <v>0</v>
      </c>
      <c r="G64" s="4">
        <f>'תקציב הנדסה 2021'!G62</f>
        <v>300000</v>
      </c>
      <c r="H64" s="4">
        <f>'תקציב הנדסה 2021'!H62</f>
        <v>45958</v>
      </c>
      <c r="I64" s="4">
        <f>'תקציב הנדסה 2021'!I62</f>
        <v>0</v>
      </c>
      <c r="J64" s="4">
        <f>'תקציב הנדסה 2021'!J62</f>
        <v>46309</v>
      </c>
      <c r="K64" s="4">
        <f>'תקציב הנדסה 2021'!K62</f>
        <v>46309</v>
      </c>
      <c r="L64" s="4">
        <f>'תקציב הנדסה 2021'!L62</f>
        <v>92267</v>
      </c>
      <c r="M64" s="4">
        <f>'תקציב הנדסה 2021'!M62</f>
        <v>207733</v>
      </c>
      <c r="N64" s="4">
        <f>'תקציב הנדסה 2021'!N62</f>
        <v>0</v>
      </c>
      <c r="O64" s="4">
        <f>'תקציב הנדסה 2021'!O62</f>
        <v>0</v>
      </c>
      <c r="P64" s="4">
        <f>'תקציב הנדסה 2021'!P62</f>
        <v>207733</v>
      </c>
      <c r="Q64" s="4">
        <f>'תקציב הנדסה 2021'!Q62</f>
        <v>0</v>
      </c>
      <c r="R64" s="4">
        <f>'תקציב הנדסה 2021'!R62</f>
        <v>0</v>
      </c>
      <c r="S64" s="4">
        <f>'תקציב הנדסה 2021'!S62</f>
        <v>0</v>
      </c>
      <c r="T64" s="4">
        <f>'תקציב הנדסה 2021'!T62</f>
        <v>0</v>
      </c>
      <c r="U64" s="4">
        <f>'תקציב הנדסה 2021'!U62</f>
        <v>0</v>
      </c>
      <c r="V64" s="4">
        <f>'תקציב הנדסה 2021'!V62</f>
        <v>0</v>
      </c>
      <c r="W64" s="4">
        <f>'תקציב הנדסה 2021'!W62</f>
        <v>0</v>
      </c>
      <c r="X64" s="4">
        <f>'תקציב הנדסה 2021'!X62</f>
        <v>0</v>
      </c>
      <c r="Y64" s="4">
        <f>'תקציב הנדסה 2021'!Y62</f>
        <v>0</v>
      </c>
      <c r="Z64" s="4">
        <f>'תקציב הנדסה 2021'!Z62</f>
        <v>0</v>
      </c>
      <c r="AA64" s="4">
        <f>'תקציב הנדסה 2021'!AA62</f>
        <v>0</v>
      </c>
      <c r="AB64" s="280" t="str">
        <f>'תקציב הנדסה 2021'!AB62</f>
        <v>תכנון צומת הבריגדה היהודית -מנחם בגין עקב ריבוי תאונות דרכים עפ"י נתוני הרלב"ד. מימון מ. התחבורה.</v>
      </c>
      <c r="AC64" s="3">
        <f>'תקציב הנדסה 2021'!AC62</f>
        <v>742000</v>
      </c>
      <c r="AD64" s="387"/>
      <c r="AE64" s="387"/>
      <c r="AF64" s="387"/>
    </row>
    <row r="65" spans="1:32" s="5" customFormat="1" ht="42">
      <c r="A65" s="3">
        <f t="shared" si="2"/>
        <v>60</v>
      </c>
      <c r="B65" s="3">
        <f>'תקציב הנדסה 2021'!B63</f>
        <v>2122</v>
      </c>
      <c r="C65" s="280" t="str">
        <f>'תקציב הנדסה 2021'!C63</f>
        <v>צומת הרב גורן מוהליבר - בטיחות</v>
      </c>
      <c r="D65" s="4">
        <f>'תקציב הנדסה 2021'!D63</f>
        <v>300000</v>
      </c>
      <c r="E65" s="4">
        <f>'תקציב הנדסה 2021'!E63</f>
        <v>300000</v>
      </c>
      <c r="F65" s="4">
        <f>'תקציב הנדסה 2021'!F63</f>
        <v>0</v>
      </c>
      <c r="G65" s="4">
        <f>'תקציב הנדסה 2021'!G63</f>
        <v>300000</v>
      </c>
      <c r="H65" s="4">
        <f>'תקציב הנדסה 2021'!H63</f>
        <v>28641</v>
      </c>
      <c r="I65" s="4">
        <f>'תקציב הנדסה 2021'!I63</f>
        <v>0</v>
      </c>
      <c r="J65" s="4">
        <f>'תקציב הנדסה 2021'!J63</f>
        <v>30789</v>
      </c>
      <c r="K65" s="4">
        <f>'תקציב הנדסה 2021'!K63</f>
        <v>30789</v>
      </c>
      <c r="L65" s="4">
        <f>'תקציב הנדסה 2021'!L63</f>
        <v>59430</v>
      </c>
      <c r="M65" s="4">
        <f>'תקציב הנדסה 2021'!M63</f>
        <v>240570</v>
      </c>
      <c r="N65" s="4">
        <f>'תקציב הנדסה 2021'!N63</f>
        <v>0</v>
      </c>
      <c r="O65" s="4">
        <f>'תקציב הנדסה 2021'!O63</f>
        <v>0</v>
      </c>
      <c r="P65" s="4">
        <f>'תקציב הנדסה 2021'!P63</f>
        <v>240570</v>
      </c>
      <c r="Q65" s="4">
        <f>'תקציב הנדסה 2021'!Q63</f>
        <v>0</v>
      </c>
      <c r="R65" s="4">
        <f>'תקציב הנדסה 2021'!R63</f>
        <v>0</v>
      </c>
      <c r="S65" s="4">
        <f>'תקציב הנדסה 2021'!S63</f>
        <v>0</v>
      </c>
      <c r="T65" s="4">
        <f>'תקציב הנדסה 2021'!T63</f>
        <v>0</v>
      </c>
      <c r="U65" s="4">
        <f>'תקציב הנדסה 2021'!U63</f>
        <v>0</v>
      </c>
      <c r="V65" s="4">
        <f>'תקציב הנדסה 2021'!V63</f>
        <v>0</v>
      </c>
      <c r="W65" s="4">
        <f>'תקציב הנדסה 2021'!W63</f>
        <v>0</v>
      </c>
      <c r="X65" s="4">
        <f>'תקציב הנדסה 2021'!X63</f>
        <v>0</v>
      </c>
      <c r="Y65" s="4">
        <f>'תקציב הנדסה 2021'!Y63</f>
        <v>0</v>
      </c>
      <c r="Z65" s="4">
        <f>'תקציב הנדסה 2021'!Z63</f>
        <v>0</v>
      </c>
      <c r="AA65" s="4">
        <f>'תקציב הנדסה 2021'!AA63</f>
        <v>0</v>
      </c>
      <c r="AB65" s="280" t="str">
        <f>'תקציב הנדסה 2021'!AB63</f>
        <v xml:space="preserve">תכנון צומת הרב גורן מוהליבר עקב ריבוי תאונות דרכים עפ"י נתוני הרלב"ד. מימון מ. התחבורה. </v>
      </c>
      <c r="AC65" s="3">
        <f>'תקציב הנדסה 2021'!AC63</f>
        <v>742000</v>
      </c>
      <c r="AD65" s="387"/>
      <c r="AE65" s="387"/>
      <c r="AF65" s="387"/>
    </row>
    <row r="66" spans="1:32" s="5" customFormat="1" ht="42">
      <c r="A66" s="3">
        <f t="shared" si="2"/>
        <v>61</v>
      </c>
      <c r="B66" s="3">
        <f>'תקציב הנדסה 2021'!B64</f>
        <v>2123</v>
      </c>
      <c r="C66" s="280" t="str">
        <f>'תקציב הנדסה 2021'!C64</f>
        <v>צומת השרון בר אילן -בטיחות</v>
      </c>
      <c r="D66" s="4">
        <f>'תקציב הנדסה 2021'!D64</f>
        <v>750000</v>
      </c>
      <c r="E66" s="4">
        <f>'תקציב הנדסה 2021'!E64</f>
        <v>750000</v>
      </c>
      <c r="F66" s="4">
        <f>'תקציב הנדסה 2021'!F64</f>
        <v>0</v>
      </c>
      <c r="G66" s="4">
        <f>'תקציב הנדסה 2021'!G64</f>
        <v>750000</v>
      </c>
      <c r="H66" s="4">
        <f>'תקציב הנדסה 2021'!H64</f>
        <v>14281</v>
      </c>
      <c r="I66" s="4">
        <f>'תקציב הנדסה 2021'!I64</f>
        <v>0</v>
      </c>
      <c r="J66" s="4">
        <f>'תקציב הנדסה 2021'!J64</f>
        <v>11350</v>
      </c>
      <c r="K66" s="4">
        <f>'תקציב הנדסה 2021'!K64</f>
        <v>11350</v>
      </c>
      <c r="L66" s="4">
        <f>'תקציב הנדסה 2021'!L64</f>
        <v>25631</v>
      </c>
      <c r="M66" s="4">
        <f>'תקציב הנדסה 2021'!M64</f>
        <v>724369</v>
      </c>
      <c r="N66" s="4">
        <f>'תקציב הנדסה 2021'!N64</f>
        <v>0</v>
      </c>
      <c r="O66" s="4">
        <f>'תקציב הנדסה 2021'!O64</f>
        <v>0</v>
      </c>
      <c r="P66" s="4">
        <f>'תקציב הנדסה 2021'!P64</f>
        <v>724369</v>
      </c>
      <c r="Q66" s="4">
        <f>'תקציב הנדסה 2021'!Q64</f>
        <v>0</v>
      </c>
      <c r="R66" s="4">
        <f>'תקציב הנדסה 2021'!R64</f>
        <v>0</v>
      </c>
      <c r="S66" s="4">
        <f>'תקציב הנדסה 2021'!S64</f>
        <v>0</v>
      </c>
      <c r="T66" s="4">
        <f>'תקציב הנדסה 2021'!T64</f>
        <v>0</v>
      </c>
      <c r="U66" s="4">
        <f>'תקציב הנדסה 2021'!U64</f>
        <v>0</v>
      </c>
      <c r="V66" s="4">
        <f>'תקציב הנדסה 2021'!V64</f>
        <v>0</v>
      </c>
      <c r="W66" s="4">
        <f>'תקציב הנדסה 2021'!W64</f>
        <v>0</v>
      </c>
      <c r="X66" s="4">
        <f>'תקציב הנדסה 2021'!X64</f>
        <v>0</v>
      </c>
      <c r="Y66" s="4">
        <f>'תקציב הנדסה 2021'!Y64</f>
        <v>0</v>
      </c>
      <c r="Z66" s="4">
        <f>'תקציב הנדסה 2021'!Z64</f>
        <v>0</v>
      </c>
      <c r="AA66" s="4">
        <f>'תקציב הנדסה 2021'!AA64</f>
        <v>0</v>
      </c>
      <c r="AB66" s="280" t="str">
        <f>'תקציב הנדסה 2021'!AB64</f>
        <v>תכנון צומת השרון בר אילן  עקב ריבוי תאונות דרכים עפ"י נתוני הרלב"ד. מימון מ. התחבורה.</v>
      </c>
      <c r="AC66" s="3">
        <f>'תקציב הנדסה 2021'!AC64</f>
        <v>742000</v>
      </c>
      <c r="AD66" s="387"/>
      <c r="AE66" s="387"/>
      <c r="AF66" s="387"/>
    </row>
    <row r="67" spans="1:32" s="5" customFormat="1" ht="28">
      <c r="A67" s="3">
        <f t="shared" si="2"/>
        <v>62</v>
      </c>
      <c r="B67" s="3">
        <f>'תקציב הנדסה 2021'!B66</f>
        <v>2142</v>
      </c>
      <c r="C67" s="280" t="str">
        <f>'תקציב הנדסה 2021'!C66</f>
        <v>פיתוח רח' הארז והחרוב</v>
      </c>
      <c r="D67" s="4">
        <f>'תקציב הנדסה 2021'!D66</f>
        <v>4000000</v>
      </c>
      <c r="E67" s="4">
        <f>'תקציב הנדסה 2021'!E66</f>
        <v>2400000</v>
      </c>
      <c r="F67" s="4">
        <f>'תקציב הנדסה 2021'!F66</f>
        <v>1600000</v>
      </c>
      <c r="G67" s="4">
        <f>'תקציב הנדסה 2021'!G66</f>
        <v>2400000</v>
      </c>
      <c r="H67" s="4">
        <f>'תקציב הנדסה 2021'!H66</f>
        <v>103181</v>
      </c>
      <c r="I67" s="4">
        <f>'תקציב הנדסה 2021'!I66</f>
        <v>0</v>
      </c>
      <c r="J67" s="4">
        <f>'תקציב הנדסה 2021'!J66</f>
        <v>134448</v>
      </c>
      <c r="K67" s="4">
        <f>'תקציב הנדסה 2021'!K66</f>
        <v>134448</v>
      </c>
      <c r="L67" s="4">
        <f>'תקציב הנדסה 2021'!L66</f>
        <v>237629</v>
      </c>
      <c r="M67" s="4">
        <f>'תקציב הנדסה 2021'!M66</f>
        <v>62371</v>
      </c>
      <c r="N67" s="4">
        <f>'תקציב הנדסה 2021'!N66</f>
        <v>3400000</v>
      </c>
      <c r="O67" s="4">
        <f>'תקציב הנדסה 2021'!O66</f>
        <v>300000</v>
      </c>
      <c r="P67" s="4">
        <f>'תקציב הנדסה 2021'!P66</f>
        <v>2162371</v>
      </c>
      <c r="Q67" s="4">
        <f>'תקציב הנדסה 2021'!Q66</f>
        <v>0</v>
      </c>
      <c r="R67" s="4">
        <f>'תקציב הנדסה 2021'!R66</f>
        <v>0</v>
      </c>
      <c r="S67" s="4">
        <f>'תקציב הנדסה 2021'!S66</f>
        <v>0</v>
      </c>
      <c r="T67" s="4">
        <f>'תקציב הנדסה 2021'!T66</f>
        <v>2100000</v>
      </c>
      <c r="U67" s="4">
        <f>'תקציב הנדסה 2021'!U66</f>
        <v>1300000</v>
      </c>
      <c r="V67" s="4">
        <f>'תקציב הנדסה 2021'!V66</f>
        <v>1300000</v>
      </c>
      <c r="W67" s="4">
        <f>'תקציב הנדסה 2021'!W66</f>
        <v>0</v>
      </c>
      <c r="X67" s="4">
        <f>'תקציב הנדסה 2021'!X66</f>
        <v>0</v>
      </c>
      <c r="Y67" s="4">
        <f>'תקציב הנדסה 2021'!Y66</f>
        <v>0</v>
      </c>
      <c r="Z67" s="4">
        <f>'תקציב הנדסה 2021'!Z66</f>
        <v>0</v>
      </c>
      <c r="AA67" s="4">
        <f>'תקציב הנדסה 2021'!AA66</f>
        <v>0</v>
      </c>
      <c r="AB67" s="280" t="str">
        <f>'תקציב הנדסה 2021'!AB66</f>
        <v>פיתוח רחובות הארז והחרוב. תכנון וביצוע.</v>
      </c>
      <c r="AC67" s="3">
        <f>'תקציב הנדסה 2021'!AC66</f>
        <v>742000</v>
      </c>
      <c r="AD67" s="387"/>
      <c r="AE67" s="387"/>
      <c r="AF67" s="387"/>
    </row>
    <row r="68" spans="1:32" s="5" customFormat="1" ht="42">
      <c r="A68" s="3">
        <f t="shared" si="2"/>
        <v>63</v>
      </c>
      <c r="B68" s="3">
        <f>'תקציב הנדסה 2021'!B71</f>
        <v>2189</v>
      </c>
      <c r="C68" s="280" t="str">
        <f>'תקציב הנדסה 2021'!C71</f>
        <v>צומת כצלנסון  - ירושלים</v>
      </c>
      <c r="D68" s="4">
        <f>'תקציב הנדסה 2021'!D71</f>
        <v>250000</v>
      </c>
      <c r="E68" s="4">
        <f>'תקציב הנדסה 2021'!E71</f>
        <v>0</v>
      </c>
      <c r="F68" s="4">
        <f>'תקציב הנדסה 2021'!F71</f>
        <v>250000</v>
      </c>
      <c r="G68" s="4">
        <f>'תקציב הנדסה 2021'!G71</f>
        <v>0</v>
      </c>
      <c r="H68" s="4">
        <f>'תקציב הנדסה 2021'!H71</f>
        <v>0</v>
      </c>
      <c r="I68" s="4">
        <f>'תקציב הנדסה 2021'!I71</f>
        <v>0</v>
      </c>
      <c r="J68" s="4">
        <f>'תקציב הנדסה 2021'!J71</f>
        <v>0</v>
      </c>
      <c r="K68" s="4">
        <f>'תקציב הנדסה 2021'!K71</f>
        <v>0</v>
      </c>
      <c r="L68" s="4">
        <f>'תקציב הנדסה 2021'!L71</f>
        <v>0</v>
      </c>
      <c r="M68" s="4">
        <f>'תקציב הנדסה 2021'!M71</f>
        <v>0</v>
      </c>
      <c r="N68" s="4">
        <f>'תקציב הנדסה 2021'!N71</f>
        <v>250000</v>
      </c>
      <c r="O68" s="4">
        <f>'תקציב הנדסה 2021'!O71</f>
        <v>0</v>
      </c>
      <c r="P68" s="4">
        <f>'תקציב הנדסה 2021'!P71</f>
        <v>0</v>
      </c>
      <c r="Q68" s="4">
        <f>'תקציב הנדסה 2021'!Q71</f>
        <v>0</v>
      </c>
      <c r="R68" s="4">
        <f>'תקציב הנדסה 2021'!R71</f>
        <v>0</v>
      </c>
      <c r="S68" s="4">
        <f>'תקציב הנדסה 2021'!S71</f>
        <v>0</v>
      </c>
      <c r="T68" s="4">
        <f>'תקציב הנדסה 2021'!T71</f>
        <v>0</v>
      </c>
      <c r="U68" s="4">
        <f>'תקציב הנדסה 2021'!U71</f>
        <v>250000</v>
      </c>
      <c r="V68" s="4">
        <f>'תקציב הנדסה 2021'!V71</f>
        <v>75000</v>
      </c>
      <c r="W68" s="4">
        <f>'תקציב הנדסה 2021'!W71</f>
        <v>0</v>
      </c>
      <c r="X68" s="4">
        <f>'תקציב הנדסה 2021'!X71</f>
        <v>0</v>
      </c>
      <c r="Y68" s="4">
        <f>'תקציב הנדסה 2021'!Y71</f>
        <v>0</v>
      </c>
      <c r="Z68" s="4">
        <f>'תקציב הנדסה 2021'!Z71</f>
        <v>0</v>
      </c>
      <c r="AA68" s="4">
        <f>'תקציב הנדסה 2021'!AA71</f>
        <v>175000</v>
      </c>
      <c r="AB68" s="280" t="str">
        <f>'תקציב הנדסה 2021'!AB71</f>
        <v>ביצוע צומת כצלנסון ירושלים כולל הארכת הפניה שמאלה.  פרויקט בטיחותי.מימון מ. התחבורה.</v>
      </c>
      <c r="AC68" s="3">
        <f>'תקציב הנדסה 2021'!AC71</f>
        <v>742000</v>
      </c>
      <c r="AD68" s="387"/>
      <c r="AE68" s="387"/>
      <c r="AF68" s="387"/>
    </row>
    <row r="69" spans="1:32" s="5" customFormat="1" ht="28">
      <c r="A69" s="3">
        <f t="shared" ref="A69:A77" si="3">1+A68</f>
        <v>64</v>
      </c>
      <c r="B69" s="3">
        <f>'תקציב הנדסה 2021'!B72</f>
        <v>2190</v>
      </c>
      <c r="C69" s="280" t="str">
        <f>'תקציב הנדסה 2021'!C72</f>
        <v>תכנון הסדרת צומת אשל- בזל</v>
      </c>
      <c r="D69" s="4">
        <f>'תקציב הנדסה 2021'!D72</f>
        <v>250000</v>
      </c>
      <c r="E69" s="4">
        <f>'תקציב הנדסה 2021'!E72</f>
        <v>0</v>
      </c>
      <c r="F69" s="4">
        <f>'תקציב הנדסה 2021'!F72</f>
        <v>250000</v>
      </c>
      <c r="G69" s="4">
        <f>'תקציב הנדסה 2021'!G72</f>
        <v>0</v>
      </c>
      <c r="H69" s="4">
        <f>'תקציב הנדסה 2021'!H72</f>
        <v>0</v>
      </c>
      <c r="I69" s="4">
        <f>'תקציב הנדסה 2021'!I72</f>
        <v>0</v>
      </c>
      <c r="J69" s="4">
        <f>'תקציב הנדסה 2021'!J72</f>
        <v>0</v>
      </c>
      <c r="K69" s="4">
        <f>'תקציב הנדסה 2021'!K72</f>
        <v>0</v>
      </c>
      <c r="L69" s="4">
        <f>'תקציב הנדסה 2021'!L72</f>
        <v>0</v>
      </c>
      <c r="M69" s="4">
        <f>'תקציב הנדסה 2021'!M72</f>
        <v>0</v>
      </c>
      <c r="N69" s="4">
        <f>'תקציב הנדסה 2021'!N72</f>
        <v>250000</v>
      </c>
      <c r="O69" s="4">
        <f>'תקציב הנדסה 2021'!O72</f>
        <v>0</v>
      </c>
      <c r="P69" s="4">
        <f>'תקציב הנדסה 2021'!P72</f>
        <v>0</v>
      </c>
      <c r="Q69" s="4">
        <f>'תקציב הנדסה 2021'!Q72</f>
        <v>0</v>
      </c>
      <c r="R69" s="4">
        <f>'תקציב הנדסה 2021'!R72</f>
        <v>0</v>
      </c>
      <c r="S69" s="4">
        <f>'תקציב הנדסה 2021'!S72</f>
        <v>0</v>
      </c>
      <c r="T69" s="4">
        <f>'תקציב הנדסה 2021'!T72</f>
        <v>0</v>
      </c>
      <c r="U69" s="4">
        <f>'תקציב הנדסה 2021'!U72</f>
        <v>250000</v>
      </c>
      <c r="V69" s="4">
        <f>'תקציב הנדסה 2021'!V72</f>
        <v>75000</v>
      </c>
      <c r="W69" s="4">
        <f>'תקציב הנדסה 2021'!W72</f>
        <v>0</v>
      </c>
      <c r="X69" s="4">
        <f>'תקציב הנדסה 2021'!X72</f>
        <v>0</v>
      </c>
      <c r="Y69" s="4">
        <f>'תקציב הנדסה 2021'!Y72</f>
        <v>0</v>
      </c>
      <c r="Z69" s="4">
        <f>'תקציב הנדסה 2021'!Z72</f>
        <v>0</v>
      </c>
      <c r="AA69" s="4">
        <f>'תקציב הנדסה 2021'!AA72</f>
        <v>175000</v>
      </c>
      <c r="AB69" s="280" t="str">
        <f>'תקציב הנדסה 2021'!AB72</f>
        <v>תכנון צומת אשל בזל . פרויקט בטיחותי. מימון מ. התחבורה.</v>
      </c>
      <c r="AC69" s="3">
        <f>'תקציב הנדסה 2021'!AC72</f>
        <v>742000</v>
      </c>
      <c r="AD69" s="387"/>
      <c r="AE69" s="387"/>
      <c r="AF69" s="387"/>
    </row>
    <row r="70" spans="1:32" s="5" customFormat="1" ht="28">
      <c r="A70" s="3">
        <f t="shared" si="3"/>
        <v>65</v>
      </c>
      <c r="B70" s="3">
        <f>'תקציב הנדסה 2021'!B73</f>
        <v>2191</v>
      </c>
      <c r="C70" s="280" t="str">
        <f>'תקציב הנדסה 2021'!C73</f>
        <v>עבודות ניקוז רחוב סוקולוב</v>
      </c>
      <c r="D70" s="4">
        <f>'תקציב הנדסה 2021'!D73</f>
        <v>500000</v>
      </c>
      <c r="E70" s="4">
        <f>'תקציב הנדסה 2021'!E73</f>
        <v>0</v>
      </c>
      <c r="F70" s="4">
        <f>'תקציב הנדסה 2021'!F73</f>
        <v>500000</v>
      </c>
      <c r="G70" s="4">
        <f>'תקציב הנדסה 2021'!G73</f>
        <v>0</v>
      </c>
      <c r="H70" s="4">
        <f>'תקציב הנדסה 2021'!H73</f>
        <v>0</v>
      </c>
      <c r="I70" s="4">
        <f>'תקציב הנדסה 2021'!I73</f>
        <v>0</v>
      </c>
      <c r="J70" s="4">
        <f>'תקציב הנדסה 2021'!J73</f>
        <v>0</v>
      </c>
      <c r="K70" s="4">
        <f>'תקציב הנדסה 2021'!K73</f>
        <v>0</v>
      </c>
      <c r="L70" s="4">
        <f>'תקציב הנדסה 2021'!L73</f>
        <v>0</v>
      </c>
      <c r="M70" s="4">
        <f>'תקציב הנדסה 2021'!M73</f>
        <v>0</v>
      </c>
      <c r="N70" s="4">
        <f>'תקציב הנדסה 2021'!N73</f>
        <v>500000</v>
      </c>
      <c r="O70" s="4">
        <f>'תקציב הנדסה 2021'!O73</f>
        <v>0</v>
      </c>
      <c r="P70" s="4">
        <f>'תקציב הנדסה 2021'!P73</f>
        <v>0</v>
      </c>
      <c r="Q70" s="4">
        <f>'תקציב הנדסה 2021'!Q73</f>
        <v>0</v>
      </c>
      <c r="R70" s="4">
        <f>'תקציב הנדסה 2021'!R73</f>
        <v>0</v>
      </c>
      <c r="S70" s="4">
        <f>'תקציב הנדסה 2021'!S73</f>
        <v>0</v>
      </c>
      <c r="T70" s="4">
        <f>'תקציב הנדסה 2021'!T73</f>
        <v>0</v>
      </c>
      <c r="U70" s="4">
        <f>'תקציב הנדסה 2021'!U73</f>
        <v>500000</v>
      </c>
      <c r="V70" s="4">
        <f>'תקציב הנדסה 2021'!V73</f>
        <v>500000</v>
      </c>
      <c r="W70" s="4">
        <f>'תקציב הנדסה 2021'!W73</f>
        <v>0</v>
      </c>
      <c r="X70" s="4">
        <f>'תקציב הנדסה 2021'!X73</f>
        <v>0</v>
      </c>
      <c r="Y70" s="4">
        <f>'תקציב הנדסה 2021'!Y73</f>
        <v>0</v>
      </c>
      <c r="Z70" s="4">
        <f>'תקציב הנדסה 2021'!Z73</f>
        <v>0</v>
      </c>
      <c r="AA70" s="4">
        <f>'תקציב הנדסה 2021'!AA73</f>
        <v>0</v>
      </c>
      <c r="AB70" s="280" t="str">
        <f>'תקציב הנדסה 2021'!AB73</f>
        <v xml:space="preserve">תכנון וביצוע ניקוז ברחוב סוקולוב בשיתוף עם תאגיד המים. </v>
      </c>
      <c r="AC70" s="3">
        <f>'תקציב הנדסה 2021'!AC73</f>
        <v>742000</v>
      </c>
      <c r="AD70" s="387"/>
      <c r="AE70" s="387"/>
      <c r="AF70" s="387"/>
    </row>
    <row r="71" spans="1:32" s="5" customFormat="1" ht="56">
      <c r="A71" s="3">
        <f t="shared" si="3"/>
        <v>66</v>
      </c>
      <c r="B71" s="3">
        <f>'תקציב הנדסה 2021'!B74</f>
        <v>2192</v>
      </c>
      <c r="C71" s="280" t="str">
        <f>'תקציב הנדסה 2021'!C74</f>
        <v>הפרדה בין מי נגר למערכת ביוב עירונית</v>
      </c>
      <c r="D71" s="4">
        <f>'תקציב הנדסה 2021'!D74</f>
        <v>20400000</v>
      </c>
      <c r="E71" s="4">
        <f>'תקציב הנדסה 2021'!E74</f>
        <v>0</v>
      </c>
      <c r="F71" s="4">
        <f>'תקציב הנדסה 2021'!F74</f>
        <v>20400000</v>
      </c>
      <c r="G71" s="4">
        <f>'תקציב הנדסה 2021'!G74</f>
        <v>0</v>
      </c>
      <c r="H71" s="4">
        <f>'תקציב הנדסה 2021'!H74</f>
        <v>0</v>
      </c>
      <c r="I71" s="4">
        <f>'תקציב הנדסה 2021'!I74</f>
        <v>0</v>
      </c>
      <c r="J71" s="4">
        <f>'תקציב הנדסה 2021'!J74</f>
        <v>0</v>
      </c>
      <c r="K71" s="4">
        <f>'תקציב הנדסה 2021'!K74</f>
        <v>0</v>
      </c>
      <c r="L71" s="4">
        <f>'תקציב הנדסה 2021'!L74</f>
        <v>0</v>
      </c>
      <c r="M71" s="4">
        <f>'תקציב הנדסה 2021'!M74</f>
        <v>0</v>
      </c>
      <c r="N71" s="4">
        <f>'תקציב הנדסה 2021'!N74</f>
        <v>600000</v>
      </c>
      <c r="O71" s="4">
        <f>'תקציב הנדסה 2021'!O74</f>
        <v>19800000</v>
      </c>
      <c r="P71" s="4">
        <f>'תקציב הנדסה 2021'!P74</f>
        <v>0</v>
      </c>
      <c r="Q71" s="4">
        <f>'תקציב הנדסה 2021'!Q74</f>
        <v>0</v>
      </c>
      <c r="R71" s="4">
        <f>'תקציב הנדסה 2021'!R74</f>
        <v>0</v>
      </c>
      <c r="S71" s="4">
        <f>'תקציב הנדסה 2021'!S74</f>
        <v>0</v>
      </c>
      <c r="T71" s="4">
        <f>'תקציב הנדסה 2021'!T74</f>
        <v>0</v>
      </c>
      <c r="U71" s="4">
        <f>'תקציב הנדסה 2021'!U74</f>
        <v>600000</v>
      </c>
      <c r="V71" s="4">
        <f>'תקציב הנדסה 2021'!V74</f>
        <v>600000</v>
      </c>
      <c r="W71" s="4">
        <f>'תקציב הנדסה 2021'!W74</f>
        <v>0</v>
      </c>
      <c r="X71" s="4">
        <f>'תקציב הנדסה 2021'!X74</f>
        <v>0</v>
      </c>
      <c r="Y71" s="4">
        <f>'תקציב הנדסה 2021'!Y74</f>
        <v>0</v>
      </c>
      <c r="Z71" s="4">
        <f>'תקציב הנדסה 2021'!Z74</f>
        <v>0</v>
      </c>
      <c r="AA71" s="4">
        <f>'תקציב הנדסה 2021'!AA74</f>
        <v>0</v>
      </c>
      <c r="AB71" s="280" t="str">
        <f>'תקציב הנדסה 2021'!AB74</f>
        <v>עבודות לאיתור ליקויים עקב כמות עצומה של מי הנגר החודרים למערכת הביוב והגורמים להצפות ועבודות לתיקונם.</v>
      </c>
      <c r="AC71" s="3">
        <f>'תקציב הנדסה 2021'!AC74</f>
        <v>742000</v>
      </c>
      <c r="AD71" s="387"/>
      <c r="AE71" s="387"/>
      <c r="AF71" s="387"/>
    </row>
    <row r="72" spans="1:32" s="5" customFormat="1" ht="42">
      <c r="A72" s="514">
        <f t="shared" si="3"/>
        <v>67</v>
      </c>
      <c r="B72" s="3">
        <f>'תקציב הנדסה 2021'!B75</f>
        <v>2193</v>
      </c>
      <c r="C72" s="280" t="str">
        <f>'תקציב הנדסה 2021'!C75</f>
        <v>תוכנית תפעולית במסגרת "מהיר לעיר"</v>
      </c>
      <c r="D72" s="4">
        <f>'תקציב הנדסה 2021'!D75</f>
        <v>500000</v>
      </c>
      <c r="E72" s="4">
        <f>'תקציב הנדסה 2021'!E75</f>
        <v>0</v>
      </c>
      <c r="F72" s="4">
        <f>'תקציב הנדסה 2021'!F75</f>
        <v>500000</v>
      </c>
      <c r="G72" s="4">
        <f>'תקציב הנדסה 2021'!G75</f>
        <v>0</v>
      </c>
      <c r="H72" s="4">
        <f>'תקציב הנדסה 2021'!H75</f>
        <v>0</v>
      </c>
      <c r="I72" s="4">
        <f>'תקציב הנדסה 2021'!I75</f>
        <v>0</v>
      </c>
      <c r="J72" s="4">
        <f>'תקציב הנדסה 2021'!J75</f>
        <v>0</v>
      </c>
      <c r="K72" s="4">
        <f>'תקציב הנדסה 2021'!K75</f>
        <v>0</v>
      </c>
      <c r="L72" s="4">
        <f>'תקציב הנדסה 2021'!L75</f>
        <v>0</v>
      </c>
      <c r="M72" s="4">
        <f>'תקציב הנדסה 2021'!M75</f>
        <v>0</v>
      </c>
      <c r="N72" s="4">
        <f>'תקציב הנדסה 2021'!N75</f>
        <v>500000</v>
      </c>
      <c r="O72" s="4">
        <f>'תקציב הנדסה 2021'!O75</f>
        <v>0</v>
      </c>
      <c r="P72" s="4">
        <f>'תקציב הנדסה 2021'!P75</f>
        <v>0</v>
      </c>
      <c r="Q72" s="4">
        <f>'תקציב הנדסה 2021'!Q75</f>
        <v>0</v>
      </c>
      <c r="R72" s="4">
        <f>'תקציב הנדסה 2021'!R75</f>
        <v>0</v>
      </c>
      <c r="S72" s="4">
        <f>'תקציב הנדסה 2021'!S75</f>
        <v>0</v>
      </c>
      <c r="T72" s="4">
        <f>'תקציב הנדסה 2021'!T75</f>
        <v>0</v>
      </c>
      <c r="U72" s="4">
        <f>'תקציב הנדסה 2021'!U75</f>
        <v>500000</v>
      </c>
      <c r="V72" s="4">
        <f>'תקציב הנדסה 2021'!V75</f>
        <v>500000</v>
      </c>
      <c r="W72" s="4">
        <f>'תקציב הנדסה 2021'!W75</f>
        <v>0</v>
      </c>
      <c r="X72" s="4">
        <f>'תקציב הנדסה 2021'!X75</f>
        <v>0</v>
      </c>
      <c r="Y72" s="4">
        <f>'תקציב הנדסה 2021'!Y75</f>
        <v>0</v>
      </c>
      <c r="Z72" s="4">
        <f>'תקציב הנדסה 2021'!Z75</f>
        <v>0</v>
      </c>
      <c r="AA72" s="4">
        <f>'תקציב הנדסה 2021'!AA75</f>
        <v>0</v>
      </c>
      <c r="AB72" s="280" t="str">
        <f>'תקציב הנדסה 2021'!AB75</f>
        <v>הקמת תחנות אוטובוס , תחנות קצה ותשתיות בהתאם לצורך, במסגרת התוכנית התפעולית של "מהיר לעיר".</v>
      </c>
      <c r="AC72" s="3">
        <f>'תקציב הנדסה 2021'!AC75</f>
        <v>742000</v>
      </c>
      <c r="AD72" s="387"/>
      <c r="AE72" s="387"/>
      <c r="AF72" s="387"/>
    </row>
    <row r="73" spans="1:32" s="5" customFormat="1" ht="28">
      <c r="A73" s="514">
        <f t="shared" si="3"/>
        <v>68</v>
      </c>
      <c r="B73" s="3">
        <f>'תקציב הנדסה 2021'!B76</f>
        <v>2194</v>
      </c>
      <c r="C73" s="280" t="str">
        <f>'תקציב הנדסה 2021'!C76</f>
        <v xml:space="preserve">עבודות ניקוז  רחוב רבינו תם </v>
      </c>
      <c r="D73" s="4">
        <f>'תקציב הנדסה 2021'!D76</f>
        <v>700000</v>
      </c>
      <c r="E73" s="4">
        <f>'תקציב הנדסה 2021'!E76</f>
        <v>0</v>
      </c>
      <c r="F73" s="4">
        <f>'תקציב הנדסה 2021'!F76</f>
        <v>700000</v>
      </c>
      <c r="G73" s="4">
        <f>'תקציב הנדסה 2021'!G76</f>
        <v>0</v>
      </c>
      <c r="H73" s="4">
        <f>'תקציב הנדסה 2021'!H76</f>
        <v>0</v>
      </c>
      <c r="I73" s="4">
        <f>'תקציב הנדסה 2021'!I76</f>
        <v>0</v>
      </c>
      <c r="J73" s="4">
        <f>'תקציב הנדסה 2021'!J76</f>
        <v>0</v>
      </c>
      <c r="K73" s="4">
        <f>'תקציב הנדסה 2021'!K76</f>
        <v>0</v>
      </c>
      <c r="L73" s="4">
        <f>'תקציב הנדסה 2021'!L76</f>
        <v>0</v>
      </c>
      <c r="M73" s="4">
        <f>'תקציב הנדסה 2021'!M76</f>
        <v>0</v>
      </c>
      <c r="N73" s="4">
        <f>'תקציב הנדסה 2021'!N76</f>
        <v>700000</v>
      </c>
      <c r="O73" s="4">
        <f>'תקציב הנדסה 2021'!O76</f>
        <v>0</v>
      </c>
      <c r="P73" s="4">
        <f>'תקציב הנדסה 2021'!P76</f>
        <v>0</v>
      </c>
      <c r="Q73" s="4">
        <f>'תקציב הנדסה 2021'!Q76</f>
        <v>0</v>
      </c>
      <c r="R73" s="4">
        <f>'תקציב הנדסה 2021'!R76</f>
        <v>0</v>
      </c>
      <c r="S73" s="4">
        <f>'תקציב הנדסה 2021'!S76</f>
        <v>0</v>
      </c>
      <c r="T73" s="4">
        <f>'תקציב הנדסה 2021'!T76</f>
        <v>0</v>
      </c>
      <c r="U73" s="4">
        <f>'תקציב הנדסה 2021'!U76</f>
        <v>700000</v>
      </c>
      <c r="V73" s="4">
        <f>'תקציב הנדסה 2021'!V76</f>
        <v>700000</v>
      </c>
      <c r="W73" s="4">
        <f>'תקציב הנדסה 2021'!W76</f>
        <v>0</v>
      </c>
      <c r="X73" s="4">
        <f>'תקציב הנדסה 2021'!X76</f>
        <v>0</v>
      </c>
      <c r="Y73" s="4">
        <f>'תקציב הנדסה 2021'!Y76</f>
        <v>0</v>
      </c>
      <c r="Z73" s="4">
        <f>'תקציב הנדסה 2021'!Z76</f>
        <v>0</v>
      </c>
      <c r="AA73" s="4">
        <f>'תקציב הנדסה 2021'!AA76</f>
        <v>0</v>
      </c>
      <c r="AB73" s="280" t="str">
        <f>'תקציב הנדסה 2021'!AB76</f>
        <v>תכנון וביצוע ניקוז ברחוב רבנו תם בשיתוף עם תאגיד המים.</v>
      </c>
      <c r="AC73" s="3">
        <f>'תקציב הנדסה 2021'!AC76</f>
        <v>742000</v>
      </c>
      <c r="AD73" s="387"/>
      <c r="AE73" s="387"/>
      <c r="AF73" s="387"/>
    </row>
    <row r="74" spans="1:32" s="5" customFormat="1" ht="56">
      <c r="A74" s="514">
        <f t="shared" si="3"/>
        <v>69</v>
      </c>
      <c r="B74" s="3">
        <f>'תקציב הנדסה 2021'!B77</f>
        <v>2195</v>
      </c>
      <c r="C74" s="280" t="str">
        <f>'תקציב הנדסה 2021'!C77</f>
        <v xml:space="preserve">תוכנית אב לביופילטרים ברחבי העיר   </v>
      </c>
      <c r="D74" s="4">
        <f>'תקציב הנדסה 2021'!D77</f>
        <v>2300000</v>
      </c>
      <c r="E74" s="4">
        <f>'תקציב הנדסה 2021'!E77</f>
        <v>0</v>
      </c>
      <c r="F74" s="4">
        <f>'תקציב הנדסה 2021'!F77</f>
        <v>2300000</v>
      </c>
      <c r="G74" s="4">
        <f>'תקציב הנדסה 2021'!G77</f>
        <v>0</v>
      </c>
      <c r="H74" s="4">
        <f>'תקציב הנדסה 2021'!H77</f>
        <v>0</v>
      </c>
      <c r="I74" s="4">
        <f>'תקציב הנדסה 2021'!I77</f>
        <v>0</v>
      </c>
      <c r="J74" s="4">
        <f>'תקציב הנדסה 2021'!J77</f>
        <v>0</v>
      </c>
      <c r="K74" s="4">
        <f>'תקציב הנדסה 2021'!K77</f>
        <v>0</v>
      </c>
      <c r="L74" s="4">
        <f>'תקציב הנדסה 2021'!L77</f>
        <v>0</v>
      </c>
      <c r="M74" s="4">
        <f>'תקציב הנדסה 2021'!M77</f>
        <v>0</v>
      </c>
      <c r="N74" s="4">
        <f>'תקציב הנדסה 2021'!N77</f>
        <v>350000</v>
      </c>
      <c r="O74" s="4">
        <f>'תקציב הנדסה 2021'!O77</f>
        <v>1950000</v>
      </c>
      <c r="P74" s="4">
        <f>'תקציב הנדסה 2021'!P77</f>
        <v>0</v>
      </c>
      <c r="Q74" s="4">
        <f>'תקציב הנדסה 2021'!Q77</f>
        <v>0</v>
      </c>
      <c r="R74" s="4">
        <f>'תקציב הנדסה 2021'!R77</f>
        <v>0</v>
      </c>
      <c r="S74" s="4">
        <f>'תקציב הנדסה 2021'!S77</f>
        <v>0</v>
      </c>
      <c r="T74" s="4">
        <f>'תקציב הנדסה 2021'!T77</f>
        <v>0</v>
      </c>
      <c r="U74" s="4">
        <f>'תקציב הנדסה 2021'!U77</f>
        <v>350000</v>
      </c>
      <c r="V74" s="4">
        <f>'תקציב הנדסה 2021'!V77</f>
        <v>350000</v>
      </c>
      <c r="W74" s="4">
        <f>'תקציב הנדסה 2021'!W77</f>
        <v>0</v>
      </c>
      <c r="X74" s="4">
        <f>'תקציב הנדסה 2021'!X77</f>
        <v>0</v>
      </c>
      <c r="Y74" s="4">
        <f>'תקציב הנדסה 2021'!Y77</f>
        <v>0</v>
      </c>
      <c r="Z74" s="4">
        <f>'תקציב הנדסה 2021'!Z77</f>
        <v>0</v>
      </c>
      <c r="AA74" s="4">
        <f>'תקציב הנדסה 2021'!AA77</f>
        <v>0</v>
      </c>
      <c r="AB74" s="280" t="str">
        <f>'תקציב הנדסה 2021'!AB77</f>
        <v>הכנת תוכנית אב לביופילטרים ברחבי העיר והקמת 2 ביופילטרים. מתקנים לסינון מים מזוהמים ומניעת בזבוז מי נגר עירוני .</v>
      </c>
      <c r="AC74" s="3">
        <f>'תקציב הנדסה 2021'!AC77</f>
        <v>742000</v>
      </c>
      <c r="AD74" s="387"/>
      <c r="AE74" s="387"/>
      <c r="AF74" s="387"/>
    </row>
    <row r="75" spans="1:32" s="5" customFormat="1" ht="28">
      <c r="A75" s="514">
        <f t="shared" si="3"/>
        <v>70</v>
      </c>
      <c r="B75" s="3">
        <f>'תקציב הנדסה 2021'!B78</f>
        <v>2196</v>
      </c>
      <c r="C75" s="280" t="str">
        <f>'תקציב הנדסה 2021'!C78</f>
        <v xml:space="preserve">עבודות ניקוז   רחוב הרב גורן </v>
      </c>
      <c r="D75" s="4">
        <f>'תקציב הנדסה 2021'!D78</f>
        <v>2000000</v>
      </c>
      <c r="E75" s="4">
        <f>'תקציב הנדסה 2021'!E78</f>
        <v>0</v>
      </c>
      <c r="F75" s="4">
        <f>'תקציב הנדסה 2021'!F78</f>
        <v>2000000</v>
      </c>
      <c r="G75" s="4">
        <f>'תקציב הנדסה 2021'!G78</f>
        <v>0</v>
      </c>
      <c r="H75" s="4">
        <f>'תקציב הנדסה 2021'!H78</f>
        <v>0</v>
      </c>
      <c r="I75" s="4">
        <f>'תקציב הנדסה 2021'!I78</f>
        <v>0</v>
      </c>
      <c r="J75" s="4">
        <f>'תקציב הנדסה 2021'!J78</f>
        <v>0</v>
      </c>
      <c r="K75" s="4">
        <f>'תקציב הנדסה 2021'!K78</f>
        <v>0</v>
      </c>
      <c r="L75" s="4">
        <f>'תקציב הנדסה 2021'!L78</f>
        <v>0</v>
      </c>
      <c r="M75" s="4">
        <f>'תקציב הנדסה 2021'!M78</f>
        <v>0</v>
      </c>
      <c r="N75" s="4">
        <f>'תקציב הנדסה 2021'!N78</f>
        <v>400000</v>
      </c>
      <c r="O75" s="4">
        <f>'תקציב הנדסה 2021'!O78</f>
        <v>1600000</v>
      </c>
      <c r="P75" s="4">
        <f>'תקציב הנדסה 2021'!P78</f>
        <v>0</v>
      </c>
      <c r="Q75" s="4">
        <f>'תקציב הנדסה 2021'!Q78</f>
        <v>0</v>
      </c>
      <c r="R75" s="4">
        <f>'תקציב הנדסה 2021'!R78</f>
        <v>0</v>
      </c>
      <c r="S75" s="4">
        <f>'תקציב הנדסה 2021'!S78</f>
        <v>0</v>
      </c>
      <c r="T75" s="4">
        <f>'תקציב הנדסה 2021'!T78</f>
        <v>0</v>
      </c>
      <c r="U75" s="4">
        <f>'תקציב הנדסה 2021'!U78</f>
        <v>400000</v>
      </c>
      <c r="V75" s="4">
        <f>'תקציב הנדסה 2021'!V78</f>
        <v>400000</v>
      </c>
      <c r="W75" s="4">
        <f>'תקציב הנדסה 2021'!W78</f>
        <v>0</v>
      </c>
      <c r="X75" s="4">
        <f>'תקציב הנדסה 2021'!X78</f>
        <v>0</v>
      </c>
      <c r="Y75" s="4">
        <f>'תקציב הנדסה 2021'!Y78</f>
        <v>0</v>
      </c>
      <c r="Z75" s="4">
        <f>'תקציב הנדסה 2021'!Z78</f>
        <v>0</v>
      </c>
      <c r="AA75" s="4">
        <f>'תקציב הנדסה 2021'!AA78</f>
        <v>0</v>
      </c>
      <c r="AB75" s="280" t="str">
        <f>'תקציב הנדסה 2021'!AB78</f>
        <v>תכנון וביצוע ניקוז ברחוב הרב גורן בשיתוף עם תאגיד המים.</v>
      </c>
      <c r="AC75" s="3">
        <f>'תקציב הנדסה 2021'!AC78</f>
        <v>742000</v>
      </c>
      <c r="AD75" s="387"/>
      <c r="AE75" s="387"/>
      <c r="AF75" s="387"/>
    </row>
    <row r="76" spans="1:32" s="5" customFormat="1" ht="28">
      <c r="A76" s="514">
        <f t="shared" si="3"/>
        <v>71</v>
      </c>
      <c r="B76" s="3">
        <f>'תקציב הנדסה 2021'!B79</f>
        <v>2197</v>
      </c>
      <c r="C76" s="280" t="str">
        <f>'תקציב הנדסה 2021'!C79</f>
        <v xml:space="preserve">עבודות ניקוז   רחוב רוחמה ושבטי ישראל </v>
      </c>
      <c r="D76" s="4">
        <f>'תקציב הנדסה 2021'!D79</f>
        <v>4000000</v>
      </c>
      <c r="E76" s="4">
        <f>'תקציב הנדסה 2021'!E79</f>
        <v>0</v>
      </c>
      <c r="F76" s="4">
        <f>'תקציב הנדסה 2021'!F79</f>
        <v>4000000</v>
      </c>
      <c r="G76" s="4">
        <f>'תקציב הנדסה 2021'!G79</f>
        <v>0</v>
      </c>
      <c r="H76" s="4">
        <f>'תקציב הנדסה 2021'!H79</f>
        <v>0</v>
      </c>
      <c r="I76" s="4">
        <f>'תקציב הנדסה 2021'!I79</f>
        <v>0</v>
      </c>
      <c r="J76" s="4">
        <f>'תקציב הנדסה 2021'!J79</f>
        <v>0</v>
      </c>
      <c r="K76" s="4">
        <f>'תקציב הנדסה 2021'!K79</f>
        <v>0</v>
      </c>
      <c r="L76" s="4">
        <f>'תקציב הנדסה 2021'!L79</f>
        <v>0</v>
      </c>
      <c r="M76" s="4">
        <f>'תקציב הנדסה 2021'!M79</f>
        <v>0</v>
      </c>
      <c r="N76" s="4">
        <f>'תקציב הנדסה 2021'!N79</f>
        <v>300000</v>
      </c>
      <c r="O76" s="4">
        <f>'תקציב הנדסה 2021'!O79</f>
        <v>3700000</v>
      </c>
      <c r="P76" s="4">
        <f>'תקציב הנדסה 2021'!P79</f>
        <v>0</v>
      </c>
      <c r="Q76" s="4">
        <f>'תקציב הנדסה 2021'!Q79</f>
        <v>0</v>
      </c>
      <c r="R76" s="4">
        <f>'תקציב הנדסה 2021'!R79</f>
        <v>0</v>
      </c>
      <c r="S76" s="4">
        <f>'תקציב הנדסה 2021'!S79</f>
        <v>0</v>
      </c>
      <c r="T76" s="4">
        <f>'תקציב הנדסה 2021'!T79</f>
        <v>0</v>
      </c>
      <c r="U76" s="4">
        <f>'תקציב הנדסה 2021'!U79</f>
        <v>300000</v>
      </c>
      <c r="V76" s="4">
        <f>'תקציב הנדסה 2021'!V79</f>
        <v>300000</v>
      </c>
      <c r="W76" s="4">
        <f>'תקציב הנדסה 2021'!W79</f>
        <v>0</v>
      </c>
      <c r="X76" s="4">
        <f>'תקציב הנדסה 2021'!X79</f>
        <v>0</v>
      </c>
      <c r="Y76" s="4">
        <f>'תקציב הנדסה 2021'!Y79</f>
        <v>0</v>
      </c>
      <c r="Z76" s="4">
        <f>'תקציב הנדסה 2021'!Z79</f>
        <v>0</v>
      </c>
      <c r="AA76" s="4">
        <f>'תקציב הנדסה 2021'!AA79</f>
        <v>0</v>
      </c>
      <c r="AB76" s="280" t="str">
        <f>'תקציב הנדסה 2021'!AB79</f>
        <v>תכנון וביצוע ניקוז ברחוב רוחמה ושבאי ישראל בשיתוף עם תאגיד המים.</v>
      </c>
      <c r="AC76" s="3">
        <f>'תקציב הנדסה 2021'!AC79</f>
        <v>742000</v>
      </c>
      <c r="AD76" s="387"/>
      <c r="AE76" s="387"/>
      <c r="AF76" s="387"/>
    </row>
    <row r="77" spans="1:32" s="5" customFormat="1" ht="28">
      <c r="A77" s="514">
        <f t="shared" si="3"/>
        <v>72</v>
      </c>
      <c r="B77" s="3">
        <f>'תקציב הנדסה 2021'!B80</f>
        <v>2198</v>
      </c>
      <c r="C77" s="280" t="str">
        <f>'תקציב הנדסה 2021'!C80</f>
        <v>פיתוח דרך מזרחית מקבילה לקיבוץ גלויות</v>
      </c>
      <c r="D77" s="4">
        <f>'תקציב הנדסה 2021'!D80</f>
        <v>9500000</v>
      </c>
      <c r="E77" s="4">
        <f>'תקציב הנדסה 2021'!E80</f>
        <v>0</v>
      </c>
      <c r="F77" s="4">
        <f>'תקציב הנדסה 2021'!F80</f>
        <v>9500000</v>
      </c>
      <c r="G77" s="4">
        <f>'תקציב הנדסה 2021'!G80</f>
        <v>0</v>
      </c>
      <c r="H77" s="4">
        <f>'תקציב הנדסה 2021'!H80</f>
        <v>0</v>
      </c>
      <c r="I77" s="4">
        <f>'תקציב הנדסה 2021'!I80</f>
        <v>0</v>
      </c>
      <c r="J77" s="4">
        <f>'תקציב הנדסה 2021'!J80</f>
        <v>0</v>
      </c>
      <c r="K77" s="4">
        <f>'תקציב הנדסה 2021'!K80</f>
        <v>0</v>
      </c>
      <c r="L77" s="4">
        <f>'תקציב הנדסה 2021'!L80</f>
        <v>0</v>
      </c>
      <c r="M77" s="4">
        <f>'תקציב הנדסה 2021'!M80</f>
        <v>0</v>
      </c>
      <c r="N77" s="4">
        <f>'תקציב הנדסה 2021'!N80</f>
        <v>500000</v>
      </c>
      <c r="O77" s="4">
        <f>'תקציב הנדסה 2021'!O80</f>
        <v>9000000</v>
      </c>
      <c r="P77" s="4">
        <f>'תקציב הנדסה 2021'!P80</f>
        <v>0</v>
      </c>
      <c r="Q77" s="4">
        <f>'תקציב הנדסה 2021'!Q80</f>
        <v>0</v>
      </c>
      <c r="R77" s="4">
        <f>'תקציב הנדסה 2021'!R80</f>
        <v>0</v>
      </c>
      <c r="S77" s="4">
        <f>'תקציב הנדסה 2021'!S80</f>
        <v>0</v>
      </c>
      <c r="T77" s="4">
        <f>'תקציב הנדסה 2021'!T80</f>
        <v>0</v>
      </c>
      <c r="U77" s="4">
        <f>'תקציב הנדסה 2021'!U80</f>
        <v>500000</v>
      </c>
      <c r="V77" s="4">
        <f>'תקציב הנדסה 2021'!V80</f>
        <v>500000</v>
      </c>
      <c r="W77" s="4">
        <f>'תקציב הנדסה 2021'!W80</f>
        <v>0</v>
      </c>
      <c r="X77" s="4">
        <f>'תקציב הנדסה 2021'!X80</f>
        <v>0</v>
      </c>
      <c r="Y77" s="4">
        <f>'תקציב הנדסה 2021'!Y80</f>
        <v>0</v>
      </c>
      <c r="Z77" s="4">
        <f>'תקציב הנדסה 2021'!Z80</f>
        <v>0</v>
      </c>
      <c r="AA77" s="4">
        <f>'תקציב הנדסה 2021'!AA80</f>
        <v>0</v>
      </c>
      <c r="AB77" s="280" t="str">
        <f>'תקציב הנדסה 2021'!AB80</f>
        <v>פיתוח רחוב חדש המזרחי ביותר בנחלת עדה. בשנת 2021 : תכנון</v>
      </c>
      <c r="AC77" s="3">
        <f>'תקציב הנדסה 2021'!AC80</f>
        <v>742000</v>
      </c>
      <c r="AD77" s="387"/>
      <c r="AE77" s="387"/>
      <c r="AF77" s="387"/>
    </row>
    <row r="78" spans="1:32" s="5" customFormat="1" ht="27" customHeight="1">
      <c r="A78" s="514">
        <f>A77+1</f>
        <v>73</v>
      </c>
      <c r="B78" s="3">
        <f>'תקציב הנדסה 2021'!B52</f>
        <v>1943</v>
      </c>
      <c r="C78" s="280" t="str">
        <f>'תקציב הנדסה 2021'!C52</f>
        <v xml:space="preserve">מגרש סימולציה לאופניים </v>
      </c>
      <c r="D78" s="4">
        <f>'תקציב הנדסה 2021'!D52</f>
        <v>6350000</v>
      </c>
      <c r="E78" s="4">
        <f>'תקציב הנדסה 2021'!E52</f>
        <v>6750000</v>
      </c>
      <c r="F78" s="4">
        <f>'תקציב הנדסה 2021'!F52</f>
        <v>-400000</v>
      </c>
      <c r="G78" s="4">
        <f>'תקציב הנדסה 2021'!G52</f>
        <v>6750000</v>
      </c>
      <c r="H78" s="4">
        <f>'תקציב הנדסה 2021'!H52</f>
        <v>5715003</v>
      </c>
      <c r="I78" s="4">
        <f>'תקציב הנדסה 2021'!I52</f>
        <v>51510</v>
      </c>
      <c r="J78" s="4">
        <f>'תקציב הנדסה 2021'!J52</f>
        <v>532878</v>
      </c>
      <c r="K78" s="4">
        <f>'תקציב הנדסה 2021'!K52</f>
        <v>584388</v>
      </c>
      <c r="L78" s="4">
        <f>'תקציב הנדסה 2021'!L52</f>
        <v>6299391</v>
      </c>
      <c r="M78" s="4">
        <f>'תקציב הנדסה 2021'!M52</f>
        <v>50609</v>
      </c>
      <c r="N78" s="4">
        <f>'תקציב הנדסה 2021'!N52</f>
        <v>0</v>
      </c>
      <c r="O78" s="4">
        <f>'תקציב הנדסה 2021'!O52</f>
        <v>0</v>
      </c>
      <c r="P78" s="4">
        <f>'תקציב הנדסה 2021'!P52</f>
        <v>450609</v>
      </c>
      <c r="Q78" s="4">
        <f>'תקציב הנדסה 2021'!Q52</f>
        <v>0</v>
      </c>
      <c r="R78" s="4">
        <f>'תקציב הנדסה 2021'!R52</f>
        <v>0</v>
      </c>
      <c r="S78" s="4">
        <f>'תקציב הנדסה 2021'!S52</f>
        <v>0</v>
      </c>
      <c r="T78" s="4">
        <f>'תקציב הנדסה 2021'!T52</f>
        <v>400000</v>
      </c>
      <c r="U78" s="4">
        <f>'תקציב הנדסה 2021'!U52</f>
        <v>-400000</v>
      </c>
      <c r="V78" s="4">
        <f>'תקציב הנדסה 2021'!V52</f>
        <v>-400000</v>
      </c>
      <c r="W78" s="4">
        <f>'תקציב הנדסה 2021'!W52</f>
        <v>0</v>
      </c>
      <c r="X78" s="4">
        <f>'תקציב הנדסה 2021'!X52</f>
        <v>0</v>
      </c>
      <c r="Y78" s="4">
        <f>'תקציב הנדסה 2021'!Y52</f>
        <v>0</v>
      </c>
      <c r="Z78" s="4">
        <f>'תקציב הנדסה 2021'!Z52</f>
        <v>0</v>
      </c>
      <c r="AA78" s="4">
        <f>'תקציב הנדסה 2021'!AA52</f>
        <v>0</v>
      </c>
      <c r="AB78" s="280" t="str">
        <f>'תקציב הנדסה 2021'!AB52</f>
        <v xml:space="preserve">עבודות השלמה סופיות . ח-ן סופיים. </v>
      </c>
      <c r="AC78" s="3">
        <f>'תקציב הנדסה 2021'!AC52</f>
        <v>744000</v>
      </c>
      <c r="AD78" s="387"/>
      <c r="AE78" s="387"/>
      <c r="AF78" s="387"/>
    </row>
    <row r="79" spans="1:32" s="5" customFormat="1" ht="27" customHeight="1">
      <c r="A79" s="514">
        <f>A78+1</f>
        <v>74</v>
      </c>
      <c r="B79" s="3">
        <f>'תקציב הנדסה 2021'!B10</f>
        <v>608</v>
      </c>
      <c r="C79" s="280" t="str">
        <f>'תקציב הנדסה 2021'!C10</f>
        <v>עבודות ניקוז בעיר</v>
      </c>
      <c r="D79" s="4">
        <f>'תקציב הנדסה 2021'!D10</f>
        <v>8300000</v>
      </c>
      <c r="E79" s="4">
        <f>'תקציב הנדסה 2021'!E10</f>
        <v>8300000</v>
      </c>
      <c r="F79" s="4">
        <f>'תקציב הנדסה 2021'!F10</f>
        <v>0</v>
      </c>
      <c r="G79" s="4">
        <f>'תקציב הנדסה 2021'!G10</f>
        <v>6200000</v>
      </c>
      <c r="H79" s="4">
        <f>'תקציב הנדסה 2021'!H10</f>
        <v>5671797</v>
      </c>
      <c r="I79" s="4">
        <f>'תקציב הנדסה 2021'!I10</f>
        <v>0</v>
      </c>
      <c r="J79" s="4">
        <f>'תקציב הנדסה 2021'!J10</f>
        <v>110351</v>
      </c>
      <c r="K79" s="4">
        <f>'תקציב הנדסה 2021'!K10</f>
        <v>110351</v>
      </c>
      <c r="L79" s="4">
        <f>'תקציב הנדסה 2021'!L10</f>
        <v>5782148</v>
      </c>
      <c r="M79" s="4">
        <f>'תקציב הנדסה 2021'!M10</f>
        <v>17852</v>
      </c>
      <c r="N79" s="4">
        <f>'תקציב הנדסה 2021'!N10</f>
        <v>400000</v>
      </c>
      <c r="O79" s="4">
        <f>'תקציב הנדסה 2021'!O10</f>
        <v>2100000</v>
      </c>
      <c r="P79" s="4">
        <f>'תקציב הנדסה 2021'!P10</f>
        <v>417852</v>
      </c>
      <c r="Q79" s="4">
        <f>'תקציב הנדסה 2021'!Q10</f>
        <v>0</v>
      </c>
      <c r="R79" s="4">
        <f>'תקציב הנדסה 2021'!R10</f>
        <v>0</v>
      </c>
      <c r="S79" s="4">
        <f>'תקציב הנדסה 2021'!S10</f>
        <v>0</v>
      </c>
      <c r="T79" s="4">
        <f>'תקציב הנדסה 2021'!T10</f>
        <v>400000</v>
      </c>
      <c r="U79" s="4">
        <f>'תקציב הנדסה 2021'!U10</f>
        <v>0</v>
      </c>
      <c r="V79" s="4">
        <f>'תקציב הנדסה 2021'!V10</f>
        <v>0</v>
      </c>
      <c r="W79" s="4">
        <f>'תקציב הנדסה 2021'!W10</f>
        <v>0</v>
      </c>
      <c r="X79" s="4">
        <f>'תקציב הנדסה 2021'!X10</f>
        <v>0</v>
      </c>
      <c r="Y79" s="4">
        <f>'תקציב הנדסה 2021'!Y10</f>
        <v>0</v>
      </c>
      <c r="Z79" s="4">
        <f>'תקציב הנדסה 2021'!Z10</f>
        <v>0</v>
      </c>
      <c r="AA79" s="4">
        <f>'תקציב הנדסה 2021'!AA10</f>
        <v>0</v>
      </c>
      <c r="AB79" s="280" t="str">
        <f>'תקציב הנדסה 2021'!AB10</f>
        <v>סל עבודות ניקוז ברחבי העיר .</v>
      </c>
      <c r="AC79" s="3">
        <f>'תקציב הנדסה 2021'!AC10</f>
        <v>745000</v>
      </c>
      <c r="AD79" s="387"/>
      <c r="AE79" s="387"/>
      <c r="AF79" s="387"/>
    </row>
    <row r="80" spans="1:32" s="5" customFormat="1" ht="27" customHeight="1">
      <c r="A80" s="514">
        <f>A79+1</f>
        <v>75</v>
      </c>
      <c r="B80" s="3">
        <f>'תקציב הנדסה 2021'!B6</f>
        <v>304</v>
      </c>
      <c r="C80" s="280" t="str">
        <f>'תקציב הנדסה 2021'!C6</f>
        <v>פיתוח פארק הבאסה</v>
      </c>
      <c r="D80" s="4">
        <f>'תקציב הנדסה 2021'!D6</f>
        <v>54930000</v>
      </c>
      <c r="E80" s="4">
        <f>'תקציב הנדסה 2021'!E6</f>
        <v>54930000</v>
      </c>
      <c r="F80" s="4">
        <f>'תקציב הנדסה 2021'!F6</f>
        <v>0</v>
      </c>
      <c r="G80" s="4">
        <f>'תקציב הנדסה 2021'!G6</f>
        <v>54930000</v>
      </c>
      <c r="H80" s="4">
        <f>'תקציב הנדסה 2021'!H6</f>
        <v>54780523</v>
      </c>
      <c r="I80" s="4">
        <f>'תקציב הנדסה 2021'!I6</f>
        <v>149074</v>
      </c>
      <c r="J80" s="4">
        <f>'תקציב הנדסה 2021'!J6</f>
        <v>0</v>
      </c>
      <c r="K80" s="4">
        <f>'תקציב הנדסה 2021'!K6</f>
        <v>149074</v>
      </c>
      <c r="L80" s="4">
        <f>'תקציב הנדסה 2021'!L6</f>
        <v>54929597</v>
      </c>
      <c r="M80" s="4">
        <f>'תקציב הנדסה 2021'!M6</f>
        <v>403</v>
      </c>
      <c r="N80" s="4">
        <f>'תקציב הנדסה 2021'!N6</f>
        <v>0</v>
      </c>
      <c r="O80" s="4">
        <f>'תקציב הנדסה 2021'!O6</f>
        <v>0</v>
      </c>
      <c r="P80" s="4">
        <f>'תקציב הנדסה 2021'!P6</f>
        <v>403</v>
      </c>
      <c r="Q80" s="4">
        <f>'תקציב הנדסה 2021'!Q6</f>
        <v>0</v>
      </c>
      <c r="R80" s="4">
        <f>'תקציב הנדסה 2021'!R6</f>
        <v>0</v>
      </c>
      <c r="S80" s="4">
        <f>'תקציב הנדסה 2021'!S6</f>
        <v>0</v>
      </c>
      <c r="T80" s="4">
        <f>'תקציב הנדסה 2021'!T6</f>
        <v>0</v>
      </c>
      <c r="U80" s="4">
        <f>'תקציב הנדסה 2021'!U6</f>
        <v>0</v>
      </c>
      <c r="V80" s="4">
        <f>'תקציב הנדסה 2021'!V6</f>
        <v>0</v>
      </c>
      <c r="W80" s="4">
        <f>'תקציב הנדסה 2021'!W6</f>
        <v>0</v>
      </c>
      <c r="X80" s="4">
        <f>'תקציב הנדסה 2021'!X6</f>
        <v>0</v>
      </c>
      <c r="Y80" s="4">
        <f>'תקציב הנדסה 2021'!Y6</f>
        <v>0</v>
      </c>
      <c r="Z80" s="4">
        <f>'תקציב הנדסה 2021'!Z6</f>
        <v>0</v>
      </c>
      <c r="AA80" s="4">
        <f>'תקציב הנדסה 2021'!AA6</f>
        <v>0</v>
      </c>
      <c r="AB80" s="280" t="str">
        <f>'תקציב הנדסה 2021'!AB6</f>
        <v>התב"ר לסגירה.</v>
      </c>
      <c r="AC80" s="3">
        <f>'תקציב הנדסה 2021'!AC6</f>
        <v>746000</v>
      </c>
      <c r="AD80" s="387"/>
      <c r="AE80" s="387"/>
      <c r="AF80" s="387"/>
    </row>
    <row r="81" spans="1:32" s="5" customFormat="1" ht="27" customHeight="1">
      <c r="A81" s="514">
        <f>A80+1</f>
        <v>76</v>
      </c>
      <c r="B81" s="3">
        <f>'תקציב הנדסה 2021'!B17</f>
        <v>1320</v>
      </c>
      <c r="C81" s="280" t="str">
        <f>'תקציב הנדסה 2021'!C17</f>
        <v>פארק הבאסה שלב ב'</v>
      </c>
      <c r="D81" s="4">
        <f>'תקציב הנדסה 2021'!D17</f>
        <v>21550000</v>
      </c>
      <c r="E81" s="4">
        <f>'תקציב הנדסה 2021'!E17</f>
        <v>23500000</v>
      </c>
      <c r="F81" s="4">
        <f>'תקציב הנדסה 2021'!F17</f>
        <v>-1950000</v>
      </c>
      <c r="G81" s="4">
        <f>'תקציב הנדסה 2021'!G17</f>
        <v>21550000</v>
      </c>
      <c r="H81" s="4">
        <f>'תקציב הנדסה 2021'!H17</f>
        <v>21339439</v>
      </c>
      <c r="I81" s="4">
        <f>'תקציב הנדסה 2021'!I17</f>
        <v>204226</v>
      </c>
      <c r="J81" s="4">
        <f>'תקציב הנדסה 2021'!J17</f>
        <v>0</v>
      </c>
      <c r="K81" s="4">
        <f>'תקציב הנדסה 2021'!K17</f>
        <v>204226</v>
      </c>
      <c r="L81" s="4">
        <f>'תקציב הנדסה 2021'!L17</f>
        <v>21543665</v>
      </c>
      <c r="M81" s="4">
        <f>'תקציב הנדסה 2021'!M17</f>
        <v>6335</v>
      </c>
      <c r="N81" s="4">
        <f>'תקציב הנדסה 2021'!N17</f>
        <v>0</v>
      </c>
      <c r="O81" s="4">
        <f>'תקציב הנדסה 2021'!O17</f>
        <v>0</v>
      </c>
      <c r="P81" s="4">
        <f>'תקציב הנדסה 2021'!P17</f>
        <v>6335</v>
      </c>
      <c r="Q81" s="4">
        <f>'תקציב הנדסה 2021'!Q17</f>
        <v>0</v>
      </c>
      <c r="R81" s="4">
        <f>'תקציב הנדסה 2021'!R17</f>
        <v>0</v>
      </c>
      <c r="S81" s="4">
        <f>'תקציב הנדסה 2021'!S17</f>
        <v>0</v>
      </c>
      <c r="T81" s="4">
        <f>'תקציב הנדסה 2021'!T17</f>
        <v>0</v>
      </c>
      <c r="U81" s="4">
        <f>'תקציב הנדסה 2021'!U17</f>
        <v>0</v>
      </c>
      <c r="V81" s="4">
        <f>'תקציב הנדסה 2021'!V17</f>
        <v>0</v>
      </c>
      <c r="W81" s="4">
        <f>'תקציב הנדסה 2021'!W17</f>
        <v>0</v>
      </c>
      <c r="X81" s="4">
        <f>'תקציב הנדסה 2021'!X17</f>
        <v>0</v>
      </c>
      <c r="Y81" s="4">
        <f>'תקציב הנדסה 2021'!Y17</f>
        <v>0</v>
      </c>
      <c r="Z81" s="4">
        <f>'תקציב הנדסה 2021'!Z17</f>
        <v>0</v>
      </c>
      <c r="AA81" s="4">
        <f>'תקציב הנדסה 2021'!AA17</f>
        <v>0</v>
      </c>
      <c r="AB81" s="280" t="str">
        <f>'תקציב הנדסה 2021'!AB17</f>
        <v>התב"ר לסגירה.</v>
      </c>
      <c r="AC81" s="3">
        <f>'תקציב הנדסה 2021'!AC17</f>
        <v>746000</v>
      </c>
      <c r="AD81" s="387"/>
      <c r="AE81" s="387"/>
      <c r="AF81" s="387"/>
    </row>
    <row r="82" spans="1:32" s="5" customFormat="1" ht="27" customHeight="1">
      <c r="A82" s="514">
        <f>A81+1</f>
        <v>77</v>
      </c>
      <c r="B82" s="3">
        <f>'תקציב הנדסה 2021'!B29</f>
        <v>1568</v>
      </c>
      <c r="C82" s="280" t="str">
        <f>'תקציב הנדסה 2021'!C29</f>
        <v>פיתוח פארק שלב ג'</v>
      </c>
      <c r="D82" s="4">
        <f>'תקציב הנדסה 2021'!D29</f>
        <v>46375301</v>
      </c>
      <c r="E82" s="4">
        <f>'תקציב הנדסה 2021'!E29</f>
        <v>46375301</v>
      </c>
      <c r="F82" s="4">
        <f>'תקציב הנדסה 2021'!F29</f>
        <v>0</v>
      </c>
      <c r="G82" s="4">
        <f>'תקציב הנדסה 2021'!G29</f>
        <v>28875301</v>
      </c>
      <c r="H82" s="4">
        <f>'תקציב הנדסה 2021'!H29</f>
        <v>27763907</v>
      </c>
      <c r="I82" s="4">
        <f>'תקציב הנדסה 2021'!I29</f>
        <v>822126</v>
      </c>
      <c r="J82" s="4">
        <f>'תקציב הנדסה 2021'!J29</f>
        <v>37672</v>
      </c>
      <c r="K82" s="4">
        <f>'תקציב הנדסה 2021'!K29</f>
        <v>859798</v>
      </c>
      <c r="L82" s="4">
        <f>'תקציב הנדסה 2021'!L29</f>
        <v>28623705</v>
      </c>
      <c r="M82" s="4">
        <f>'תקציב הנדסה 2021'!M29</f>
        <v>1596</v>
      </c>
      <c r="N82" s="4">
        <f>'תקציב הנדסה 2021'!N29</f>
        <v>0</v>
      </c>
      <c r="O82" s="4">
        <f>'תקציב הנדסה 2021'!O29</f>
        <v>17750000</v>
      </c>
      <c r="P82" s="4">
        <f>'תקציב הנדסה 2021'!P29</f>
        <v>251596</v>
      </c>
      <c r="Q82" s="4">
        <f>'תקציב הנדסה 2021'!Q29</f>
        <v>0</v>
      </c>
      <c r="R82" s="4">
        <f>'תקציב הנדסה 2021'!R29</f>
        <v>0</v>
      </c>
      <c r="S82" s="4">
        <f>'תקציב הנדסה 2021'!S29</f>
        <v>0</v>
      </c>
      <c r="T82" s="4">
        <f>'תקציב הנדסה 2021'!T29</f>
        <v>250000</v>
      </c>
      <c r="U82" s="4">
        <f>'תקציב הנדסה 2021'!U29</f>
        <v>-250000</v>
      </c>
      <c r="V82" s="4">
        <f>'תקציב הנדסה 2021'!V29</f>
        <v>-250000</v>
      </c>
      <c r="W82" s="4">
        <f>'תקציב הנדסה 2021'!W29</f>
        <v>0</v>
      </c>
      <c r="X82" s="4">
        <f>'תקציב הנדסה 2021'!X29</f>
        <v>0</v>
      </c>
      <c r="Y82" s="4">
        <f>'תקציב הנדסה 2021'!Y29</f>
        <v>0</v>
      </c>
      <c r="Z82" s="4">
        <f>'תקציב הנדסה 2021'!Z29</f>
        <v>0</v>
      </c>
      <c r="AA82" s="4">
        <f>'תקציב הנדסה 2021'!AA29</f>
        <v>0</v>
      </c>
      <c r="AB82" s="280">
        <f>'תקציב הנדסה 2021'!AB29</f>
        <v>0</v>
      </c>
      <c r="AC82" s="3">
        <f>'תקציב הנדסה 2021'!AC29</f>
        <v>746000</v>
      </c>
      <c r="AD82" s="387"/>
      <c r="AE82" s="387"/>
      <c r="AF82" s="387"/>
    </row>
    <row r="83" spans="1:32" s="70" customFormat="1">
      <c r="A83" s="630"/>
      <c r="B83" s="33"/>
      <c r="C83" s="412" t="s">
        <v>1477</v>
      </c>
      <c r="D83" s="73">
        <f>SUM(D43:D82)</f>
        <v>488613301</v>
      </c>
      <c r="E83" s="73">
        <f t="shared" ref="E83:AA83" si="4">SUM(E43:E82)</f>
        <v>448628301</v>
      </c>
      <c r="F83" s="73">
        <f t="shared" si="4"/>
        <v>39985000</v>
      </c>
      <c r="G83" s="73">
        <f t="shared" si="4"/>
        <v>232654072</v>
      </c>
      <c r="H83" s="73">
        <f t="shared" si="4"/>
        <v>202686703</v>
      </c>
      <c r="I83" s="73">
        <f t="shared" si="4"/>
        <v>5737355</v>
      </c>
      <c r="J83" s="73">
        <f t="shared" si="4"/>
        <v>6818643</v>
      </c>
      <c r="K83" s="73">
        <f t="shared" si="4"/>
        <v>12555998</v>
      </c>
      <c r="L83" s="73">
        <f t="shared" si="4"/>
        <v>215242701</v>
      </c>
      <c r="M83" s="73">
        <f t="shared" si="4"/>
        <v>2771371</v>
      </c>
      <c r="N83" s="73">
        <f t="shared" si="4"/>
        <v>22740000</v>
      </c>
      <c r="O83" s="73">
        <f t="shared" si="4"/>
        <v>247859229</v>
      </c>
      <c r="P83" s="73">
        <f t="shared" si="4"/>
        <v>17411371</v>
      </c>
      <c r="Q83" s="73">
        <f t="shared" si="4"/>
        <v>0</v>
      </c>
      <c r="R83" s="73">
        <f t="shared" si="4"/>
        <v>0</v>
      </c>
      <c r="S83" s="73">
        <f t="shared" si="4"/>
        <v>0</v>
      </c>
      <c r="T83" s="73">
        <f t="shared" si="4"/>
        <v>14640000</v>
      </c>
      <c r="U83" s="73">
        <f t="shared" si="4"/>
        <v>8100000</v>
      </c>
      <c r="V83" s="73">
        <f t="shared" si="4"/>
        <v>7750000</v>
      </c>
      <c r="W83" s="73">
        <f t="shared" si="4"/>
        <v>0</v>
      </c>
      <c r="X83" s="73">
        <f t="shared" si="4"/>
        <v>0</v>
      </c>
      <c r="Y83" s="73">
        <f t="shared" si="4"/>
        <v>0</v>
      </c>
      <c r="Z83" s="73">
        <f t="shared" si="4"/>
        <v>0</v>
      </c>
      <c r="AA83" s="73">
        <f t="shared" si="4"/>
        <v>350000</v>
      </c>
      <c r="AB83" s="412"/>
      <c r="AC83" s="33"/>
      <c r="AD83" s="388"/>
      <c r="AE83" s="388"/>
      <c r="AF83" s="388"/>
    </row>
    <row r="84" spans="1:32" s="5" customFormat="1" ht="30" customHeight="1">
      <c r="A84" s="514">
        <f>A82+1</f>
        <v>78</v>
      </c>
      <c r="B84" s="3">
        <f>'תקציב הנדסה 2021'!B27</f>
        <v>1529</v>
      </c>
      <c r="C84" s="280" t="str">
        <f>'תקציב הנדסה 2021'!C27</f>
        <v>הוצאות בקשר עם תביעות סעיף 197</v>
      </c>
      <c r="D84" s="4">
        <f>'תקציב הנדסה 2021'!D27</f>
        <v>500000</v>
      </c>
      <c r="E84" s="4">
        <f>'תקציב הנדסה 2021'!E27</f>
        <v>500000</v>
      </c>
      <c r="F84" s="4">
        <f>'תקציב הנדסה 2021'!F27</f>
        <v>0</v>
      </c>
      <c r="G84" s="4">
        <f>'תקציב הנדסה 2021'!G27</f>
        <v>500000</v>
      </c>
      <c r="H84" s="4">
        <f>'תקציב הנדסה 2021'!H27</f>
        <v>367382</v>
      </c>
      <c r="I84" s="4">
        <f>'תקציב הנדסה 2021'!I27</f>
        <v>0</v>
      </c>
      <c r="J84" s="4">
        <f>'תקציב הנדסה 2021'!J27</f>
        <v>0</v>
      </c>
      <c r="K84" s="4">
        <f>'תקציב הנדסה 2021'!K27</f>
        <v>0</v>
      </c>
      <c r="L84" s="4">
        <f>'תקציב הנדסה 2021'!L27</f>
        <v>367382</v>
      </c>
      <c r="M84" s="4">
        <f>'תקציב הנדסה 2021'!M27</f>
        <v>2618</v>
      </c>
      <c r="N84" s="4">
        <f>'תקציב הנדסה 2021'!N27</f>
        <v>130000</v>
      </c>
      <c r="O84" s="4">
        <f>'תקציב הנדסה 2021'!O27</f>
        <v>0</v>
      </c>
      <c r="P84" s="4">
        <f>'תקציב הנדסה 2021'!P27</f>
        <v>132618</v>
      </c>
      <c r="Q84" s="4">
        <f>'תקציב הנדסה 2021'!Q27</f>
        <v>0</v>
      </c>
      <c r="R84" s="4">
        <f>'תקציב הנדסה 2021'!R27</f>
        <v>0</v>
      </c>
      <c r="S84" s="4">
        <f>'תקציב הנדסה 2021'!S27</f>
        <v>0</v>
      </c>
      <c r="T84" s="4">
        <f>'תקציב הנדסה 2021'!T27</f>
        <v>130000</v>
      </c>
      <c r="U84" s="4">
        <f>'תקציב הנדסה 2021'!U27</f>
        <v>0</v>
      </c>
      <c r="V84" s="4">
        <f>'תקציב הנדסה 2021'!V27</f>
        <v>0</v>
      </c>
      <c r="W84" s="4">
        <f>'תקציב הנדסה 2021'!W27</f>
        <v>0</v>
      </c>
      <c r="X84" s="4">
        <f>'תקציב הנדסה 2021'!X27</f>
        <v>0</v>
      </c>
      <c r="Y84" s="4">
        <f>'תקציב הנדסה 2021'!Y27</f>
        <v>0</v>
      </c>
      <c r="Z84" s="4">
        <f>'תקציב הנדסה 2021'!Z27</f>
        <v>0</v>
      </c>
      <c r="AA84" s="4">
        <f>'תקציב הנדסה 2021'!AA27</f>
        <v>0</v>
      </c>
      <c r="AB84" s="280" t="str">
        <f>'תקציב הנדסה 2021'!AB27</f>
        <v>סל הוצאות בקשר עם תביעות סעיף 197.</v>
      </c>
      <c r="AC84" s="3">
        <f>'תקציב הנדסה 2021'!AC27</f>
        <v>760000</v>
      </c>
      <c r="AD84" s="387"/>
      <c r="AE84" s="387"/>
      <c r="AF84" s="387"/>
    </row>
    <row r="85" spans="1:32" s="70" customFormat="1" ht="30" customHeight="1">
      <c r="A85" s="630"/>
      <c r="B85" s="33"/>
      <c r="C85" s="412" t="s">
        <v>1478</v>
      </c>
      <c r="D85" s="73">
        <f>SUM(D84)</f>
        <v>500000</v>
      </c>
      <c r="E85" s="73">
        <f t="shared" ref="E85:AA85" si="5">SUM(E84)</f>
        <v>500000</v>
      </c>
      <c r="F85" s="73">
        <f t="shared" si="5"/>
        <v>0</v>
      </c>
      <c r="G85" s="73">
        <f t="shared" si="5"/>
        <v>500000</v>
      </c>
      <c r="H85" s="73">
        <f t="shared" si="5"/>
        <v>367382</v>
      </c>
      <c r="I85" s="73">
        <f t="shared" si="5"/>
        <v>0</v>
      </c>
      <c r="J85" s="73">
        <f t="shared" si="5"/>
        <v>0</v>
      </c>
      <c r="K85" s="73">
        <f t="shared" si="5"/>
        <v>0</v>
      </c>
      <c r="L85" s="73">
        <f t="shared" si="5"/>
        <v>367382</v>
      </c>
      <c r="M85" s="73">
        <f t="shared" si="5"/>
        <v>2618</v>
      </c>
      <c r="N85" s="73">
        <f t="shared" si="5"/>
        <v>130000</v>
      </c>
      <c r="O85" s="73">
        <f t="shared" si="5"/>
        <v>0</v>
      </c>
      <c r="P85" s="73">
        <f t="shared" si="5"/>
        <v>132618</v>
      </c>
      <c r="Q85" s="73">
        <f t="shared" si="5"/>
        <v>0</v>
      </c>
      <c r="R85" s="73">
        <f t="shared" si="5"/>
        <v>0</v>
      </c>
      <c r="S85" s="73">
        <f t="shared" si="5"/>
        <v>0</v>
      </c>
      <c r="T85" s="73">
        <f t="shared" si="5"/>
        <v>130000</v>
      </c>
      <c r="U85" s="73">
        <f t="shared" si="5"/>
        <v>0</v>
      </c>
      <c r="V85" s="73">
        <f t="shared" si="5"/>
        <v>0</v>
      </c>
      <c r="W85" s="73">
        <f t="shared" si="5"/>
        <v>0</v>
      </c>
      <c r="X85" s="73">
        <f t="shared" si="5"/>
        <v>0</v>
      </c>
      <c r="Y85" s="73">
        <f t="shared" si="5"/>
        <v>0</v>
      </c>
      <c r="Z85" s="73">
        <f t="shared" si="5"/>
        <v>0</v>
      </c>
      <c r="AA85" s="73">
        <f t="shared" si="5"/>
        <v>0</v>
      </c>
      <c r="AB85" s="412"/>
      <c r="AC85" s="33"/>
      <c r="AD85" s="388"/>
      <c r="AE85" s="388"/>
      <c r="AF85" s="388"/>
    </row>
    <row r="86" spans="1:32" s="426" customFormat="1" ht="30" customHeight="1">
      <c r="A86" s="346">
        <f>A84</f>
        <v>78</v>
      </c>
      <c r="B86" s="346"/>
      <c r="C86" s="33" t="s">
        <v>499</v>
      </c>
      <c r="D86" s="425">
        <f>D85+D83+D42</f>
        <v>600898791</v>
      </c>
      <c r="E86" s="425">
        <f t="shared" ref="E86:AA86" si="6">E85+E83+E42</f>
        <v>548923791</v>
      </c>
      <c r="F86" s="425">
        <f t="shared" si="6"/>
        <v>51975000</v>
      </c>
      <c r="G86" s="425">
        <f t="shared" si="6"/>
        <v>299011552</v>
      </c>
      <c r="H86" s="425">
        <f t="shared" si="6"/>
        <v>243957723</v>
      </c>
      <c r="I86" s="425">
        <f t="shared" si="6"/>
        <v>10062920</v>
      </c>
      <c r="J86" s="425">
        <f t="shared" si="6"/>
        <v>8699859</v>
      </c>
      <c r="K86" s="425">
        <f t="shared" si="6"/>
        <v>18762779</v>
      </c>
      <c r="L86" s="425">
        <f t="shared" si="6"/>
        <v>262720502</v>
      </c>
      <c r="M86" s="425">
        <f t="shared" si="6"/>
        <v>6991050</v>
      </c>
      <c r="N86" s="425">
        <f t="shared" si="6"/>
        <v>48230000</v>
      </c>
      <c r="O86" s="425">
        <f t="shared" si="6"/>
        <v>282957239</v>
      </c>
      <c r="P86" s="425">
        <f t="shared" si="6"/>
        <v>36291050</v>
      </c>
      <c r="Q86" s="425">
        <f t="shared" si="6"/>
        <v>0</v>
      </c>
      <c r="R86" s="425">
        <f t="shared" si="6"/>
        <v>0</v>
      </c>
      <c r="S86" s="425">
        <f t="shared" si="6"/>
        <v>0</v>
      </c>
      <c r="T86" s="425">
        <f t="shared" si="6"/>
        <v>29300000</v>
      </c>
      <c r="U86" s="425">
        <f t="shared" si="6"/>
        <v>18930000</v>
      </c>
      <c r="V86" s="425">
        <f t="shared" si="6"/>
        <v>14768750</v>
      </c>
      <c r="W86" s="425">
        <f t="shared" si="6"/>
        <v>0</v>
      </c>
      <c r="X86" s="425">
        <f t="shared" si="6"/>
        <v>0</v>
      </c>
      <c r="Y86" s="425">
        <f t="shared" si="6"/>
        <v>0</v>
      </c>
      <c r="Z86" s="425">
        <f t="shared" si="6"/>
        <v>0</v>
      </c>
      <c r="AA86" s="425">
        <f t="shared" si="6"/>
        <v>4161250</v>
      </c>
      <c r="AB86" s="425"/>
      <c r="AC86" s="346"/>
      <c r="AD86" s="387"/>
      <c r="AE86" s="387"/>
      <c r="AF86" s="387"/>
    </row>
    <row r="87" spans="1:32" hidden="1">
      <c r="L87" s="14">
        <f>K86+H86</f>
        <v>262720502</v>
      </c>
      <c r="M87" s="14">
        <f>P86+S86-T86</f>
        <v>6991050</v>
      </c>
    </row>
  </sheetData>
  <sortState ref="A5:AF82">
    <sortCondition ref="AC5:AC82"/>
  </sortState>
  <conditionalFormatting sqref="AD4:AE4">
    <cfRule type="cellIs" dxfId="238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showZeros="0" rightToLeft="1" topLeftCell="A10" zoomScaleNormal="100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2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274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1179</v>
      </c>
      <c r="D5" s="232"/>
      <c r="E5" s="232"/>
      <c r="F5" s="236">
        <f>'תקציב החברה לפיתוח 2021 '!U122</f>
        <v>316092039</v>
      </c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313</v>
      </c>
      <c r="D7" s="232"/>
      <c r="F7" s="236">
        <f>'תקציב החברה לפיתוח 2021 '!A122</f>
        <v>112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310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6" thickBot="1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D11" s="245" t="s">
        <v>311</v>
      </c>
      <c r="E11" s="246" t="s">
        <v>312</v>
      </c>
      <c r="F11" s="247" t="s">
        <v>314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235"/>
      <c r="D12" s="239" t="s">
        <v>13</v>
      </c>
      <c r="E12" s="248">
        <f>'תקציב החברה לפיתוח 2021 '!V122</f>
        <v>205348607</v>
      </c>
      <c r="F12" s="256">
        <f>E12/$E$17</f>
        <v>0.6496481456782276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 hidden="1">
      <c r="C13" s="235"/>
      <c r="D13" s="239" t="s">
        <v>14</v>
      </c>
      <c r="E13" s="248"/>
      <c r="F13" s="256">
        <f>E13/$E$17</f>
        <v>0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 hidden="1">
      <c r="C14" s="235"/>
      <c r="D14" s="239" t="s">
        <v>15</v>
      </c>
      <c r="E14" s="248"/>
      <c r="F14" s="256">
        <f>E14/$E$17</f>
        <v>0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319</v>
      </c>
      <c r="E15" s="248">
        <f>'תקציב החברה לפיתוח 2021 '!Y122</f>
        <v>18000000</v>
      </c>
      <c r="F15" s="256">
        <f>E15/$E$17</f>
        <v>5.6945439236449735E-2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C16" s="235"/>
      <c r="D16" s="239" t="s">
        <v>91</v>
      </c>
      <c r="E16" s="248">
        <f>'תקציב החברה לפיתוח 2021 '!AA122</f>
        <v>92743432</v>
      </c>
      <c r="F16" s="256">
        <f>E16/$E$17</f>
        <v>0.29340641508532267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6" thickBot="1">
      <c r="C17" s="235"/>
      <c r="D17" s="242" t="s">
        <v>105</v>
      </c>
      <c r="E17" s="250">
        <f>SUM(E12:E16)</f>
        <v>316092039</v>
      </c>
      <c r="F17" s="348">
        <f>SUM(F12:F16)</f>
        <v>1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5.5">
      <c r="C18" s="235"/>
      <c r="D18" s="238"/>
      <c r="E18" s="259"/>
      <c r="F18" s="42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C19" s="235"/>
      <c r="D19" s="238"/>
      <c r="E19" s="259"/>
      <c r="F19" s="421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s="338" customFormat="1" ht="15.5">
      <c r="C20" s="340" t="s">
        <v>187</v>
      </c>
      <c r="D20" s="337" t="s">
        <v>1466</v>
      </c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</row>
    <row r="21" spans="1:17" s="338" customFormat="1" ht="15.5">
      <c r="C21" s="340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17" s="338" customFormat="1" ht="15.5">
      <c r="A22" s="337"/>
      <c r="B22" s="337"/>
      <c r="C22" s="337"/>
      <c r="D22" s="415" t="s">
        <v>1465</v>
      </c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</row>
    <row r="23" spans="1:17" s="338" customFormat="1" ht="15.5">
      <c r="A23" s="337"/>
      <c r="B23" s="337"/>
      <c r="C23" s="337"/>
      <c r="D23" s="415" t="s">
        <v>1467</v>
      </c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  <row r="24" spans="1:17" s="338" customFormat="1" ht="15.5">
      <c r="A24" s="337"/>
      <c r="B24" s="337"/>
      <c r="C24" s="337"/>
      <c r="D24" s="415" t="s">
        <v>1468</v>
      </c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</row>
    <row r="25" spans="1:17" s="338" customFormat="1" ht="15.5">
      <c r="A25" s="337"/>
      <c r="B25" s="337"/>
      <c r="C25" s="337"/>
      <c r="D25" s="415" t="s">
        <v>1469</v>
      </c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</row>
    <row r="26" spans="1:17" s="338" customFormat="1" ht="15.5">
      <c r="A26" s="337"/>
      <c r="B26" s="337"/>
      <c r="C26" s="337"/>
      <c r="D26" s="415" t="s">
        <v>1695</v>
      </c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</row>
    <row r="27" spans="1:17" s="338" customFormat="1" ht="15.5">
      <c r="A27" s="337"/>
      <c r="B27" s="337"/>
      <c r="C27" s="337"/>
      <c r="D27" s="415" t="s">
        <v>1471</v>
      </c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</row>
    <row r="28" spans="1:17" s="338" customFormat="1" ht="15.5">
      <c r="A28" s="337"/>
      <c r="B28" s="337"/>
      <c r="C28" s="337"/>
      <c r="D28" s="415" t="s">
        <v>1472</v>
      </c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</row>
    <row r="29" spans="1:17" s="338" customFormat="1" ht="15.5">
      <c r="A29" s="337"/>
      <c r="B29" s="337"/>
      <c r="C29" s="337"/>
      <c r="D29" s="415" t="s">
        <v>1473</v>
      </c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</row>
    <row r="30" spans="1:17" ht="15.5">
      <c r="B30" s="235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4" spans="3:17" s="363" customFormat="1" ht="15.5">
      <c r="C34" s="364" t="s">
        <v>187</v>
      </c>
      <c r="D34" s="365" t="s">
        <v>1658</v>
      </c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</row>
    <row r="38" spans="3:17" ht="15.5">
      <c r="D38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Zeros="0" rightToLeft="1" topLeftCell="A19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5.81640625" style="233" customWidth="1"/>
    <col min="5" max="5" width="30.453125" style="233" customWidth="1"/>
    <col min="6" max="6" width="12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2" spans="1:17" ht="20.5">
      <c r="A2" s="232"/>
      <c r="C2" s="234" t="s">
        <v>188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17" ht="20.5">
      <c r="A3" s="232"/>
      <c r="C3" s="234"/>
      <c r="D3" s="232"/>
      <c r="E3" s="232"/>
      <c r="F3" s="232"/>
      <c r="G3" s="232"/>
      <c r="H3" s="232"/>
      <c r="I3" s="232"/>
      <c r="J3" s="232"/>
      <c r="K3" s="232"/>
      <c r="L3" s="232"/>
    </row>
    <row r="4" spans="1:17" ht="15.5">
      <c r="B4" s="235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ht="15.5">
      <c r="B5" s="235" t="s">
        <v>187</v>
      </c>
      <c r="C5" s="232" t="s">
        <v>1178</v>
      </c>
      <c r="D5" s="232"/>
      <c r="E5" s="232"/>
      <c r="F5" s="232"/>
      <c r="H5" s="241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6" thickBot="1">
      <c r="C6" s="232"/>
      <c r="D6" s="232"/>
      <c r="E6" s="232"/>
      <c r="F6" s="232"/>
      <c r="H6" s="232"/>
      <c r="I6" s="232"/>
      <c r="J6" s="232"/>
      <c r="K6" s="232"/>
      <c r="L6" s="232"/>
    </row>
    <row r="7" spans="1:17" ht="15.5">
      <c r="D7" s="245" t="s">
        <v>315</v>
      </c>
      <c r="E7" s="237" t="s">
        <v>312</v>
      </c>
      <c r="F7" s="238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C8" s="235"/>
      <c r="D8" s="239" t="s">
        <v>316</v>
      </c>
      <c r="E8" s="251">
        <f>'תקציב החברה לפיתוח 2021 '!U121</f>
        <v>118820879</v>
      </c>
      <c r="F8" s="241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C9" s="235"/>
      <c r="D9" s="239" t="s">
        <v>317</v>
      </c>
      <c r="E9" s="251">
        <f>'תקציב החברה לפיתוח 2021 '!U104</f>
        <v>197271160</v>
      </c>
      <c r="F9" s="241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C10" s="235"/>
      <c r="D10" s="239" t="s">
        <v>318</v>
      </c>
      <c r="E10" s="251"/>
      <c r="F10" s="24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C11" s="235"/>
      <c r="D11" s="239" t="s">
        <v>124</v>
      </c>
      <c r="E11" s="422">
        <f>'תקציב החברה לפיתוח 2021 '!U31</f>
        <v>25000000</v>
      </c>
      <c r="F11" s="24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235"/>
      <c r="D12" s="239" t="s">
        <v>1475</v>
      </c>
      <c r="E12" s="240">
        <f>'תקציב החברה לפיתוח 2021 '!U49</f>
        <v>20000000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235"/>
      <c r="D13" s="239" t="s">
        <v>1696</v>
      </c>
      <c r="E13" s="240">
        <f>'תקציב החברה לפיתוח 2021 '!U48</f>
        <v>20000000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C14" s="235"/>
      <c r="D14" s="239" t="s">
        <v>946</v>
      </c>
      <c r="E14" s="240">
        <f>'תקציב החברה לפיתוח 2021 '!U90</f>
        <v>15500000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27</v>
      </c>
      <c r="E15" s="240">
        <f>'תקציב החברה לפיתוח 2021 '!U25</f>
        <v>15000000</v>
      </c>
      <c r="F15" s="241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6" customHeight="1">
      <c r="C16" s="235"/>
      <c r="D16" s="239" t="s">
        <v>83</v>
      </c>
      <c r="E16" s="422">
        <f>'תקציב החברה לפיתוח 2021 '!U7</f>
        <v>12000000</v>
      </c>
      <c r="F16" s="241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3:17" ht="15.5">
      <c r="C17" s="235"/>
      <c r="D17" s="239" t="s">
        <v>1474</v>
      </c>
      <c r="E17" s="422">
        <f>'תקציב החברה לפיתוח 2021 '!U5</f>
        <v>11500000</v>
      </c>
      <c r="F17" s="241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3:17" ht="15.5">
      <c r="C18" s="235"/>
      <c r="D18" s="239" t="s">
        <v>877</v>
      </c>
      <c r="E18" s="240">
        <f>'תקציב החברה לפיתוח 2021 '!U30</f>
        <v>10231160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3:17" ht="15.65" customHeight="1">
      <c r="D19" s="239" t="s">
        <v>1525</v>
      </c>
      <c r="E19" s="240">
        <f>'תקציב החברה לפיתוח 2021 '!U85</f>
        <v>10000000</v>
      </c>
      <c r="H19" s="354"/>
    </row>
    <row r="20" spans="3:17" ht="15.5">
      <c r="C20" s="235"/>
      <c r="D20" s="239" t="s">
        <v>945</v>
      </c>
      <c r="E20" s="240">
        <f>'תקציב החברה לפיתוח 2021 '!U89</f>
        <v>8100000</v>
      </c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3:17" ht="15.5">
      <c r="D21" s="239" t="s">
        <v>876</v>
      </c>
      <c r="E21" s="240">
        <f>'תקציב החברה לפיתוח 2021 '!U56</f>
        <v>6260000</v>
      </c>
    </row>
    <row r="22" spans="3:17" ht="15.75" customHeight="1" thickBot="1">
      <c r="C22" s="235"/>
      <c r="D22" s="254" t="s">
        <v>85</v>
      </c>
      <c r="E22" s="680">
        <f>'תקציב החברה לפיתוח 2021 '!U10</f>
        <v>5000000</v>
      </c>
      <c r="F22" s="241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4" spans="3:17" ht="15.5">
      <c r="D24" s="356" t="s">
        <v>1697</v>
      </c>
    </row>
    <row r="35" spans="4:4">
      <c r="D35" s="353"/>
    </row>
  </sheetData>
  <sortState ref="A11:Q22">
    <sortCondition descending="1" ref="E11:E22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9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86" customWidth="1"/>
    <col min="2" max="2" width="4.6328125" style="287" customWidth="1"/>
    <col min="3" max="3" width="19.1796875" style="183" customWidth="1"/>
    <col min="4" max="5" width="11.81640625" style="167" customWidth="1"/>
    <col min="6" max="6" width="10.81640625" style="167" customWidth="1"/>
    <col min="7" max="7" width="11.81640625" style="167" hidden="1" customWidth="1"/>
    <col min="8" max="11" width="10.81640625" style="167" hidden="1" customWidth="1"/>
    <col min="12" max="12" width="11.81640625" style="167" customWidth="1"/>
    <col min="13" max="14" width="10.81640625" style="167" customWidth="1"/>
    <col min="15" max="15" width="11.81640625" style="167" customWidth="1"/>
    <col min="16" max="19" width="10.81640625" style="167" hidden="1" customWidth="1"/>
    <col min="20" max="20" width="10.81640625" style="167" customWidth="1"/>
    <col min="21" max="23" width="10.81640625" style="166" customWidth="1"/>
    <col min="24" max="24" width="10.81640625" style="166" hidden="1" customWidth="1"/>
    <col min="25" max="25" width="10.81640625" style="166" customWidth="1"/>
    <col min="26" max="26" width="10.81640625" style="166" hidden="1" customWidth="1"/>
    <col min="27" max="27" width="10.81640625" style="166" customWidth="1"/>
    <col min="28" max="28" width="23.6328125" style="325" hidden="1" customWidth="1"/>
    <col min="29" max="29" width="10.6328125" style="166" hidden="1" customWidth="1"/>
    <col min="30" max="30" width="11.1796875" style="284" bestFit="1" customWidth="1"/>
    <col min="31" max="31" width="12.36328125" style="284" bestFit="1" customWidth="1"/>
    <col min="32" max="32" width="14.90625" style="166" customWidth="1"/>
    <col min="33" max="33" width="12.54296875" style="166" customWidth="1"/>
    <col min="34" max="34" width="16.453125" style="166" customWidth="1"/>
    <col min="35" max="35" width="23.08984375" style="166" customWidth="1"/>
    <col min="36" max="36" width="26.90625" style="166" customWidth="1"/>
    <col min="37" max="16384" width="9.08984375" style="166"/>
  </cols>
  <sheetData>
    <row r="1" spans="1:36" s="284" customFormat="1">
      <c r="A1" s="282"/>
      <c r="B1" s="282"/>
      <c r="C1" s="328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F1" s="166"/>
      <c r="AG1" s="166"/>
      <c r="AH1" s="166"/>
      <c r="AI1" s="166"/>
      <c r="AJ1" s="166"/>
    </row>
    <row r="2" spans="1:36">
      <c r="A2" s="282" t="s">
        <v>242</v>
      </c>
      <c r="B2" s="282"/>
      <c r="C2" s="328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</row>
    <row r="3" spans="1:36">
      <c r="U3" s="167"/>
    </row>
    <row r="4" spans="1:36" s="288" customFormat="1" ht="70">
      <c r="A4" s="169" t="s">
        <v>0</v>
      </c>
      <c r="B4" s="169" t="s">
        <v>1</v>
      </c>
      <c r="C4" s="169" t="s">
        <v>2</v>
      </c>
      <c r="D4" s="169" t="s">
        <v>3</v>
      </c>
      <c r="E4" s="169" t="s">
        <v>4</v>
      </c>
      <c r="F4" s="169" t="s">
        <v>5</v>
      </c>
      <c r="G4" s="169" t="s">
        <v>6</v>
      </c>
      <c r="H4" s="169" t="s">
        <v>7</v>
      </c>
      <c r="I4" s="169" t="s">
        <v>9</v>
      </c>
      <c r="J4" s="169" t="s">
        <v>178</v>
      </c>
      <c r="K4" s="169" t="s">
        <v>10</v>
      </c>
      <c r="L4" s="622" t="s">
        <v>11</v>
      </c>
      <c r="M4" s="9" t="s">
        <v>936</v>
      </c>
      <c r="N4" s="169" t="s">
        <v>937</v>
      </c>
      <c r="O4" s="169" t="s">
        <v>938</v>
      </c>
      <c r="P4" s="169" t="s">
        <v>12</v>
      </c>
      <c r="Q4" s="169" t="s">
        <v>939</v>
      </c>
      <c r="R4" s="169" t="s">
        <v>940</v>
      </c>
      <c r="S4" s="169" t="s">
        <v>941</v>
      </c>
      <c r="T4" s="169" t="s">
        <v>942</v>
      </c>
      <c r="U4" s="169" t="s">
        <v>943</v>
      </c>
      <c r="V4" s="16" t="s">
        <v>13</v>
      </c>
      <c r="W4" s="16" t="s">
        <v>14</v>
      </c>
      <c r="X4" s="169" t="s">
        <v>15</v>
      </c>
      <c r="Y4" s="169" t="s">
        <v>301</v>
      </c>
      <c r="Z4" s="169" t="s">
        <v>1391</v>
      </c>
      <c r="AA4" s="169" t="s">
        <v>91</v>
      </c>
      <c r="AB4" s="609" t="s">
        <v>344</v>
      </c>
      <c r="AC4" s="532" t="s">
        <v>16</v>
      </c>
      <c r="AD4" s="284"/>
      <c r="AE4" s="284"/>
      <c r="AF4" s="166"/>
      <c r="AG4" s="166"/>
      <c r="AH4" s="166"/>
      <c r="AI4" s="166"/>
      <c r="AJ4" s="166"/>
    </row>
    <row r="5" spans="1:36" s="176" customFormat="1" ht="30" customHeight="1">
      <c r="A5" s="172">
        <v>1</v>
      </c>
      <c r="B5" s="172">
        <v>382</v>
      </c>
      <c r="C5" s="172" t="s">
        <v>615</v>
      </c>
      <c r="D5" s="173">
        <v>72881330</v>
      </c>
      <c r="E5" s="173">
        <v>72881330</v>
      </c>
      <c r="F5" s="173">
        <f t="shared" ref="F5:F68" si="0">D5-E5</f>
        <v>0</v>
      </c>
      <c r="G5" s="173">
        <v>61381330</v>
      </c>
      <c r="H5" s="173">
        <v>49864430</v>
      </c>
      <c r="I5" s="173">
        <v>0</v>
      </c>
      <c r="J5" s="173">
        <v>1365202</v>
      </c>
      <c r="K5" s="173">
        <f>SUM(I5:J5)</f>
        <v>1365202</v>
      </c>
      <c r="L5" s="173">
        <f t="shared" ref="L5:L68" si="1">K5+H5</f>
        <v>51229632</v>
      </c>
      <c r="M5" s="173">
        <f>P5+S5</f>
        <v>10151698</v>
      </c>
      <c r="N5" s="173">
        <v>11500000</v>
      </c>
      <c r="O5" s="173">
        <f>D5-L5-M5-N5</f>
        <v>0</v>
      </c>
      <c r="P5" s="173">
        <f>G5-L5</f>
        <v>10151698</v>
      </c>
      <c r="Q5" s="173"/>
      <c r="R5" s="173"/>
      <c r="S5" s="173">
        <f>SUM(Q5:R5)</f>
        <v>0</v>
      </c>
      <c r="T5" s="173">
        <f>P5-M5+S5</f>
        <v>0</v>
      </c>
      <c r="U5" s="173">
        <f>N5-T5</f>
        <v>11500000</v>
      </c>
      <c r="V5" s="173">
        <f>U5-Z5-X5-AA5-W5</f>
        <v>11500000</v>
      </c>
      <c r="W5" s="173"/>
      <c r="X5" s="173"/>
      <c r="Y5" s="173"/>
      <c r="Z5" s="173"/>
      <c r="AA5" s="172"/>
      <c r="AB5" s="290" t="s">
        <v>1310</v>
      </c>
      <c r="AC5" s="611">
        <v>742000</v>
      </c>
      <c r="AD5" s="284"/>
      <c r="AE5" s="284"/>
      <c r="AF5" s="166"/>
      <c r="AG5" s="166"/>
      <c r="AH5" s="166"/>
      <c r="AI5" s="166"/>
      <c r="AJ5" s="166"/>
    </row>
    <row r="6" spans="1:36" s="177" customFormat="1" ht="30" customHeight="1">
      <c r="A6" s="172">
        <f>A5+1</f>
        <v>2</v>
      </c>
      <c r="B6" s="172">
        <v>532</v>
      </c>
      <c r="C6" s="172" t="s">
        <v>82</v>
      </c>
      <c r="D6" s="173">
        <v>80090000</v>
      </c>
      <c r="E6" s="173">
        <v>80090000</v>
      </c>
      <c r="F6" s="173">
        <f t="shared" si="0"/>
        <v>0</v>
      </c>
      <c r="G6" s="173">
        <v>76140000</v>
      </c>
      <c r="H6" s="173">
        <v>74931076</v>
      </c>
      <c r="I6" s="173">
        <v>0</v>
      </c>
      <c r="J6" s="173">
        <v>692303</v>
      </c>
      <c r="K6" s="173">
        <f t="shared" ref="K6:K69" si="2">SUM(I6:J6)</f>
        <v>692303</v>
      </c>
      <c r="L6" s="173">
        <f t="shared" si="1"/>
        <v>75623379</v>
      </c>
      <c r="M6" s="173">
        <f>P6+S6</f>
        <v>516621</v>
      </c>
      <c r="N6" s="173">
        <v>3950000</v>
      </c>
      <c r="O6" s="173">
        <f t="shared" ref="O6:O69" si="3">D6-L6-M6-N6</f>
        <v>0</v>
      </c>
      <c r="P6" s="173">
        <f t="shared" ref="P6:P69" si="4">G6-L6</f>
        <v>516621</v>
      </c>
      <c r="Q6" s="173"/>
      <c r="R6" s="173"/>
      <c r="S6" s="173">
        <f t="shared" ref="S6:S11" si="5">SUM(Q6:R6)</f>
        <v>0</v>
      </c>
      <c r="T6" s="173">
        <f t="shared" ref="T6:T11" si="6">P6-M6+S6</f>
        <v>0</v>
      </c>
      <c r="U6" s="173">
        <f t="shared" ref="U6:U69" si="7">N6-T6</f>
        <v>3950000</v>
      </c>
      <c r="V6" s="173">
        <f t="shared" ref="V6:V69" si="8">U6-Z6-X6-AA6-W6</f>
        <v>3950000</v>
      </c>
      <c r="W6" s="173"/>
      <c r="X6" s="173"/>
      <c r="Y6" s="173"/>
      <c r="Z6" s="173"/>
      <c r="AA6" s="172"/>
      <c r="AB6" s="293" t="s">
        <v>1311</v>
      </c>
      <c r="AC6" s="611">
        <v>742000</v>
      </c>
      <c r="AD6" s="284"/>
      <c r="AE6" s="284"/>
      <c r="AF6" s="166"/>
      <c r="AG6" s="166"/>
      <c r="AH6" s="166"/>
      <c r="AI6" s="166"/>
      <c r="AJ6" s="166"/>
    </row>
    <row r="7" spans="1:36" s="177" customFormat="1" ht="30" customHeight="1">
      <c r="A7" s="172">
        <f t="shared" ref="A7:A69" si="9">A6+1</f>
        <v>3</v>
      </c>
      <c r="B7" s="172">
        <v>576</v>
      </c>
      <c r="C7" s="172" t="s">
        <v>83</v>
      </c>
      <c r="D7" s="173">
        <f>58113000+18800000</f>
        <v>76913000</v>
      </c>
      <c r="E7" s="173">
        <v>58113000</v>
      </c>
      <c r="F7" s="173">
        <f t="shared" si="0"/>
        <v>18800000</v>
      </c>
      <c r="G7" s="173">
        <v>58113000</v>
      </c>
      <c r="H7" s="173">
        <v>53684633</v>
      </c>
      <c r="I7" s="173">
        <v>0</v>
      </c>
      <c r="J7" s="173">
        <v>645799</v>
      </c>
      <c r="K7" s="173">
        <f t="shared" si="2"/>
        <v>645799</v>
      </c>
      <c r="L7" s="173">
        <f t="shared" si="1"/>
        <v>54330432</v>
      </c>
      <c r="M7" s="173">
        <f>P7+S7</f>
        <v>3782568</v>
      </c>
      <c r="N7" s="173">
        <v>12000000</v>
      </c>
      <c r="O7" s="173">
        <f t="shared" si="3"/>
        <v>6800000</v>
      </c>
      <c r="P7" s="173">
        <f t="shared" si="4"/>
        <v>3782568</v>
      </c>
      <c r="Q7" s="173"/>
      <c r="R7" s="173"/>
      <c r="S7" s="173">
        <f t="shared" si="5"/>
        <v>0</v>
      </c>
      <c r="T7" s="173">
        <f t="shared" si="6"/>
        <v>0</v>
      </c>
      <c r="U7" s="173">
        <f t="shared" si="7"/>
        <v>12000000</v>
      </c>
      <c r="V7" s="173">
        <f t="shared" si="8"/>
        <v>0</v>
      </c>
      <c r="W7" s="173"/>
      <c r="X7" s="173"/>
      <c r="Y7" s="173"/>
      <c r="Z7" s="173"/>
      <c r="AA7" s="173">
        <v>12000000</v>
      </c>
      <c r="AB7" s="172" t="s">
        <v>1446</v>
      </c>
      <c r="AC7" s="611">
        <v>760000</v>
      </c>
      <c r="AD7" s="284"/>
      <c r="AE7" s="284"/>
      <c r="AF7" s="166"/>
      <c r="AG7" s="166"/>
      <c r="AH7" s="166"/>
      <c r="AI7" s="166"/>
      <c r="AJ7" s="166"/>
    </row>
    <row r="8" spans="1:36" s="177" customFormat="1" ht="30" customHeight="1">
      <c r="A8" s="172">
        <f t="shared" si="9"/>
        <v>4</v>
      </c>
      <c r="B8" s="172">
        <v>634</v>
      </c>
      <c r="C8" s="172" t="s">
        <v>539</v>
      </c>
      <c r="D8" s="173">
        <v>56350000</v>
      </c>
      <c r="E8" s="173">
        <v>56350000</v>
      </c>
      <c r="F8" s="173">
        <f t="shared" si="0"/>
        <v>0</v>
      </c>
      <c r="G8" s="173">
        <v>56350000</v>
      </c>
      <c r="H8" s="173">
        <v>55506718</v>
      </c>
      <c r="I8" s="173">
        <v>0</v>
      </c>
      <c r="J8" s="173">
        <v>95241</v>
      </c>
      <c r="K8" s="173">
        <f t="shared" si="2"/>
        <v>95241</v>
      </c>
      <c r="L8" s="173">
        <f t="shared" si="1"/>
        <v>55601959</v>
      </c>
      <c r="M8" s="173">
        <f>P8+S8-400000</f>
        <v>348041</v>
      </c>
      <c r="N8" s="173"/>
      <c r="O8" s="173">
        <f t="shared" si="3"/>
        <v>400000</v>
      </c>
      <c r="P8" s="173">
        <f t="shared" si="4"/>
        <v>748041</v>
      </c>
      <c r="Q8" s="173"/>
      <c r="R8" s="173"/>
      <c r="S8" s="173">
        <f t="shared" si="5"/>
        <v>0</v>
      </c>
      <c r="T8" s="173">
        <f t="shared" si="6"/>
        <v>400000</v>
      </c>
      <c r="U8" s="173">
        <f t="shared" si="7"/>
        <v>-400000</v>
      </c>
      <c r="V8" s="173">
        <f t="shared" si="8"/>
        <v>-400000</v>
      </c>
      <c r="W8" s="173"/>
      <c r="X8" s="173"/>
      <c r="Y8" s="173"/>
      <c r="Z8" s="173"/>
      <c r="AA8" s="172"/>
      <c r="AB8" s="172" t="s">
        <v>681</v>
      </c>
      <c r="AC8" s="611">
        <v>732000</v>
      </c>
      <c r="AD8" s="284"/>
      <c r="AE8" s="284"/>
      <c r="AF8" s="166"/>
      <c r="AG8" s="166"/>
      <c r="AH8" s="166"/>
      <c r="AI8" s="166"/>
      <c r="AJ8" s="166"/>
    </row>
    <row r="9" spans="1:36" s="176" customFormat="1" ht="30" customHeight="1">
      <c r="A9" s="172">
        <f t="shared" si="9"/>
        <v>5</v>
      </c>
      <c r="B9" s="172">
        <v>1067</v>
      </c>
      <c r="C9" s="172" t="s">
        <v>84</v>
      </c>
      <c r="D9" s="173">
        <f>3975000+500000</f>
        <v>4475000</v>
      </c>
      <c r="E9" s="173">
        <v>3975000</v>
      </c>
      <c r="F9" s="173">
        <f t="shared" si="0"/>
        <v>500000</v>
      </c>
      <c r="G9" s="173">
        <v>3975000</v>
      </c>
      <c r="H9" s="173">
        <v>3321663</v>
      </c>
      <c r="I9" s="173">
        <v>0</v>
      </c>
      <c r="J9" s="173">
        <v>395696</v>
      </c>
      <c r="K9" s="173">
        <f t="shared" si="2"/>
        <v>395696</v>
      </c>
      <c r="L9" s="173">
        <f t="shared" si="1"/>
        <v>3717359</v>
      </c>
      <c r="M9" s="173">
        <f>P9+S9</f>
        <v>257641</v>
      </c>
      <c r="N9" s="173">
        <v>500000</v>
      </c>
      <c r="O9" s="173">
        <f t="shared" si="3"/>
        <v>0</v>
      </c>
      <c r="P9" s="173">
        <f t="shared" si="4"/>
        <v>257641</v>
      </c>
      <c r="Q9" s="173"/>
      <c r="R9" s="173"/>
      <c r="S9" s="173">
        <f t="shared" si="5"/>
        <v>0</v>
      </c>
      <c r="T9" s="173">
        <f t="shared" si="6"/>
        <v>0</v>
      </c>
      <c r="U9" s="173">
        <f t="shared" si="7"/>
        <v>500000</v>
      </c>
      <c r="V9" s="173">
        <f t="shared" si="8"/>
        <v>500000</v>
      </c>
      <c r="W9" s="173"/>
      <c r="X9" s="173"/>
      <c r="Y9" s="173"/>
      <c r="Z9" s="173"/>
      <c r="AA9" s="172"/>
      <c r="AB9" s="293" t="s">
        <v>374</v>
      </c>
      <c r="AC9" s="611">
        <v>742000</v>
      </c>
      <c r="AD9" s="284"/>
      <c r="AE9" s="284"/>
      <c r="AF9" s="166"/>
      <c r="AG9" s="166"/>
      <c r="AH9" s="166"/>
      <c r="AI9" s="166"/>
      <c r="AJ9" s="166"/>
    </row>
    <row r="10" spans="1:36" s="177" customFormat="1" ht="30" customHeight="1">
      <c r="A10" s="172">
        <f t="shared" si="9"/>
        <v>6</v>
      </c>
      <c r="B10" s="172">
        <v>1207</v>
      </c>
      <c r="C10" s="172" t="s">
        <v>85</v>
      </c>
      <c r="D10" s="173">
        <v>50650000</v>
      </c>
      <c r="E10" s="173">
        <v>50650000</v>
      </c>
      <c r="F10" s="173">
        <f t="shared" si="0"/>
        <v>0</v>
      </c>
      <c r="G10" s="173">
        <v>45650000</v>
      </c>
      <c r="H10" s="173">
        <v>29952314</v>
      </c>
      <c r="I10" s="173">
        <v>0</v>
      </c>
      <c r="J10" s="173">
        <v>215819</v>
      </c>
      <c r="K10" s="173">
        <f t="shared" si="2"/>
        <v>215819</v>
      </c>
      <c r="L10" s="173">
        <f t="shared" si="1"/>
        <v>30168133</v>
      </c>
      <c r="M10" s="173">
        <f>P10+S10</f>
        <v>15481867</v>
      </c>
      <c r="N10" s="173">
        <v>5000000</v>
      </c>
      <c r="O10" s="173">
        <f t="shared" si="3"/>
        <v>0</v>
      </c>
      <c r="P10" s="173">
        <f t="shared" si="4"/>
        <v>15481867</v>
      </c>
      <c r="Q10" s="173"/>
      <c r="R10" s="173"/>
      <c r="S10" s="173">
        <f t="shared" si="5"/>
        <v>0</v>
      </c>
      <c r="T10" s="173">
        <f t="shared" si="6"/>
        <v>0</v>
      </c>
      <c r="U10" s="173">
        <f t="shared" si="7"/>
        <v>5000000</v>
      </c>
      <c r="V10" s="173">
        <f t="shared" si="8"/>
        <v>5000000</v>
      </c>
      <c r="W10" s="173"/>
      <c r="X10" s="173"/>
      <c r="Y10" s="173"/>
      <c r="Z10" s="173"/>
      <c r="AA10" s="172"/>
      <c r="AB10" s="293" t="s">
        <v>795</v>
      </c>
      <c r="AC10" s="611">
        <v>742000</v>
      </c>
      <c r="AD10" s="284"/>
      <c r="AE10" s="284"/>
      <c r="AF10" s="166"/>
      <c r="AG10" s="166"/>
      <c r="AH10" s="166"/>
      <c r="AI10" s="166"/>
      <c r="AJ10" s="166"/>
    </row>
    <row r="11" spans="1:36" s="177" customFormat="1" ht="30" customHeight="1">
      <c r="A11" s="172">
        <f t="shared" si="9"/>
        <v>7</v>
      </c>
      <c r="B11" s="172">
        <v>1238</v>
      </c>
      <c r="C11" s="172" t="s">
        <v>86</v>
      </c>
      <c r="D11" s="173">
        <v>32940000</v>
      </c>
      <c r="E11" s="173">
        <v>32940000</v>
      </c>
      <c r="F11" s="173">
        <f t="shared" si="0"/>
        <v>0</v>
      </c>
      <c r="G11" s="173">
        <v>25500000</v>
      </c>
      <c r="H11" s="173">
        <v>25492352</v>
      </c>
      <c r="I11" s="173">
        <v>0</v>
      </c>
      <c r="J11" s="173">
        <v>0</v>
      </c>
      <c r="K11" s="173">
        <f t="shared" si="2"/>
        <v>0</v>
      </c>
      <c r="L11" s="173">
        <f t="shared" si="1"/>
        <v>25492352</v>
      </c>
      <c r="M11" s="173">
        <f>P11+S11</f>
        <v>7648</v>
      </c>
      <c r="N11" s="173">
        <f>7440000-7440000</f>
        <v>0</v>
      </c>
      <c r="O11" s="173">
        <f t="shared" si="3"/>
        <v>7440000</v>
      </c>
      <c r="P11" s="173">
        <f t="shared" si="4"/>
        <v>7648</v>
      </c>
      <c r="Q11" s="173"/>
      <c r="R11" s="173"/>
      <c r="S11" s="173">
        <f t="shared" si="5"/>
        <v>0</v>
      </c>
      <c r="T11" s="173">
        <f t="shared" si="6"/>
        <v>0</v>
      </c>
      <c r="U11" s="173">
        <f t="shared" si="7"/>
        <v>0</v>
      </c>
      <c r="V11" s="173">
        <f t="shared" si="8"/>
        <v>0</v>
      </c>
      <c r="W11" s="173"/>
      <c r="X11" s="173"/>
      <c r="Y11" s="173"/>
      <c r="Z11" s="173"/>
      <c r="AA11" s="172"/>
      <c r="AB11" s="367" t="s">
        <v>1312</v>
      </c>
      <c r="AC11" s="611">
        <v>742000</v>
      </c>
      <c r="AD11" s="284"/>
      <c r="AE11" s="284"/>
      <c r="AF11" s="166"/>
      <c r="AG11" s="166"/>
      <c r="AH11" s="166"/>
      <c r="AI11" s="166"/>
      <c r="AJ11" s="166"/>
    </row>
    <row r="12" spans="1:36" s="177" customFormat="1" ht="30" customHeight="1">
      <c r="A12" s="172">
        <f t="shared" si="9"/>
        <v>8</v>
      </c>
      <c r="B12" s="172">
        <v>1298</v>
      </c>
      <c r="C12" s="172" t="s">
        <v>33</v>
      </c>
      <c r="D12" s="173">
        <f>4600000+500000</f>
        <v>5100000</v>
      </c>
      <c r="E12" s="173">
        <v>4600000</v>
      </c>
      <c r="F12" s="173">
        <f t="shared" si="0"/>
        <v>500000</v>
      </c>
      <c r="G12" s="173">
        <v>4600000</v>
      </c>
      <c r="H12" s="173">
        <v>4357584</v>
      </c>
      <c r="I12" s="173">
        <v>0</v>
      </c>
      <c r="J12" s="173">
        <v>241538</v>
      </c>
      <c r="K12" s="173">
        <f t="shared" si="2"/>
        <v>241538</v>
      </c>
      <c r="L12" s="173">
        <f t="shared" si="1"/>
        <v>4599122</v>
      </c>
      <c r="M12" s="173">
        <f>P12+S12</f>
        <v>878</v>
      </c>
      <c r="N12" s="173">
        <v>500000</v>
      </c>
      <c r="O12" s="173">
        <f t="shared" si="3"/>
        <v>0</v>
      </c>
      <c r="P12" s="173">
        <f t="shared" si="4"/>
        <v>878</v>
      </c>
      <c r="Q12" s="173"/>
      <c r="R12" s="173"/>
      <c r="S12" s="173">
        <f>SUM(Q12:R12)</f>
        <v>0</v>
      </c>
      <c r="T12" s="173">
        <f>P12-M12+S12</f>
        <v>0</v>
      </c>
      <c r="U12" s="173">
        <f t="shared" si="7"/>
        <v>500000</v>
      </c>
      <c r="V12" s="173">
        <f t="shared" si="8"/>
        <v>500000</v>
      </c>
      <c r="W12" s="173"/>
      <c r="X12" s="173"/>
      <c r="Y12" s="173"/>
      <c r="Z12" s="173"/>
      <c r="AA12" s="172"/>
      <c r="AB12" s="293" t="s">
        <v>375</v>
      </c>
      <c r="AC12" s="611">
        <v>742000</v>
      </c>
      <c r="AD12" s="284"/>
      <c r="AE12" s="284"/>
      <c r="AF12" s="166"/>
      <c r="AG12" s="166"/>
      <c r="AH12" s="166"/>
      <c r="AI12" s="166"/>
      <c r="AJ12" s="166"/>
    </row>
    <row r="13" spans="1:36" s="176" customFormat="1" ht="30" customHeight="1">
      <c r="A13" s="172">
        <f t="shared" si="9"/>
        <v>9</v>
      </c>
      <c r="B13" s="172">
        <v>1312</v>
      </c>
      <c r="C13" s="172" t="s">
        <v>34</v>
      </c>
      <c r="D13" s="173">
        <f>109500000-2720000-2549000+3000000</f>
        <v>107231000</v>
      </c>
      <c r="E13" s="173">
        <v>109500000</v>
      </c>
      <c r="F13" s="173">
        <f t="shared" si="0"/>
        <v>-2269000</v>
      </c>
      <c r="G13" s="173">
        <v>107980000</v>
      </c>
      <c r="H13" s="173">
        <v>104133024</v>
      </c>
      <c r="I13" s="173">
        <v>0</v>
      </c>
      <c r="J13" s="173">
        <v>97843</v>
      </c>
      <c r="K13" s="173">
        <f t="shared" si="2"/>
        <v>97843</v>
      </c>
      <c r="L13" s="173">
        <f t="shared" si="1"/>
        <v>104230867</v>
      </c>
      <c r="M13" s="173">
        <f>P13+S13-3749000</f>
        <v>133</v>
      </c>
      <c r="N13" s="173">
        <v>3000000</v>
      </c>
      <c r="O13" s="173">
        <f t="shared" si="3"/>
        <v>0</v>
      </c>
      <c r="P13" s="173">
        <f t="shared" si="4"/>
        <v>3749133</v>
      </c>
      <c r="Q13" s="173"/>
      <c r="R13" s="173"/>
      <c r="S13" s="173">
        <f t="shared" ref="S13:S24" si="10">SUM(Q13:R13)</f>
        <v>0</v>
      </c>
      <c r="T13" s="173">
        <f t="shared" ref="T13:T24" si="11">P13-M13+S13</f>
        <v>3749000</v>
      </c>
      <c r="U13" s="173">
        <f t="shared" si="7"/>
        <v>-749000</v>
      </c>
      <c r="V13" s="173">
        <f t="shared" si="8"/>
        <v>-749000</v>
      </c>
      <c r="W13" s="173"/>
      <c r="X13" s="173"/>
      <c r="Y13" s="173"/>
      <c r="Z13" s="173"/>
      <c r="AA13" s="172"/>
      <c r="AB13" s="172" t="s">
        <v>1526</v>
      </c>
      <c r="AC13" s="611">
        <v>930000</v>
      </c>
      <c r="AD13" s="284"/>
      <c r="AE13" s="284"/>
      <c r="AF13" s="166"/>
      <c r="AG13" s="166"/>
      <c r="AH13" s="166"/>
      <c r="AI13" s="166"/>
      <c r="AJ13" s="166"/>
    </row>
    <row r="14" spans="1:36" s="5" customFormat="1" ht="30" customHeight="1">
      <c r="A14" s="172">
        <f t="shared" si="9"/>
        <v>10</v>
      </c>
      <c r="B14" s="3">
        <v>1314</v>
      </c>
      <c r="C14" s="3" t="s">
        <v>45</v>
      </c>
      <c r="D14" s="4">
        <v>3200000</v>
      </c>
      <c r="E14" s="4">
        <v>3200000</v>
      </c>
      <c r="F14" s="173">
        <f t="shared" si="0"/>
        <v>0</v>
      </c>
      <c r="G14" s="4">
        <v>660000</v>
      </c>
      <c r="H14" s="4">
        <v>400766</v>
      </c>
      <c r="I14" s="4">
        <v>0</v>
      </c>
      <c r="J14" s="4"/>
      <c r="K14" s="173">
        <f t="shared" si="2"/>
        <v>0</v>
      </c>
      <c r="L14" s="173">
        <f t="shared" si="1"/>
        <v>400766</v>
      </c>
      <c r="M14" s="173">
        <f t="shared" ref="M14:M74" si="12">P14+S14</f>
        <v>259234</v>
      </c>
      <c r="N14" s="173">
        <f>2540000-2540000</f>
        <v>0</v>
      </c>
      <c r="O14" s="173">
        <f t="shared" si="3"/>
        <v>2540000</v>
      </c>
      <c r="P14" s="173">
        <f t="shared" si="4"/>
        <v>259234</v>
      </c>
      <c r="Q14" s="173"/>
      <c r="R14" s="173"/>
      <c r="S14" s="173">
        <f t="shared" si="10"/>
        <v>0</v>
      </c>
      <c r="T14" s="173">
        <f t="shared" si="11"/>
        <v>0</v>
      </c>
      <c r="U14" s="173">
        <f t="shared" si="7"/>
        <v>0</v>
      </c>
      <c r="V14" s="173">
        <f t="shared" si="8"/>
        <v>0</v>
      </c>
      <c r="W14" s="173"/>
      <c r="X14" s="173"/>
      <c r="Y14" s="173"/>
      <c r="Z14" s="173"/>
      <c r="AA14" s="172"/>
      <c r="AB14" s="3" t="s">
        <v>809</v>
      </c>
      <c r="AC14" s="566">
        <v>742000</v>
      </c>
      <c r="AD14" s="284"/>
      <c r="AE14" s="284"/>
      <c r="AF14" s="166"/>
      <c r="AG14" s="166"/>
      <c r="AH14" s="166"/>
      <c r="AI14" s="166"/>
      <c r="AJ14" s="166"/>
    </row>
    <row r="15" spans="1:36" s="5" customFormat="1" ht="30" customHeight="1">
      <c r="A15" s="172">
        <f t="shared" si="9"/>
        <v>11</v>
      </c>
      <c r="B15" s="3">
        <v>1322</v>
      </c>
      <c r="C15" s="3" t="s">
        <v>35</v>
      </c>
      <c r="D15" s="4">
        <v>18500000</v>
      </c>
      <c r="E15" s="4">
        <v>18500000</v>
      </c>
      <c r="F15" s="173">
        <f t="shared" si="0"/>
        <v>0</v>
      </c>
      <c r="G15" s="4">
        <v>10850000</v>
      </c>
      <c r="H15" s="4">
        <v>9625169</v>
      </c>
      <c r="I15" s="4">
        <v>82865</v>
      </c>
      <c r="J15" s="4">
        <v>0</v>
      </c>
      <c r="K15" s="173">
        <f t="shared" si="2"/>
        <v>82865</v>
      </c>
      <c r="L15" s="173">
        <f t="shared" si="1"/>
        <v>9708034</v>
      </c>
      <c r="M15" s="173">
        <f t="shared" si="12"/>
        <v>1141966</v>
      </c>
      <c r="N15" s="173">
        <f>2000000-2000000</f>
        <v>0</v>
      </c>
      <c r="O15" s="173">
        <f t="shared" si="3"/>
        <v>7650000</v>
      </c>
      <c r="P15" s="173">
        <f t="shared" si="4"/>
        <v>1141966</v>
      </c>
      <c r="Q15" s="173"/>
      <c r="R15" s="173"/>
      <c r="S15" s="173">
        <f t="shared" si="10"/>
        <v>0</v>
      </c>
      <c r="T15" s="173">
        <f t="shared" si="11"/>
        <v>0</v>
      </c>
      <c r="U15" s="173">
        <f t="shared" si="7"/>
        <v>0</v>
      </c>
      <c r="V15" s="173">
        <f t="shared" si="8"/>
        <v>0</v>
      </c>
      <c r="W15" s="173"/>
      <c r="X15" s="173"/>
      <c r="Y15" s="173"/>
      <c r="Z15" s="173"/>
      <c r="AA15" s="172"/>
      <c r="AB15" s="3" t="s">
        <v>1414</v>
      </c>
      <c r="AC15" s="566">
        <v>742000</v>
      </c>
      <c r="AD15" s="284"/>
      <c r="AE15" s="284"/>
      <c r="AF15" s="166"/>
      <c r="AG15" s="166"/>
      <c r="AH15" s="166"/>
      <c r="AI15" s="166"/>
      <c r="AJ15" s="166"/>
    </row>
    <row r="16" spans="1:36" s="5" customFormat="1" ht="30" customHeight="1">
      <c r="A16" s="172">
        <f t="shared" si="9"/>
        <v>12</v>
      </c>
      <c r="B16" s="3">
        <v>1357</v>
      </c>
      <c r="C16" s="3" t="s">
        <v>47</v>
      </c>
      <c r="D16" s="4">
        <v>25000000</v>
      </c>
      <c r="E16" s="4">
        <v>25000000</v>
      </c>
      <c r="F16" s="173">
        <f t="shared" si="0"/>
        <v>0</v>
      </c>
      <c r="G16" s="4">
        <f>12612000+2000000</f>
        <v>14612000</v>
      </c>
      <c r="H16" s="4">
        <v>12621360</v>
      </c>
      <c r="I16" s="4">
        <v>0</v>
      </c>
      <c r="J16" s="4">
        <v>190113</v>
      </c>
      <c r="K16" s="173">
        <f t="shared" si="2"/>
        <v>190113</v>
      </c>
      <c r="L16" s="173">
        <f t="shared" si="1"/>
        <v>12811473</v>
      </c>
      <c r="M16" s="173">
        <f t="shared" si="12"/>
        <v>1800527</v>
      </c>
      <c r="N16" s="173">
        <v>3500000</v>
      </c>
      <c r="O16" s="173">
        <f t="shared" si="3"/>
        <v>6888000</v>
      </c>
      <c r="P16" s="173">
        <f t="shared" si="4"/>
        <v>1800527</v>
      </c>
      <c r="Q16" s="173"/>
      <c r="R16" s="173"/>
      <c r="S16" s="173">
        <f t="shared" si="10"/>
        <v>0</v>
      </c>
      <c r="T16" s="173">
        <f t="shared" si="11"/>
        <v>0</v>
      </c>
      <c r="U16" s="173">
        <f t="shared" si="7"/>
        <v>3500000</v>
      </c>
      <c r="V16" s="173">
        <f t="shared" si="8"/>
        <v>3500000</v>
      </c>
      <c r="W16" s="173"/>
      <c r="X16" s="173"/>
      <c r="Y16" s="173"/>
      <c r="Z16" s="173"/>
      <c r="AA16" s="172"/>
      <c r="AB16" s="3" t="s">
        <v>856</v>
      </c>
      <c r="AC16" s="566">
        <v>829000</v>
      </c>
      <c r="AD16" s="284"/>
      <c r="AE16" s="284"/>
      <c r="AF16" s="166"/>
      <c r="AG16" s="166"/>
      <c r="AH16" s="166"/>
      <c r="AI16" s="166"/>
      <c r="AJ16" s="166"/>
    </row>
    <row r="17" spans="1:36" s="176" customFormat="1" ht="30" customHeight="1">
      <c r="A17" s="172">
        <f t="shared" si="9"/>
        <v>13</v>
      </c>
      <c r="B17" s="172">
        <v>1375</v>
      </c>
      <c r="C17" s="172" t="s">
        <v>540</v>
      </c>
      <c r="D17" s="173">
        <v>40150000</v>
      </c>
      <c r="E17" s="173">
        <v>40150000</v>
      </c>
      <c r="F17" s="173">
        <f t="shared" si="0"/>
        <v>0</v>
      </c>
      <c r="G17" s="173">
        <v>30150000</v>
      </c>
      <c r="H17" s="173">
        <v>29163485</v>
      </c>
      <c r="I17" s="173">
        <v>0</v>
      </c>
      <c r="J17" s="173">
        <v>735246</v>
      </c>
      <c r="K17" s="173">
        <f t="shared" si="2"/>
        <v>735246</v>
      </c>
      <c r="L17" s="173">
        <f t="shared" si="1"/>
        <v>29898731</v>
      </c>
      <c r="M17" s="173">
        <f t="shared" si="12"/>
        <v>251269</v>
      </c>
      <c r="N17" s="173">
        <f>10000000-10000000</f>
        <v>0</v>
      </c>
      <c r="O17" s="173">
        <f t="shared" si="3"/>
        <v>10000000</v>
      </c>
      <c r="P17" s="173">
        <f t="shared" si="4"/>
        <v>251269</v>
      </c>
      <c r="Q17" s="173"/>
      <c r="R17" s="173"/>
      <c r="S17" s="173">
        <f t="shared" si="10"/>
        <v>0</v>
      </c>
      <c r="T17" s="173">
        <f t="shared" si="11"/>
        <v>0</v>
      </c>
      <c r="U17" s="173">
        <f t="shared" si="7"/>
        <v>0</v>
      </c>
      <c r="V17" s="173">
        <f t="shared" si="8"/>
        <v>0</v>
      </c>
      <c r="W17" s="173"/>
      <c r="X17" s="173"/>
      <c r="Y17" s="173"/>
      <c r="Z17" s="173"/>
      <c r="AA17" s="172"/>
      <c r="AB17" s="172" t="s">
        <v>1313</v>
      </c>
      <c r="AC17" s="611">
        <v>747000</v>
      </c>
      <c r="AD17" s="284"/>
      <c r="AE17" s="284"/>
      <c r="AF17" s="166"/>
      <c r="AG17" s="166"/>
      <c r="AH17" s="166"/>
      <c r="AI17" s="166"/>
      <c r="AJ17" s="166"/>
    </row>
    <row r="18" spans="1:36" s="176" customFormat="1" ht="30" customHeight="1">
      <c r="A18" s="172">
        <f t="shared" si="9"/>
        <v>14</v>
      </c>
      <c r="B18" s="172">
        <v>1403</v>
      </c>
      <c r="C18" s="172" t="s">
        <v>376</v>
      </c>
      <c r="D18" s="173">
        <v>37550000</v>
      </c>
      <c r="E18" s="173">
        <v>37550000</v>
      </c>
      <c r="F18" s="173">
        <f t="shared" si="0"/>
        <v>0</v>
      </c>
      <c r="G18" s="173">
        <v>37513260</v>
      </c>
      <c r="H18" s="173">
        <v>37268741</v>
      </c>
      <c r="I18" s="173">
        <v>0</v>
      </c>
      <c r="J18" s="173">
        <v>21167</v>
      </c>
      <c r="K18" s="173">
        <f t="shared" si="2"/>
        <v>21167</v>
      </c>
      <c r="L18" s="173">
        <f t="shared" si="1"/>
        <v>37289908</v>
      </c>
      <c r="M18" s="173">
        <f t="shared" si="12"/>
        <v>223352</v>
      </c>
      <c r="N18" s="173"/>
      <c r="O18" s="173">
        <f t="shared" si="3"/>
        <v>36740</v>
      </c>
      <c r="P18" s="173">
        <f t="shared" si="4"/>
        <v>223352</v>
      </c>
      <c r="Q18" s="173"/>
      <c r="R18" s="173"/>
      <c r="S18" s="173">
        <f t="shared" si="10"/>
        <v>0</v>
      </c>
      <c r="T18" s="173">
        <f t="shared" si="11"/>
        <v>0</v>
      </c>
      <c r="U18" s="173">
        <f t="shared" si="7"/>
        <v>0</v>
      </c>
      <c r="V18" s="173">
        <f t="shared" si="8"/>
        <v>0</v>
      </c>
      <c r="W18" s="173"/>
      <c r="X18" s="173"/>
      <c r="Y18" s="173"/>
      <c r="Z18" s="173"/>
      <c r="AA18" s="172"/>
      <c r="AB18" s="172" t="s">
        <v>1400</v>
      </c>
      <c r="AC18" s="611">
        <v>826000</v>
      </c>
      <c r="AD18" s="284"/>
      <c r="AE18" s="284"/>
      <c r="AF18" s="166"/>
      <c r="AG18" s="166"/>
      <c r="AH18" s="166"/>
      <c r="AI18" s="166"/>
      <c r="AJ18" s="166"/>
    </row>
    <row r="19" spans="1:36" s="176" customFormat="1" ht="30" customHeight="1">
      <c r="A19" s="172">
        <f t="shared" si="9"/>
        <v>15</v>
      </c>
      <c r="B19" s="172">
        <v>1443</v>
      </c>
      <c r="C19" s="172" t="s">
        <v>87</v>
      </c>
      <c r="D19" s="173">
        <v>78500000</v>
      </c>
      <c r="E19" s="173">
        <v>78500000</v>
      </c>
      <c r="F19" s="173">
        <f t="shared" si="0"/>
        <v>0</v>
      </c>
      <c r="G19" s="173">
        <f>50840000+3000000</f>
        <v>53840000</v>
      </c>
      <c r="H19" s="173">
        <v>50824299</v>
      </c>
      <c r="I19" s="173">
        <v>0</v>
      </c>
      <c r="J19" s="173">
        <v>0</v>
      </c>
      <c r="K19" s="173">
        <f t="shared" si="2"/>
        <v>0</v>
      </c>
      <c r="L19" s="173">
        <f t="shared" si="1"/>
        <v>50824299</v>
      </c>
      <c r="M19" s="173">
        <f t="shared" si="12"/>
        <v>3015701</v>
      </c>
      <c r="N19" s="173"/>
      <c r="O19" s="173">
        <f t="shared" si="3"/>
        <v>24660000</v>
      </c>
      <c r="P19" s="173">
        <f t="shared" si="4"/>
        <v>3015701</v>
      </c>
      <c r="Q19" s="173"/>
      <c r="R19" s="173"/>
      <c r="S19" s="173">
        <f t="shared" si="10"/>
        <v>0</v>
      </c>
      <c r="T19" s="173">
        <f t="shared" si="11"/>
        <v>0</v>
      </c>
      <c r="U19" s="173">
        <f t="shared" si="7"/>
        <v>0</v>
      </c>
      <c r="V19" s="173">
        <f t="shared" si="8"/>
        <v>0</v>
      </c>
      <c r="W19" s="173"/>
      <c r="X19" s="173"/>
      <c r="Y19" s="173"/>
      <c r="Z19" s="173"/>
      <c r="AA19" s="172"/>
      <c r="AB19" s="172"/>
      <c r="AC19" s="611">
        <v>749000</v>
      </c>
      <c r="AD19" s="284"/>
      <c r="AE19" s="284"/>
      <c r="AF19" s="166"/>
      <c r="AG19" s="166"/>
      <c r="AH19" s="166"/>
      <c r="AI19" s="166"/>
      <c r="AJ19" s="166"/>
    </row>
    <row r="20" spans="1:36" s="176" customFormat="1" ht="30" customHeight="1">
      <c r="A20" s="172">
        <f t="shared" si="9"/>
        <v>16</v>
      </c>
      <c r="B20" s="172">
        <v>1446</v>
      </c>
      <c r="C20" s="172" t="s">
        <v>179</v>
      </c>
      <c r="D20" s="173">
        <v>14250000</v>
      </c>
      <c r="E20" s="173">
        <v>14250000</v>
      </c>
      <c r="F20" s="173">
        <f t="shared" si="0"/>
        <v>0</v>
      </c>
      <c r="G20" s="173">
        <v>14250000</v>
      </c>
      <c r="H20" s="173">
        <v>7360717</v>
      </c>
      <c r="I20" s="173">
        <v>0</v>
      </c>
      <c r="J20" s="173">
        <v>2593903</v>
      </c>
      <c r="K20" s="173">
        <f t="shared" si="2"/>
        <v>2593903</v>
      </c>
      <c r="L20" s="173">
        <f t="shared" si="1"/>
        <v>9954620</v>
      </c>
      <c r="M20" s="173">
        <f t="shared" si="12"/>
        <v>4295380</v>
      </c>
      <c r="N20" s="173"/>
      <c r="O20" s="173">
        <f t="shared" si="3"/>
        <v>0</v>
      </c>
      <c r="P20" s="173">
        <f t="shared" si="4"/>
        <v>4295380</v>
      </c>
      <c r="Q20" s="173"/>
      <c r="R20" s="173"/>
      <c r="S20" s="173">
        <f t="shared" si="10"/>
        <v>0</v>
      </c>
      <c r="T20" s="173">
        <f t="shared" si="11"/>
        <v>0</v>
      </c>
      <c r="U20" s="173">
        <f t="shared" si="7"/>
        <v>0</v>
      </c>
      <c r="V20" s="173">
        <f t="shared" si="8"/>
        <v>0</v>
      </c>
      <c r="W20" s="173"/>
      <c r="X20" s="173"/>
      <c r="Y20" s="173"/>
      <c r="Z20" s="173"/>
      <c r="AA20" s="172"/>
      <c r="AB20" s="293" t="s">
        <v>461</v>
      </c>
      <c r="AC20" s="611">
        <v>742000</v>
      </c>
      <c r="AD20" s="284"/>
      <c r="AE20" s="284"/>
      <c r="AF20" s="166"/>
      <c r="AG20" s="166"/>
      <c r="AH20" s="166"/>
      <c r="AI20" s="166"/>
      <c r="AJ20" s="166"/>
    </row>
    <row r="21" spans="1:36" s="176" customFormat="1" ht="30" customHeight="1">
      <c r="A21" s="172">
        <f t="shared" si="9"/>
        <v>17</v>
      </c>
      <c r="B21" s="172">
        <v>1539</v>
      </c>
      <c r="C21" s="172" t="s">
        <v>39</v>
      </c>
      <c r="D21" s="173">
        <v>16300000</v>
      </c>
      <c r="E21" s="173">
        <v>16300000</v>
      </c>
      <c r="F21" s="173">
        <f t="shared" si="0"/>
        <v>0</v>
      </c>
      <c r="G21" s="173">
        <v>15180000</v>
      </c>
      <c r="H21" s="173">
        <v>14337038</v>
      </c>
      <c r="I21" s="173">
        <v>54264</v>
      </c>
      <c r="J21" s="173">
        <v>147547</v>
      </c>
      <c r="K21" s="173">
        <f t="shared" si="2"/>
        <v>201811</v>
      </c>
      <c r="L21" s="173">
        <f t="shared" si="1"/>
        <v>14538849</v>
      </c>
      <c r="M21" s="173">
        <f t="shared" si="12"/>
        <v>641151</v>
      </c>
      <c r="N21" s="173">
        <v>120000</v>
      </c>
      <c r="O21" s="173">
        <f t="shared" si="3"/>
        <v>1000000</v>
      </c>
      <c r="P21" s="173">
        <f t="shared" si="4"/>
        <v>641151</v>
      </c>
      <c r="Q21" s="173"/>
      <c r="R21" s="173"/>
      <c r="S21" s="173">
        <f t="shared" si="10"/>
        <v>0</v>
      </c>
      <c r="T21" s="173">
        <f t="shared" si="11"/>
        <v>0</v>
      </c>
      <c r="U21" s="173">
        <f t="shared" si="7"/>
        <v>120000</v>
      </c>
      <c r="V21" s="173">
        <f t="shared" si="8"/>
        <v>120000</v>
      </c>
      <c r="W21" s="173"/>
      <c r="X21" s="173"/>
      <c r="Y21" s="173"/>
      <c r="Z21" s="173"/>
      <c r="AA21" s="172"/>
      <c r="AB21" s="172" t="s">
        <v>686</v>
      </c>
      <c r="AC21" s="611">
        <v>742000</v>
      </c>
      <c r="AD21" s="284"/>
      <c r="AE21" s="284"/>
      <c r="AF21" s="166"/>
      <c r="AG21" s="166"/>
      <c r="AH21" s="166"/>
      <c r="AI21" s="166"/>
      <c r="AJ21" s="166"/>
    </row>
    <row r="22" spans="1:36" s="176" customFormat="1" ht="30" customHeight="1">
      <c r="A22" s="172">
        <f t="shared" si="9"/>
        <v>18</v>
      </c>
      <c r="B22" s="172">
        <v>1588</v>
      </c>
      <c r="C22" s="172" t="s">
        <v>25</v>
      </c>
      <c r="D22" s="173">
        <v>50500000</v>
      </c>
      <c r="E22" s="173">
        <v>50500000</v>
      </c>
      <c r="F22" s="173">
        <f t="shared" si="0"/>
        <v>0</v>
      </c>
      <c r="G22" s="173">
        <v>45500000</v>
      </c>
      <c r="H22" s="173">
        <v>34848963</v>
      </c>
      <c r="I22" s="173">
        <v>682147</v>
      </c>
      <c r="J22" s="173">
        <v>291006</v>
      </c>
      <c r="K22" s="173">
        <f t="shared" si="2"/>
        <v>973153</v>
      </c>
      <c r="L22" s="173">
        <f t="shared" si="1"/>
        <v>35822116</v>
      </c>
      <c r="M22" s="173">
        <f t="shared" si="12"/>
        <v>9677884</v>
      </c>
      <c r="N22" s="173"/>
      <c r="O22" s="173">
        <f t="shared" si="3"/>
        <v>5000000</v>
      </c>
      <c r="P22" s="173">
        <f t="shared" si="4"/>
        <v>9677884</v>
      </c>
      <c r="Q22" s="173"/>
      <c r="R22" s="173"/>
      <c r="S22" s="173">
        <f t="shared" si="10"/>
        <v>0</v>
      </c>
      <c r="T22" s="173">
        <f t="shared" si="11"/>
        <v>0</v>
      </c>
      <c r="U22" s="173">
        <f t="shared" si="7"/>
        <v>0</v>
      </c>
      <c r="V22" s="173">
        <f t="shared" si="8"/>
        <v>0</v>
      </c>
      <c r="W22" s="173"/>
      <c r="X22" s="173"/>
      <c r="Y22" s="173"/>
      <c r="Z22" s="173"/>
      <c r="AA22" s="172"/>
      <c r="AB22" s="172" t="s">
        <v>462</v>
      </c>
      <c r="AC22" s="611">
        <v>742000</v>
      </c>
      <c r="AD22" s="284"/>
      <c r="AE22" s="284"/>
      <c r="AF22" s="166"/>
      <c r="AG22" s="166"/>
      <c r="AH22" s="166"/>
      <c r="AI22" s="166"/>
      <c r="AJ22" s="166"/>
    </row>
    <row r="23" spans="1:36" s="176" customFormat="1" ht="30" customHeight="1">
      <c r="A23" s="172">
        <f t="shared" si="9"/>
        <v>19</v>
      </c>
      <c r="B23" s="172">
        <v>1614</v>
      </c>
      <c r="C23" s="172" t="s">
        <v>377</v>
      </c>
      <c r="D23" s="173">
        <v>7200000</v>
      </c>
      <c r="E23" s="173">
        <v>7200000</v>
      </c>
      <c r="F23" s="173">
        <f t="shared" si="0"/>
        <v>0</v>
      </c>
      <c r="G23" s="173">
        <v>5680000</v>
      </c>
      <c r="H23" s="173">
        <v>4991030</v>
      </c>
      <c r="I23" s="173">
        <v>0</v>
      </c>
      <c r="J23" s="173">
        <v>104013</v>
      </c>
      <c r="K23" s="173">
        <f t="shared" si="2"/>
        <v>104013</v>
      </c>
      <c r="L23" s="173">
        <f t="shared" si="1"/>
        <v>5095043</v>
      </c>
      <c r="M23" s="173">
        <f t="shared" si="12"/>
        <v>584957</v>
      </c>
      <c r="N23" s="173">
        <f>1520000-520000-1000000</f>
        <v>0</v>
      </c>
      <c r="O23" s="173">
        <f t="shared" si="3"/>
        <v>1520000</v>
      </c>
      <c r="P23" s="173">
        <f t="shared" si="4"/>
        <v>584957</v>
      </c>
      <c r="Q23" s="173"/>
      <c r="R23" s="173"/>
      <c r="S23" s="173">
        <f t="shared" si="10"/>
        <v>0</v>
      </c>
      <c r="T23" s="173">
        <f t="shared" si="11"/>
        <v>0</v>
      </c>
      <c r="U23" s="173">
        <f t="shared" si="7"/>
        <v>0</v>
      </c>
      <c r="V23" s="173">
        <f t="shared" si="8"/>
        <v>0</v>
      </c>
      <c r="W23" s="173"/>
      <c r="X23" s="173"/>
      <c r="Y23" s="173"/>
      <c r="Z23" s="173"/>
      <c r="AA23" s="172"/>
      <c r="AB23" s="172" t="s">
        <v>1314</v>
      </c>
      <c r="AC23" s="611">
        <v>742000</v>
      </c>
      <c r="AD23" s="284"/>
      <c r="AE23" s="284"/>
      <c r="AF23" s="166"/>
      <c r="AG23" s="166"/>
      <c r="AH23" s="166"/>
      <c r="AI23" s="166"/>
      <c r="AJ23" s="166"/>
    </row>
    <row r="24" spans="1:36" s="176" customFormat="1" ht="30" customHeight="1">
      <c r="A24" s="172">
        <f t="shared" si="9"/>
        <v>20</v>
      </c>
      <c r="B24" s="172">
        <v>1615</v>
      </c>
      <c r="C24" s="172" t="s">
        <v>128</v>
      </c>
      <c r="D24" s="173">
        <v>27700000</v>
      </c>
      <c r="E24" s="173">
        <v>27700000</v>
      </c>
      <c r="F24" s="173">
        <f t="shared" si="0"/>
        <v>0</v>
      </c>
      <c r="G24" s="173">
        <v>21700000</v>
      </c>
      <c r="H24" s="173">
        <v>16804922</v>
      </c>
      <c r="I24" s="173">
        <v>0</v>
      </c>
      <c r="J24" s="173">
        <v>1207126</v>
      </c>
      <c r="K24" s="173">
        <f t="shared" si="2"/>
        <v>1207126</v>
      </c>
      <c r="L24" s="173">
        <f t="shared" si="1"/>
        <v>18012048</v>
      </c>
      <c r="M24" s="173">
        <f t="shared" si="12"/>
        <v>3687952</v>
      </c>
      <c r="N24" s="173">
        <v>2000000</v>
      </c>
      <c r="O24" s="173">
        <f t="shared" si="3"/>
        <v>4000000</v>
      </c>
      <c r="P24" s="173">
        <f t="shared" si="4"/>
        <v>3687952</v>
      </c>
      <c r="Q24" s="173"/>
      <c r="R24" s="173"/>
      <c r="S24" s="173">
        <f t="shared" si="10"/>
        <v>0</v>
      </c>
      <c r="T24" s="173">
        <f t="shared" si="11"/>
        <v>0</v>
      </c>
      <c r="U24" s="173">
        <f t="shared" si="7"/>
        <v>2000000</v>
      </c>
      <c r="V24" s="173">
        <f t="shared" si="8"/>
        <v>2000000</v>
      </c>
      <c r="W24" s="173"/>
      <c r="X24" s="173"/>
      <c r="Y24" s="173"/>
      <c r="Z24" s="173"/>
      <c r="AA24" s="172"/>
      <c r="AB24" s="172" t="s">
        <v>796</v>
      </c>
      <c r="AC24" s="611">
        <v>742000</v>
      </c>
      <c r="AD24" s="284"/>
      <c r="AE24" s="284"/>
      <c r="AF24" s="166"/>
      <c r="AG24" s="166"/>
      <c r="AH24" s="166"/>
      <c r="AI24" s="166"/>
      <c r="AJ24" s="166"/>
    </row>
    <row r="25" spans="1:36" s="176" customFormat="1" ht="30" customHeight="1">
      <c r="A25" s="172">
        <f t="shared" si="9"/>
        <v>21</v>
      </c>
      <c r="B25" s="172">
        <v>1657</v>
      </c>
      <c r="C25" s="172" t="s">
        <v>27</v>
      </c>
      <c r="D25" s="173">
        <v>60000000</v>
      </c>
      <c r="E25" s="173">
        <v>60000000</v>
      </c>
      <c r="F25" s="173">
        <f t="shared" si="0"/>
        <v>0</v>
      </c>
      <c r="G25" s="173">
        <v>21200000</v>
      </c>
      <c r="H25" s="173">
        <v>16505191</v>
      </c>
      <c r="I25" s="173">
        <v>0</v>
      </c>
      <c r="J25" s="173">
        <v>1238291</v>
      </c>
      <c r="K25" s="173">
        <f t="shared" si="2"/>
        <v>1238291</v>
      </c>
      <c r="L25" s="173">
        <f t="shared" si="1"/>
        <v>17743482</v>
      </c>
      <c r="M25" s="173">
        <f t="shared" si="12"/>
        <v>3456518</v>
      </c>
      <c r="N25" s="173">
        <f>25000000-10000000</f>
        <v>15000000</v>
      </c>
      <c r="O25" s="173">
        <f t="shared" si="3"/>
        <v>23800000</v>
      </c>
      <c r="P25" s="173">
        <f t="shared" si="4"/>
        <v>3456518</v>
      </c>
      <c r="Q25" s="173"/>
      <c r="R25" s="173"/>
      <c r="S25" s="173">
        <f t="shared" ref="S25:S55" si="13">SUM(Q25:R25)</f>
        <v>0</v>
      </c>
      <c r="T25" s="173">
        <f t="shared" ref="T25:T55" si="14">P25-M25+S25</f>
        <v>0</v>
      </c>
      <c r="U25" s="173">
        <f t="shared" si="7"/>
        <v>15000000</v>
      </c>
      <c r="V25" s="173">
        <f t="shared" si="8"/>
        <v>15000000</v>
      </c>
      <c r="W25" s="173"/>
      <c r="X25" s="173"/>
      <c r="Y25" s="173"/>
      <c r="Z25" s="173"/>
      <c r="AA25" s="172"/>
      <c r="AB25" s="3" t="s">
        <v>1315</v>
      </c>
      <c r="AC25" s="611">
        <v>742000</v>
      </c>
      <c r="AD25" s="284"/>
      <c r="AE25" s="284"/>
      <c r="AF25" s="166"/>
      <c r="AG25" s="166"/>
      <c r="AH25" s="166"/>
      <c r="AI25" s="166"/>
      <c r="AJ25" s="166"/>
    </row>
    <row r="26" spans="1:36" s="176" customFormat="1" ht="30" customHeight="1">
      <c r="A26" s="172">
        <f t="shared" si="9"/>
        <v>22</v>
      </c>
      <c r="B26" s="172">
        <v>1723</v>
      </c>
      <c r="C26" s="172" t="s">
        <v>28</v>
      </c>
      <c r="D26" s="173">
        <f>17500000-15000000-57143</f>
        <v>2442857</v>
      </c>
      <c r="E26" s="173">
        <v>17500000</v>
      </c>
      <c r="F26" s="173">
        <f t="shared" si="0"/>
        <v>-15057143</v>
      </c>
      <c r="G26" s="173">
        <v>2442857</v>
      </c>
      <c r="H26" s="173">
        <v>1535456</v>
      </c>
      <c r="I26" s="173">
        <v>0</v>
      </c>
      <c r="J26" s="173">
        <v>136858</v>
      </c>
      <c r="K26" s="173">
        <f t="shared" si="2"/>
        <v>136858</v>
      </c>
      <c r="L26" s="173">
        <f t="shared" si="1"/>
        <v>1672314</v>
      </c>
      <c r="M26" s="173">
        <f t="shared" si="12"/>
        <v>770543</v>
      </c>
      <c r="N26" s="173"/>
      <c r="O26" s="173">
        <f t="shared" si="3"/>
        <v>0</v>
      </c>
      <c r="P26" s="173">
        <f t="shared" si="4"/>
        <v>770543</v>
      </c>
      <c r="Q26" s="173"/>
      <c r="R26" s="173"/>
      <c r="S26" s="173">
        <f t="shared" si="13"/>
        <v>0</v>
      </c>
      <c r="T26" s="173">
        <f t="shared" si="14"/>
        <v>0</v>
      </c>
      <c r="U26" s="173">
        <f t="shared" si="7"/>
        <v>0</v>
      </c>
      <c r="V26" s="173">
        <f t="shared" si="8"/>
        <v>0</v>
      </c>
      <c r="W26" s="173"/>
      <c r="X26" s="173"/>
      <c r="Y26" s="173"/>
      <c r="Z26" s="173"/>
      <c r="AA26" s="172"/>
      <c r="AB26" s="172" t="s">
        <v>1316</v>
      </c>
      <c r="AC26" s="611">
        <v>732000</v>
      </c>
      <c r="AD26" s="284"/>
      <c r="AE26" s="284"/>
      <c r="AF26" s="166"/>
      <c r="AG26" s="166"/>
      <c r="AH26" s="166"/>
      <c r="AI26" s="166"/>
      <c r="AJ26" s="166"/>
    </row>
    <row r="27" spans="1:36" s="176" customFormat="1" ht="30" customHeight="1">
      <c r="A27" s="172">
        <f t="shared" si="9"/>
        <v>23</v>
      </c>
      <c r="B27" s="172">
        <v>1751</v>
      </c>
      <c r="C27" s="172" t="s">
        <v>113</v>
      </c>
      <c r="D27" s="173">
        <v>4800000</v>
      </c>
      <c r="E27" s="173">
        <v>4800000</v>
      </c>
      <c r="F27" s="173">
        <f t="shared" si="0"/>
        <v>0</v>
      </c>
      <c r="G27" s="173">
        <v>2720000</v>
      </c>
      <c r="H27" s="173">
        <v>2602335</v>
      </c>
      <c r="I27" s="173">
        <v>0</v>
      </c>
      <c r="J27" s="173">
        <v>59452</v>
      </c>
      <c r="K27" s="173">
        <f t="shared" si="2"/>
        <v>59452</v>
      </c>
      <c r="L27" s="173">
        <f t="shared" si="1"/>
        <v>2661787</v>
      </c>
      <c r="M27" s="173">
        <f t="shared" si="12"/>
        <v>58213</v>
      </c>
      <c r="N27" s="173"/>
      <c r="O27" s="173">
        <f t="shared" si="3"/>
        <v>2080000</v>
      </c>
      <c r="P27" s="173">
        <f t="shared" si="4"/>
        <v>58213</v>
      </c>
      <c r="Q27" s="173"/>
      <c r="R27" s="173"/>
      <c r="S27" s="173">
        <f t="shared" si="13"/>
        <v>0</v>
      </c>
      <c r="T27" s="173">
        <f t="shared" si="14"/>
        <v>0</v>
      </c>
      <c r="U27" s="173">
        <f t="shared" si="7"/>
        <v>0</v>
      </c>
      <c r="V27" s="173">
        <f t="shared" si="8"/>
        <v>0</v>
      </c>
      <c r="W27" s="173"/>
      <c r="X27" s="173"/>
      <c r="Y27" s="173"/>
      <c r="Z27" s="173"/>
      <c r="AA27" s="172"/>
      <c r="AB27" s="172" t="s">
        <v>1527</v>
      </c>
      <c r="AC27" s="611">
        <v>810000</v>
      </c>
      <c r="AD27" s="284"/>
      <c r="AE27" s="284"/>
      <c r="AF27" s="166"/>
      <c r="AG27" s="166"/>
      <c r="AH27" s="166"/>
      <c r="AI27" s="166"/>
      <c r="AJ27" s="166"/>
    </row>
    <row r="28" spans="1:36" ht="30" customHeight="1">
      <c r="A28" s="172">
        <f t="shared" si="9"/>
        <v>24</v>
      </c>
      <c r="B28" s="172">
        <v>1806</v>
      </c>
      <c r="C28" s="172" t="s">
        <v>136</v>
      </c>
      <c r="D28" s="173">
        <v>500000</v>
      </c>
      <c r="E28" s="173">
        <v>500000</v>
      </c>
      <c r="F28" s="173">
        <f t="shared" si="0"/>
        <v>0</v>
      </c>
      <c r="G28" s="173">
        <v>350000</v>
      </c>
      <c r="H28" s="173">
        <v>209714</v>
      </c>
      <c r="I28" s="173">
        <v>0</v>
      </c>
      <c r="J28" s="173">
        <v>140284</v>
      </c>
      <c r="K28" s="173">
        <f t="shared" si="2"/>
        <v>140284</v>
      </c>
      <c r="L28" s="173">
        <f t="shared" si="1"/>
        <v>349998</v>
      </c>
      <c r="M28" s="173">
        <f t="shared" si="12"/>
        <v>2</v>
      </c>
      <c r="N28" s="173">
        <f>50000-50000</f>
        <v>0</v>
      </c>
      <c r="O28" s="173">
        <f t="shared" si="3"/>
        <v>150000</v>
      </c>
      <c r="P28" s="173">
        <f t="shared" si="4"/>
        <v>2</v>
      </c>
      <c r="Q28" s="173"/>
      <c r="R28" s="173"/>
      <c r="S28" s="173">
        <f t="shared" si="13"/>
        <v>0</v>
      </c>
      <c r="T28" s="173">
        <f t="shared" si="14"/>
        <v>0</v>
      </c>
      <c r="U28" s="173">
        <f t="shared" si="7"/>
        <v>0</v>
      </c>
      <c r="V28" s="173">
        <f t="shared" si="8"/>
        <v>0</v>
      </c>
      <c r="W28" s="173"/>
      <c r="X28" s="173"/>
      <c r="Y28" s="173"/>
      <c r="Z28" s="173"/>
      <c r="AA28" s="172"/>
      <c r="AB28" s="293" t="s">
        <v>378</v>
      </c>
      <c r="AC28" s="611">
        <v>732000</v>
      </c>
    </row>
    <row r="29" spans="1:36" ht="30" customHeight="1">
      <c r="A29" s="172">
        <f t="shared" si="9"/>
        <v>25</v>
      </c>
      <c r="B29" s="292">
        <v>1819</v>
      </c>
      <c r="C29" s="172" t="s">
        <v>614</v>
      </c>
      <c r="D29" s="173">
        <v>18000000</v>
      </c>
      <c r="E29" s="173">
        <v>18000000</v>
      </c>
      <c r="F29" s="173">
        <f t="shared" si="0"/>
        <v>0</v>
      </c>
      <c r="G29" s="173">
        <v>16000000</v>
      </c>
      <c r="H29" s="173">
        <v>2505332</v>
      </c>
      <c r="I29" s="173">
        <v>0</v>
      </c>
      <c r="J29" s="173">
        <v>622623</v>
      </c>
      <c r="K29" s="173">
        <f t="shared" si="2"/>
        <v>622623</v>
      </c>
      <c r="L29" s="173">
        <f t="shared" si="1"/>
        <v>3127955</v>
      </c>
      <c r="M29" s="173">
        <f t="shared" si="12"/>
        <v>12872045</v>
      </c>
      <c r="N29" s="173">
        <v>2000000</v>
      </c>
      <c r="O29" s="173">
        <f t="shared" si="3"/>
        <v>0</v>
      </c>
      <c r="P29" s="173">
        <f t="shared" si="4"/>
        <v>12872045</v>
      </c>
      <c r="Q29" s="173"/>
      <c r="R29" s="173"/>
      <c r="S29" s="173">
        <f t="shared" si="13"/>
        <v>0</v>
      </c>
      <c r="T29" s="173">
        <f t="shared" si="14"/>
        <v>0</v>
      </c>
      <c r="U29" s="173">
        <f t="shared" si="7"/>
        <v>2000000</v>
      </c>
      <c r="V29" s="173">
        <f t="shared" si="8"/>
        <v>2000000</v>
      </c>
      <c r="W29" s="173"/>
      <c r="X29" s="173"/>
      <c r="Y29" s="173"/>
      <c r="Z29" s="173"/>
      <c r="AA29" s="172"/>
      <c r="AB29" s="172" t="s">
        <v>1317</v>
      </c>
      <c r="AC29" s="611">
        <v>742000</v>
      </c>
    </row>
    <row r="30" spans="1:36" ht="30" customHeight="1">
      <c r="A30" s="172">
        <f t="shared" si="9"/>
        <v>26</v>
      </c>
      <c r="B30" s="292">
        <v>1833</v>
      </c>
      <c r="C30" s="172" t="s">
        <v>132</v>
      </c>
      <c r="D30" s="173">
        <v>29000000</v>
      </c>
      <c r="E30" s="173">
        <v>29000000</v>
      </c>
      <c r="F30" s="173">
        <f t="shared" si="0"/>
        <v>0</v>
      </c>
      <c r="G30" s="173">
        <v>18768840</v>
      </c>
      <c r="H30" s="173">
        <v>7351535</v>
      </c>
      <c r="I30" s="173">
        <v>0</v>
      </c>
      <c r="J30" s="173">
        <v>1053050</v>
      </c>
      <c r="K30" s="173">
        <f t="shared" si="2"/>
        <v>1053050</v>
      </c>
      <c r="L30" s="173">
        <f t="shared" si="1"/>
        <v>8404585</v>
      </c>
      <c r="M30" s="173">
        <f t="shared" si="12"/>
        <v>10364255</v>
      </c>
      <c r="N30" s="173">
        <v>10231160</v>
      </c>
      <c r="O30" s="173">
        <f t="shared" si="3"/>
        <v>0</v>
      </c>
      <c r="P30" s="173">
        <f t="shared" si="4"/>
        <v>10364255</v>
      </c>
      <c r="Q30" s="173"/>
      <c r="R30" s="173"/>
      <c r="S30" s="173">
        <f t="shared" si="13"/>
        <v>0</v>
      </c>
      <c r="T30" s="173">
        <f t="shared" si="14"/>
        <v>0</v>
      </c>
      <c r="U30" s="173">
        <f t="shared" si="7"/>
        <v>10231160</v>
      </c>
      <c r="V30" s="173">
        <f t="shared" si="8"/>
        <v>10231160</v>
      </c>
      <c r="W30" s="173"/>
      <c r="X30" s="173"/>
      <c r="Y30" s="173"/>
      <c r="Z30" s="173"/>
      <c r="AA30" s="173">
        <f>3231160-3231160</f>
        <v>0</v>
      </c>
      <c r="AB30" s="172" t="s">
        <v>1528</v>
      </c>
      <c r="AC30" s="611">
        <v>829000</v>
      </c>
    </row>
    <row r="31" spans="1:36" s="176" customFormat="1" ht="30" customHeight="1">
      <c r="A31" s="172">
        <f t="shared" si="9"/>
        <v>27</v>
      </c>
      <c r="B31" s="172">
        <v>1834</v>
      </c>
      <c r="C31" s="172" t="s">
        <v>124</v>
      </c>
      <c r="D31" s="173">
        <v>60000000</v>
      </c>
      <c r="E31" s="173">
        <v>60000000</v>
      </c>
      <c r="F31" s="173">
        <f t="shared" si="0"/>
        <v>0</v>
      </c>
      <c r="G31" s="173">
        <v>18900000</v>
      </c>
      <c r="H31" s="173">
        <v>3218215</v>
      </c>
      <c r="I31" s="173">
        <v>0</v>
      </c>
      <c r="J31" s="173">
        <v>601707</v>
      </c>
      <c r="K31" s="173">
        <f t="shared" si="2"/>
        <v>601707</v>
      </c>
      <c r="L31" s="173">
        <f t="shared" si="1"/>
        <v>3819922</v>
      </c>
      <c r="M31" s="173">
        <f t="shared" si="12"/>
        <v>15080078</v>
      </c>
      <c r="N31" s="173">
        <v>25000000</v>
      </c>
      <c r="O31" s="173">
        <f t="shared" si="3"/>
        <v>16100000</v>
      </c>
      <c r="P31" s="173">
        <f t="shared" si="4"/>
        <v>15080078</v>
      </c>
      <c r="Q31" s="173"/>
      <c r="R31" s="173"/>
      <c r="S31" s="173">
        <f t="shared" si="13"/>
        <v>0</v>
      </c>
      <c r="T31" s="173">
        <f t="shared" si="14"/>
        <v>0</v>
      </c>
      <c r="U31" s="173">
        <f t="shared" si="7"/>
        <v>25000000</v>
      </c>
      <c r="V31" s="173">
        <f t="shared" si="8"/>
        <v>25000000</v>
      </c>
      <c r="W31" s="173"/>
      <c r="X31" s="173"/>
      <c r="Y31" s="173"/>
      <c r="Z31" s="173"/>
      <c r="AA31" s="172"/>
      <c r="AB31" s="31" t="s">
        <v>1318</v>
      </c>
      <c r="AC31" s="611">
        <v>824000</v>
      </c>
      <c r="AD31" s="284"/>
      <c r="AE31" s="284"/>
      <c r="AF31" s="166"/>
      <c r="AG31" s="166"/>
      <c r="AH31" s="166"/>
      <c r="AI31" s="166"/>
      <c r="AJ31" s="166"/>
    </row>
    <row r="32" spans="1:36" s="176" customFormat="1" ht="30" customHeight="1">
      <c r="A32" s="172">
        <f t="shared" si="9"/>
        <v>28</v>
      </c>
      <c r="B32" s="172">
        <v>1835</v>
      </c>
      <c r="C32" s="172" t="s">
        <v>541</v>
      </c>
      <c r="D32" s="173">
        <v>70000000</v>
      </c>
      <c r="E32" s="173">
        <v>70000000</v>
      </c>
      <c r="F32" s="173">
        <f t="shared" si="0"/>
        <v>0</v>
      </c>
      <c r="G32" s="173">
        <v>20900000</v>
      </c>
      <c r="H32" s="173">
        <v>11366140</v>
      </c>
      <c r="I32" s="173">
        <v>0</v>
      </c>
      <c r="J32" s="173">
        <v>1144610</v>
      </c>
      <c r="K32" s="173">
        <f t="shared" si="2"/>
        <v>1144610</v>
      </c>
      <c r="L32" s="173">
        <f t="shared" si="1"/>
        <v>12510750</v>
      </c>
      <c r="M32" s="173">
        <f t="shared" si="12"/>
        <v>8389250</v>
      </c>
      <c r="N32" s="173">
        <f>29000000-19000000-9000000</f>
        <v>1000000</v>
      </c>
      <c r="O32" s="173">
        <f t="shared" si="3"/>
        <v>48100000</v>
      </c>
      <c r="P32" s="173">
        <f t="shared" si="4"/>
        <v>8389250</v>
      </c>
      <c r="Q32" s="173"/>
      <c r="R32" s="173"/>
      <c r="S32" s="173">
        <f t="shared" si="13"/>
        <v>0</v>
      </c>
      <c r="T32" s="173">
        <f t="shared" si="14"/>
        <v>0</v>
      </c>
      <c r="U32" s="173">
        <f t="shared" si="7"/>
        <v>1000000</v>
      </c>
      <c r="V32" s="173">
        <f t="shared" si="8"/>
        <v>1000000</v>
      </c>
      <c r="W32" s="173"/>
      <c r="X32" s="173"/>
      <c r="Y32" s="173"/>
      <c r="Z32" s="173"/>
      <c r="AA32" s="172"/>
      <c r="AB32" s="3" t="s">
        <v>1319</v>
      </c>
      <c r="AC32" s="611">
        <v>824000</v>
      </c>
      <c r="AD32" s="284"/>
      <c r="AE32" s="284"/>
      <c r="AF32" s="166"/>
      <c r="AG32" s="166"/>
      <c r="AH32" s="166"/>
      <c r="AI32" s="166"/>
      <c r="AJ32" s="166"/>
    </row>
    <row r="33" spans="1:36" ht="30" customHeight="1">
      <c r="A33" s="172">
        <f t="shared" si="9"/>
        <v>29</v>
      </c>
      <c r="B33" s="292">
        <v>1845</v>
      </c>
      <c r="C33" s="172" t="s">
        <v>133</v>
      </c>
      <c r="D33" s="173">
        <v>6000000</v>
      </c>
      <c r="E33" s="173">
        <v>6000000</v>
      </c>
      <c r="F33" s="173">
        <f t="shared" si="0"/>
        <v>0</v>
      </c>
      <c r="G33" s="173">
        <v>740000</v>
      </c>
      <c r="H33" s="173">
        <v>736454</v>
      </c>
      <c r="I33" s="173">
        <v>0</v>
      </c>
      <c r="J33" s="173">
        <v>3544</v>
      </c>
      <c r="K33" s="173">
        <f t="shared" si="2"/>
        <v>3544</v>
      </c>
      <c r="L33" s="173">
        <f t="shared" si="1"/>
        <v>739998</v>
      </c>
      <c r="M33" s="173">
        <f t="shared" si="12"/>
        <v>2</v>
      </c>
      <c r="N33" s="173">
        <v>1000000</v>
      </c>
      <c r="O33" s="173">
        <f t="shared" si="3"/>
        <v>4260000</v>
      </c>
      <c r="P33" s="173">
        <f t="shared" si="4"/>
        <v>2</v>
      </c>
      <c r="Q33" s="173"/>
      <c r="R33" s="173"/>
      <c r="S33" s="173">
        <f t="shared" si="13"/>
        <v>0</v>
      </c>
      <c r="T33" s="173">
        <f t="shared" si="14"/>
        <v>0</v>
      </c>
      <c r="U33" s="173">
        <f t="shared" si="7"/>
        <v>1000000</v>
      </c>
      <c r="V33" s="173">
        <f t="shared" si="8"/>
        <v>1000000</v>
      </c>
      <c r="W33" s="173"/>
      <c r="X33" s="173"/>
      <c r="Y33" s="173"/>
      <c r="Z33" s="173"/>
      <c r="AA33" s="172"/>
      <c r="AB33" s="172" t="s">
        <v>1529</v>
      </c>
      <c r="AC33" s="611">
        <v>742000</v>
      </c>
    </row>
    <row r="34" spans="1:36" s="5" customFormat="1" ht="30" customHeight="1">
      <c r="A34" s="172">
        <f t="shared" si="9"/>
        <v>30</v>
      </c>
      <c r="B34" s="3">
        <v>1872</v>
      </c>
      <c r="C34" s="3" t="s">
        <v>542</v>
      </c>
      <c r="D34" s="4">
        <v>1160000</v>
      </c>
      <c r="E34" s="4">
        <v>1160000</v>
      </c>
      <c r="F34" s="173">
        <f t="shared" si="0"/>
        <v>0</v>
      </c>
      <c r="G34" s="4">
        <v>1160000</v>
      </c>
      <c r="H34" s="4">
        <v>711356</v>
      </c>
      <c r="I34" s="4">
        <v>0</v>
      </c>
      <c r="J34" s="4">
        <v>448330</v>
      </c>
      <c r="K34" s="173">
        <f t="shared" si="2"/>
        <v>448330</v>
      </c>
      <c r="L34" s="173">
        <f t="shared" si="1"/>
        <v>1159686</v>
      </c>
      <c r="M34" s="173">
        <f t="shared" si="12"/>
        <v>314</v>
      </c>
      <c r="N34" s="173"/>
      <c r="O34" s="173">
        <f t="shared" si="3"/>
        <v>0</v>
      </c>
      <c r="P34" s="173">
        <f t="shared" si="4"/>
        <v>314</v>
      </c>
      <c r="Q34" s="173"/>
      <c r="R34" s="173"/>
      <c r="S34" s="173">
        <f t="shared" si="13"/>
        <v>0</v>
      </c>
      <c r="T34" s="173">
        <f t="shared" si="14"/>
        <v>0</v>
      </c>
      <c r="U34" s="173">
        <f t="shared" si="7"/>
        <v>0</v>
      </c>
      <c r="V34" s="173">
        <f t="shared" si="8"/>
        <v>0</v>
      </c>
      <c r="W34" s="173"/>
      <c r="X34" s="173"/>
      <c r="Y34" s="173"/>
      <c r="Z34" s="173"/>
      <c r="AA34" s="172"/>
      <c r="AB34" s="3" t="s">
        <v>1698</v>
      </c>
      <c r="AC34" s="566">
        <v>742000</v>
      </c>
      <c r="AD34" s="284"/>
      <c r="AE34" s="284"/>
      <c r="AF34" s="166"/>
      <c r="AG34" s="166"/>
      <c r="AH34" s="166"/>
      <c r="AI34" s="166"/>
      <c r="AJ34" s="166"/>
    </row>
    <row r="35" spans="1:36" ht="30" customHeight="1">
      <c r="A35" s="172">
        <f t="shared" si="9"/>
        <v>31</v>
      </c>
      <c r="B35" s="292">
        <v>1896</v>
      </c>
      <c r="C35" s="172" t="s">
        <v>543</v>
      </c>
      <c r="D35" s="173">
        <v>18560000</v>
      </c>
      <c r="E35" s="173">
        <v>18560000</v>
      </c>
      <c r="F35" s="173">
        <f t="shared" si="0"/>
        <v>0</v>
      </c>
      <c r="G35" s="173">
        <v>11600000</v>
      </c>
      <c r="H35" s="173">
        <v>1133671</v>
      </c>
      <c r="I35" s="173">
        <v>1737223</v>
      </c>
      <c r="J35" s="173">
        <v>471836</v>
      </c>
      <c r="K35" s="173">
        <f t="shared" si="2"/>
        <v>2209059</v>
      </c>
      <c r="L35" s="173">
        <f t="shared" si="1"/>
        <v>3342730</v>
      </c>
      <c r="M35" s="173">
        <f>P35+S35-4000000+200000</f>
        <v>4457270</v>
      </c>
      <c r="N35" s="173"/>
      <c r="O35" s="173">
        <f t="shared" si="3"/>
        <v>10760000</v>
      </c>
      <c r="P35" s="173">
        <f t="shared" si="4"/>
        <v>8257270</v>
      </c>
      <c r="Q35" s="173"/>
      <c r="R35" s="173"/>
      <c r="S35" s="173">
        <f t="shared" si="13"/>
        <v>0</v>
      </c>
      <c r="T35" s="173">
        <f t="shared" si="14"/>
        <v>3800000</v>
      </c>
      <c r="U35" s="173">
        <f t="shared" si="7"/>
        <v>-3800000</v>
      </c>
      <c r="V35" s="173">
        <f t="shared" si="8"/>
        <v>-3800000</v>
      </c>
      <c r="W35" s="173"/>
      <c r="X35" s="173"/>
      <c r="Y35" s="173"/>
      <c r="Z35" s="173"/>
      <c r="AA35" s="172"/>
      <c r="AB35" s="172" t="s">
        <v>1320</v>
      </c>
      <c r="AC35" s="611">
        <v>829000</v>
      </c>
    </row>
    <row r="36" spans="1:36" s="176" customFormat="1" ht="30" customHeight="1">
      <c r="A36" s="172">
        <f t="shared" si="9"/>
        <v>32</v>
      </c>
      <c r="B36" s="172">
        <v>1904</v>
      </c>
      <c r="C36" s="172" t="s">
        <v>127</v>
      </c>
      <c r="D36" s="173">
        <v>5700000</v>
      </c>
      <c r="E36" s="173">
        <v>5700000</v>
      </c>
      <c r="F36" s="173">
        <f t="shared" si="0"/>
        <v>0</v>
      </c>
      <c r="G36" s="173">
        <v>4800000</v>
      </c>
      <c r="H36" s="173">
        <v>4143323</v>
      </c>
      <c r="I36" s="173">
        <v>0</v>
      </c>
      <c r="J36" s="173">
        <v>492020</v>
      </c>
      <c r="K36" s="173">
        <f t="shared" si="2"/>
        <v>492020</v>
      </c>
      <c r="L36" s="173">
        <f t="shared" si="1"/>
        <v>4635343</v>
      </c>
      <c r="M36" s="173">
        <f t="shared" si="12"/>
        <v>164657</v>
      </c>
      <c r="N36" s="173">
        <f>900000-900000</f>
        <v>0</v>
      </c>
      <c r="O36" s="173">
        <f t="shared" si="3"/>
        <v>900000</v>
      </c>
      <c r="P36" s="173">
        <f t="shared" si="4"/>
        <v>164657</v>
      </c>
      <c r="Q36" s="173"/>
      <c r="R36" s="173"/>
      <c r="S36" s="173">
        <f t="shared" si="13"/>
        <v>0</v>
      </c>
      <c r="T36" s="173">
        <f t="shared" si="14"/>
        <v>0</v>
      </c>
      <c r="U36" s="173">
        <f t="shared" si="7"/>
        <v>0</v>
      </c>
      <c r="V36" s="173">
        <f t="shared" si="8"/>
        <v>0</v>
      </c>
      <c r="W36" s="173"/>
      <c r="X36" s="173"/>
      <c r="Y36" s="173"/>
      <c r="Z36" s="173"/>
      <c r="AA36" s="172"/>
      <c r="AB36" s="172" t="s">
        <v>1321</v>
      </c>
      <c r="AC36" s="611">
        <v>742000</v>
      </c>
      <c r="AD36" s="284"/>
      <c r="AE36" s="284"/>
      <c r="AF36" s="166"/>
      <c r="AG36" s="166"/>
      <c r="AH36" s="166"/>
      <c r="AI36" s="166"/>
      <c r="AJ36" s="166"/>
    </row>
    <row r="37" spans="1:36" ht="30" customHeight="1">
      <c r="A37" s="172">
        <f t="shared" si="9"/>
        <v>33</v>
      </c>
      <c r="B37" s="292">
        <v>1921</v>
      </c>
      <c r="C37" s="172" t="s">
        <v>135</v>
      </c>
      <c r="D37" s="173">
        <v>9716000</v>
      </c>
      <c r="E37" s="173">
        <v>9716000</v>
      </c>
      <c r="F37" s="173">
        <f t="shared" si="0"/>
        <v>0</v>
      </c>
      <c r="G37" s="173">
        <v>9716000</v>
      </c>
      <c r="H37" s="173">
        <v>4648902</v>
      </c>
      <c r="I37" s="173">
        <v>0</v>
      </c>
      <c r="J37" s="173">
        <v>692685</v>
      </c>
      <c r="K37" s="173">
        <f t="shared" si="2"/>
        <v>692685</v>
      </c>
      <c r="L37" s="173">
        <f t="shared" si="1"/>
        <v>5341587</v>
      </c>
      <c r="M37" s="173">
        <f t="shared" si="12"/>
        <v>4374413</v>
      </c>
      <c r="N37" s="173"/>
      <c r="O37" s="173">
        <f t="shared" si="3"/>
        <v>0</v>
      </c>
      <c r="P37" s="173">
        <f t="shared" si="4"/>
        <v>4374413</v>
      </c>
      <c r="Q37" s="173"/>
      <c r="R37" s="173"/>
      <c r="S37" s="173">
        <f t="shared" si="13"/>
        <v>0</v>
      </c>
      <c r="T37" s="173">
        <f t="shared" si="14"/>
        <v>0</v>
      </c>
      <c r="U37" s="173">
        <f t="shared" si="7"/>
        <v>0</v>
      </c>
      <c r="V37" s="173">
        <f t="shared" si="8"/>
        <v>0</v>
      </c>
      <c r="W37" s="173"/>
      <c r="X37" s="173"/>
      <c r="Y37" s="173"/>
      <c r="Z37" s="173"/>
      <c r="AA37" s="172"/>
      <c r="AB37" s="172" t="s">
        <v>1415</v>
      </c>
      <c r="AC37" s="611">
        <v>829000</v>
      </c>
    </row>
    <row r="38" spans="1:36" ht="30" customHeight="1">
      <c r="A38" s="172">
        <f t="shared" si="9"/>
        <v>34</v>
      </c>
      <c r="B38" s="292">
        <v>1936</v>
      </c>
      <c r="C38" s="172" t="s">
        <v>180</v>
      </c>
      <c r="D38" s="173">
        <v>6082795</v>
      </c>
      <c r="E38" s="173">
        <v>6082795</v>
      </c>
      <c r="F38" s="173">
        <f t="shared" si="0"/>
        <v>0</v>
      </c>
      <c r="G38" s="173">
        <v>700000</v>
      </c>
      <c r="H38" s="173">
        <v>313933</v>
      </c>
      <c r="I38" s="173">
        <v>0</v>
      </c>
      <c r="J38" s="173">
        <v>0</v>
      </c>
      <c r="K38" s="173">
        <f t="shared" si="2"/>
        <v>0</v>
      </c>
      <c r="L38" s="173">
        <f t="shared" si="1"/>
        <v>313933</v>
      </c>
      <c r="M38" s="173">
        <f t="shared" si="12"/>
        <v>386067</v>
      </c>
      <c r="N38" s="173"/>
      <c r="O38" s="173">
        <f t="shared" si="3"/>
        <v>5382795</v>
      </c>
      <c r="P38" s="173">
        <f t="shared" si="4"/>
        <v>386067</v>
      </c>
      <c r="Q38" s="173"/>
      <c r="R38" s="173"/>
      <c r="S38" s="173">
        <f t="shared" si="13"/>
        <v>0</v>
      </c>
      <c r="T38" s="173">
        <f t="shared" si="14"/>
        <v>0</v>
      </c>
      <c r="U38" s="173">
        <f t="shared" si="7"/>
        <v>0</v>
      </c>
      <c r="V38" s="173">
        <f t="shared" si="8"/>
        <v>0</v>
      </c>
      <c r="W38" s="173"/>
      <c r="X38" s="173"/>
      <c r="Y38" s="173"/>
      <c r="Z38" s="173"/>
      <c r="AA38" s="172"/>
      <c r="AB38" s="293" t="s">
        <v>463</v>
      </c>
      <c r="AC38" s="611">
        <v>732000</v>
      </c>
    </row>
    <row r="39" spans="1:36" ht="30" customHeight="1">
      <c r="A39" s="172">
        <f t="shared" si="9"/>
        <v>35</v>
      </c>
      <c r="B39" s="292">
        <v>1953</v>
      </c>
      <c r="C39" s="172" t="s">
        <v>544</v>
      </c>
      <c r="D39" s="173">
        <v>5300000</v>
      </c>
      <c r="E39" s="173">
        <v>5300000</v>
      </c>
      <c r="F39" s="173">
        <f t="shared" si="0"/>
        <v>0</v>
      </c>
      <c r="G39" s="173">
        <v>5300000</v>
      </c>
      <c r="H39" s="173">
        <v>3138324</v>
      </c>
      <c r="I39" s="173">
        <v>0</v>
      </c>
      <c r="J39" s="173">
        <v>273206</v>
      </c>
      <c r="K39" s="173">
        <f t="shared" si="2"/>
        <v>273206</v>
      </c>
      <c r="L39" s="173">
        <f t="shared" si="1"/>
        <v>3411530</v>
      </c>
      <c r="M39" s="173">
        <f t="shared" si="12"/>
        <v>1888470</v>
      </c>
      <c r="N39" s="173"/>
      <c r="O39" s="173">
        <f t="shared" si="3"/>
        <v>0</v>
      </c>
      <c r="P39" s="173">
        <f t="shared" si="4"/>
        <v>1888470</v>
      </c>
      <c r="Q39" s="173"/>
      <c r="R39" s="173"/>
      <c r="S39" s="173">
        <f t="shared" si="13"/>
        <v>0</v>
      </c>
      <c r="T39" s="173">
        <f t="shared" si="14"/>
        <v>0</v>
      </c>
      <c r="U39" s="173">
        <f t="shared" si="7"/>
        <v>0</v>
      </c>
      <c r="V39" s="173">
        <f t="shared" si="8"/>
        <v>0</v>
      </c>
      <c r="W39" s="173"/>
      <c r="X39" s="173"/>
      <c r="Y39" s="173"/>
      <c r="Z39" s="173"/>
      <c r="AA39" s="172"/>
      <c r="AB39" s="367" t="s">
        <v>598</v>
      </c>
      <c r="AC39" s="611">
        <v>742000</v>
      </c>
    </row>
    <row r="40" spans="1:36" s="176" customFormat="1" ht="30" customHeight="1">
      <c r="A40" s="172">
        <f t="shared" si="9"/>
        <v>36</v>
      </c>
      <c r="B40" s="172">
        <v>1954</v>
      </c>
      <c r="C40" s="172" t="s">
        <v>155</v>
      </c>
      <c r="D40" s="173">
        <v>2000000</v>
      </c>
      <c r="E40" s="173">
        <v>2000000</v>
      </c>
      <c r="F40" s="173">
        <f t="shared" si="0"/>
        <v>0</v>
      </c>
      <c r="G40" s="173">
        <v>2000000</v>
      </c>
      <c r="H40" s="173">
        <v>1238534</v>
      </c>
      <c r="I40" s="173">
        <v>0</v>
      </c>
      <c r="J40" s="173">
        <v>754385</v>
      </c>
      <c r="K40" s="173">
        <f t="shared" si="2"/>
        <v>754385</v>
      </c>
      <c r="L40" s="173">
        <f t="shared" si="1"/>
        <v>1992919</v>
      </c>
      <c r="M40" s="173">
        <f t="shared" si="12"/>
        <v>7081</v>
      </c>
      <c r="N40" s="173"/>
      <c r="O40" s="173">
        <f t="shared" si="3"/>
        <v>0</v>
      </c>
      <c r="P40" s="173">
        <f t="shared" si="4"/>
        <v>7081</v>
      </c>
      <c r="Q40" s="173"/>
      <c r="R40" s="173"/>
      <c r="S40" s="173">
        <f t="shared" si="13"/>
        <v>0</v>
      </c>
      <c r="T40" s="173">
        <f t="shared" si="14"/>
        <v>0</v>
      </c>
      <c r="U40" s="173">
        <f t="shared" si="7"/>
        <v>0</v>
      </c>
      <c r="V40" s="173">
        <f t="shared" si="8"/>
        <v>0</v>
      </c>
      <c r="W40" s="173"/>
      <c r="X40" s="173"/>
      <c r="Y40" s="173"/>
      <c r="Z40" s="173"/>
      <c r="AA40" s="172"/>
      <c r="AB40" s="293" t="s">
        <v>691</v>
      </c>
      <c r="AC40" s="611">
        <v>742000</v>
      </c>
      <c r="AD40" s="284"/>
      <c r="AE40" s="284"/>
      <c r="AF40" s="166"/>
      <c r="AG40" s="166"/>
      <c r="AH40" s="166"/>
      <c r="AI40" s="166"/>
      <c r="AJ40" s="166"/>
    </row>
    <row r="41" spans="1:36" ht="30" customHeight="1">
      <c r="A41" s="172">
        <f t="shared" si="9"/>
        <v>37</v>
      </c>
      <c r="B41" s="292">
        <v>1957</v>
      </c>
      <c r="C41" s="172" t="s">
        <v>379</v>
      </c>
      <c r="D41" s="173">
        <v>60000000</v>
      </c>
      <c r="E41" s="173">
        <v>60000000</v>
      </c>
      <c r="F41" s="173">
        <f t="shared" si="0"/>
        <v>0</v>
      </c>
      <c r="G41" s="173">
        <v>4420000</v>
      </c>
      <c r="H41" s="173">
        <v>2763611</v>
      </c>
      <c r="I41" s="173">
        <v>0</v>
      </c>
      <c r="J41" s="173">
        <v>82619</v>
      </c>
      <c r="K41" s="173">
        <f t="shared" si="2"/>
        <v>82619</v>
      </c>
      <c r="L41" s="173">
        <f t="shared" si="1"/>
        <v>2846230</v>
      </c>
      <c r="M41" s="173">
        <f t="shared" si="12"/>
        <v>1573770</v>
      </c>
      <c r="N41" s="173">
        <f>30000000-29000000</f>
        <v>1000000</v>
      </c>
      <c r="O41" s="173">
        <f t="shared" si="3"/>
        <v>54580000</v>
      </c>
      <c r="P41" s="173">
        <f t="shared" si="4"/>
        <v>1573770</v>
      </c>
      <c r="Q41" s="173"/>
      <c r="R41" s="173"/>
      <c r="S41" s="173">
        <f t="shared" si="13"/>
        <v>0</v>
      </c>
      <c r="T41" s="173">
        <f t="shared" si="14"/>
        <v>0</v>
      </c>
      <c r="U41" s="173">
        <f t="shared" si="7"/>
        <v>1000000</v>
      </c>
      <c r="V41" s="173">
        <f t="shared" si="8"/>
        <v>1000000</v>
      </c>
      <c r="W41" s="173"/>
      <c r="X41" s="173"/>
      <c r="Y41" s="173"/>
      <c r="Z41" s="173"/>
      <c r="AA41" s="172"/>
      <c r="AB41" s="172" t="s">
        <v>1416</v>
      </c>
      <c r="AC41" s="611">
        <v>810000</v>
      </c>
    </row>
    <row r="42" spans="1:36" ht="30" customHeight="1">
      <c r="A42" s="172">
        <f t="shared" si="9"/>
        <v>38</v>
      </c>
      <c r="B42" s="292">
        <v>1961</v>
      </c>
      <c r="C42" s="172" t="s">
        <v>169</v>
      </c>
      <c r="D42" s="173">
        <v>128000000</v>
      </c>
      <c r="E42" s="173">
        <v>128000000</v>
      </c>
      <c r="F42" s="173">
        <f t="shared" si="0"/>
        <v>0</v>
      </c>
      <c r="G42" s="173">
        <v>1500000</v>
      </c>
      <c r="H42" s="173">
        <v>0</v>
      </c>
      <c r="I42" s="173">
        <v>0</v>
      </c>
      <c r="J42" s="173">
        <v>0</v>
      </c>
      <c r="K42" s="173">
        <f t="shared" si="2"/>
        <v>0</v>
      </c>
      <c r="L42" s="173">
        <f t="shared" si="1"/>
        <v>0</v>
      </c>
      <c r="M42" s="173">
        <f>P42+S42-1000000</f>
        <v>500000</v>
      </c>
      <c r="N42" s="173"/>
      <c r="O42" s="173">
        <f t="shared" si="3"/>
        <v>127500000</v>
      </c>
      <c r="P42" s="173">
        <f t="shared" si="4"/>
        <v>1500000</v>
      </c>
      <c r="Q42" s="173"/>
      <c r="R42" s="173"/>
      <c r="S42" s="173">
        <f t="shared" si="13"/>
        <v>0</v>
      </c>
      <c r="T42" s="173">
        <f t="shared" si="14"/>
        <v>1000000</v>
      </c>
      <c r="U42" s="173">
        <f t="shared" si="7"/>
        <v>-1000000</v>
      </c>
      <c r="V42" s="173">
        <f t="shared" si="8"/>
        <v>-1000000</v>
      </c>
      <c r="W42" s="173"/>
      <c r="X42" s="173"/>
      <c r="Y42" s="173"/>
      <c r="Z42" s="173"/>
      <c r="AA42" s="172"/>
      <c r="AB42" s="352" t="s">
        <v>1413</v>
      </c>
      <c r="AC42" s="611">
        <v>742000</v>
      </c>
    </row>
    <row r="43" spans="1:36" ht="30" customHeight="1">
      <c r="A43" s="172">
        <f t="shared" si="9"/>
        <v>39</v>
      </c>
      <c r="B43" s="292">
        <v>1972</v>
      </c>
      <c r="C43" s="172" t="s">
        <v>380</v>
      </c>
      <c r="D43" s="173">
        <v>4470000</v>
      </c>
      <c r="E43" s="173">
        <v>4470000</v>
      </c>
      <c r="F43" s="173">
        <f t="shared" si="0"/>
        <v>0</v>
      </c>
      <c r="G43" s="173">
        <v>4470000</v>
      </c>
      <c r="H43" s="173">
        <v>3896210</v>
      </c>
      <c r="I43" s="173">
        <v>0</v>
      </c>
      <c r="J43" s="173">
        <v>91648</v>
      </c>
      <c r="K43" s="173">
        <f t="shared" si="2"/>
        <v>91648</v>
      </c>
      <c r="L43" s="173">
        <f t="shared" si="1"/>
        <v>3987858</v>
      </c>
      <c r="M43" s="173">
        <f t="shared" si="12"/>
        <v>482142</v>
      </c>
      <c r="N43" s="173"/>
      <c r="O43" s="173">
        <f t="shared" si="3"/>
        <v>0</v>
      </c>
      <c r="P43" s="173">
        <f t="shared" si="4"/>
        <v>482142</v>
      </c>
      <c r="Q43" s="173"/>
      <c r="R43" s="173"/>
      <c r="S43" s="173">
        <f t="shared" si="13"/>
        <v>0</v>
      </c>
      <c r="T43" s="173">
        <f t="shared" si="14"/>
        <v>0</v>
      </c>
      <c r="U43" s="173">
        <f t="shared" si="7"/>
        <v>0</v>
      </c>
      <c r="V43" s="173">
        <f t="shared" si="8"/>
        <v>0</v>
      </c>
      <c r="W43" s="173"/>
      <c r="X43" s="173"/>
      <c r="Y43" s="173"/>
      <c r="Z43" s="173"/>
      <c r="AA43" s="172"/>
      <c r="AB43" s="172" t="s">
        <v>1530</v>
      </c>
      <c r="AC43" s="611">
        <v>746000</v>
      </c>
    </row>
    <row r="44" spans="1:36" s="183" customFormat="1" ht="30" customHeight="1">
      <c r="A44" s="172">
        <f t="shared" si="9"/>
        <v>40</v>
      </c>
      <c r="B44" s="172">
        <v>1998</v>
      </c>
      <c r="C44" s="172" t="s">
        <v>298</v>
      </c>
      <c r="D44" s="173">
        <v>4630000</v>
      </c>
      <c r="E44" s="173">
        <v>4630000</v>
      </c>
      <c r="F44" s="173">
        <f t="shared" si="0"/>
        <v>0</v>
      </c>
      <c r="G44" s="173">
        <v>150000</v>
      </c>
      <c r="H44" s="173">
        <v>12799</v>
      </c>
      <c r="I44" s="173">
        <v>0</v>
      </c>
      <c r="J44" s="173">
        <v>137200</v>
      </c>
      <c r="K44" s="173">
        <f t="shared" si="2"/>
        <v>137200</v>
      </c>
      <c r="L44" s="173">
        <f t="shared" si="1"/>
        <v>149999</v>
      </c>
      <c r="M44" s="173">
        <f t="shared" si="12"/>
        <v>1</v>
      </c>
      <c r="N44" s="173">
        <v>2500000</v>
      </c>
      <c r="O44" s="173">
        <f t="shared" si="3"/>
        <v>1980000</v>
      </c>
      <c r="P44" s="173">
        <f t="shared" si="4"/>
        <v>1</v>
      </c>
      <c r="Q44" s="173"/>
      <c r="R44" s="173"/>
      <c r="S44" s="173">
        <f t="shared" si="13"/>
        <v>0</v>
      </c>
      <c r="T44" s="173">
        <f t="shared" si="14"/>
        <v>0</v>
      </c>
      <c r="U44" s="173">
        <f t="shared" si="7"/>
        <v>2500000</v>
      </c>
      <c r="V44" s="173">
        <f t="shared" si="8"/>
        <v>1500000</v>
      </c>
      <c r="W44" s="173"/>
      <c r="X44" s="173"/>
      <c r="Y44" s="173"/>
      <c r="Z44" s="173"/>
      <c r="AA44" s="173">
        <v>1000000</v>
      </c>
      <c r="AB44" s="172" t="s">
        <v>1531</v>
      </c>
      <c r="AC44" s="612">
        <v>870000</v>
      </c>
      <c r="AD44" s="284"/>
      <c r="AE44" s="284"/>
      <c r="AF44" s="166"/>
      <c r="AG44" s="166"/>
      <c r="AH44" s="166"/>
      <c r="AI44" s="166"/>
      <c r="AJ44" s="166"/>
    </row>
    <row r="45" spans="1:36" s="183" customFormat="1" ht="30" customHeight="1">
      <c r="A45" s="172">
        <f t="shared" si="9"/>
        <v>41</v>
      </c>
      <c r="B45" s="172">
        <v>2002</v>
      </c>
      <c r="C45" s="172" t="s">
        <v>196</v>
      </c>
      <c r="D45" s="173">
        <v>1500000</v>
      </c>
      <c r="E45" s="173">
        <v>1500000</v>
      </c>
      <c r="F45" s="173">
        <f t="shared" si="0"/>
        <v>0</v>
      </c>
      <c r="G45" s="173">
        <v>700000</v>
      </c>
      <c r="H45" s="173">
        <v>133342</v>
      </c>
      <c r="I45" s="173">
        <v>0</v>
      </c>
      <c r="J45" s="173">
        <v>557724</v>
      </c>
      <c r="K45" s="173">
        <f t="shared" si="2"/>
        <v>557724</v>
      </c>
      <c r="L45" s="173">
        <f t="shared" si="1"/>
        <v>691066</v>
      </c>
      <c r="M45" s="173">
        <f t="shared" si="12"/>
        <v>8934</v>
      </c>
      <c r="N45" s="173">
        <f>800000-800000</f>
        <v>0</v>
      </c>
      <c r="O45" s="173">
        <f t="shared" si="3"/>
        <v>800000</v>
      </c>
      <c r="P45" s="173">
        <f t="shared" si="4"/>
        <v>8934</v>
      </c>
      <c r="Q45" s="173"/>
      <c r="R45" s="173"/>
      <c r="S45" s="173">
        <f t="shared" si="13"/>
        <v>0</v>
      </c>
      <c r="T45" s="173">
        <f t="shared" si="14"/>
        <v>0</v>
      </c>
      <c r="U45" s="173">
        <f t="shared" si="7"/>
        <v>0</v>
      </c>
      <c r="V45" s="173">
        <f t="shared" si="8"/>
        <v>0</v>
      </c>
      <c r="W45" s="173"/>
      <c r="X45" s="173"/>
      <c r="Y45" s="173"/>
      <c r="Z45" s="173"/>
      <c r="AA45" s="172"/>
      <c r="AB45" s="172" t="s">
        <v>693</v>
      </c>
      <c r="AC45" s="612">
        <v>742000</v>
      </c>
      <c r="AD45" s="284"/>
      <c r="AE45" s="284"/>
      <c r="AF45" s="166"/>
      <c r="AG45" s="166"/>
      <c r="AH45" s="166"/>
      <c r="AI45" s="166"/>
      <c r="AJ45" s="166"/>
    </row>
    <row r="46" spans="1:36" s="183" customFormat="1" ht="30" customHeight="1">
      <c r="A46" s="172">
        <f t="shared" si="9"/>
        <v>42</v>
      </c>
      <c r="B46" s="172">
        <v>2008</v>
      </c>
      <c r="C46" s="172" t="s">
        <v>356</v>
      </c>
      <c r="D46" s="173">
        <v>2500000</v>
      </c>
      <c r="E46" s="173">
        <v>2500000</v>
      </c>
      <c r="F46" s="173">
        <f t="shared" si="0"/>
        <v>0</v>
      </c>
      <c r="G46" s="173">
        <v>0</v>
      </c>
      <c r="H46" s="173">
        <v>0</v>
      </c>
      <c r="I46" s="173">
        <v>0</v>
      </c>
      <c r="J46" s="173">
        <v>0</v>
      </c>
      <c r="K46" s="173">
        <f t="shared" si="2"/>
        <v>0</v>
      </c>
      <c r="L46" s="173">
        <f t="shared" si="1"/>
        <v>0</v>
      </c>
      <c r="M46" s="173">
        <f t="shared" si="12"/>
        <v>0</v>
      </c>
      <c r="N46" s="173">
        <f>2500000-2500000</f>
        <v>0</v>
      </c>
      <c r="O46" s="173">
        <f t="shared" si="3"/>
        <v>2500000</v>
      </c>
      <c r="P46" s="173">
        <f t="shared" si="4"/>
        <v>0</v>
      </c>
      <c r="Q46" s="173"/>
      <c r="R46" s="173"/>
      <c r="S46" s="173">
        <f t="shared" si="13"/>
        <v>0</v>
      </c>
      <c r="T46" s="173">
        <f t="shared" si="14"/>
        <v>0</v>
      </c>
      <c r="U46" s="173">
        <f t="shared" si="7"/>
        <v>0</v>
      </c>
      <c r="V46" s="173">
        <f t="shared" si="8"/>
        <v>0</v>
      </c>
      <c r="W46" s="173"/>
      <c r="X46" s="173"/>
      <c r="Y46" s="173"/>
      <c r="Z46" s="173"/>
      <c r="AA46" s="172"/>
      <c r="AB46" s="610" t="s">
        <v>1322</v>
      </c>
      <c r="AC46" s="611">
        <v>742000</v>
      </c>
      <c r="AD46" s="284"/>
      <c r="AE46" s="284"/>
      <c r="AF46" s="166"/>
      <c r="AG46" s="166"/>
      <c r="AH46" s="166"/>
      <c r="AI46" s="166"/>
      <c r="AJ46" s="166"/>
    </row>
    <row r="47" spans="1:36" s="5" customFormat="1" ht="30" customHeight="1">
      <c r="A47" s="172">
        <f t="shared" si="9"/>
        <v>43</v>
      </c>
      <c r="B47" s="3">
        <v>2010</v>
      </c>
      <c r="C47" s="3" t="s">
        <v>357</v>
      </c>
      <c r="D47" s="4">
        <v>8000000</v>
      </c>
      <c r="E47" s="4">
        <v>8000000</v>
      </c>
      <c r="F47" s="173">
        <f t="shared" si="0"/>
        <v>0</v>
      </c>
      <c r="G47" s="4">
        <v>0</v>
      </c>
      <c r="H47" s="4">
        <v>0</v>
      </c>
      <c r="I47" s="4">
        <v>0</v>
      </c>
      <c r="J47" s="4">
        <v>0</v>
      </c>
      <c r="K47" s="173">
        <f t="shared" si="2"/>
        <v>0</v>
      </c>
      <c r="L47" s="173">
        <f t="shared" si="1"/>
        <v>0</v>
      </c>
      <c r="M47" s="173">
        <f t="shared" si="12"/>
        <v>0</v>
      </c>
      <c r="N47" s="173">
        <f>1000000-1000000</f>
        <v>0</v>
      </c>
      <c r="O47" s="173">
        <f t="shared" si="3"/>
        <v>8000000</v>
      </c>
      <c r="P47" s="173">
        <f t="shared" si="4"/>
        <v>0</v>
      </c>
      <c r="Q47" s="173"/>
      <c r="R47" s="173"/>
      <c r="S47" s="173">
        <f t="shared" si="13"/>
        <v>0</v>
      </c>
      <c r="T47" s="173">
        <f t="shared" si="14"/>
        <v>0</v>
      </c>
      <c r="U47" s="173">
        <f t="shared" si="7"/>
        <v>0</v>
      </c>
      <c r="V47" s="173">
        <f t="shared" si="8"/>
        <v>0</v>
      </c>
      <c r="W47" s="173"/>
      <c r="X47" s="173"/>
      <c r="Y47" s="173"/>
      <c r="Z47" s="173"/>
      <c r="AA47" s="172"/>
      <c r="AB47" s="3" t="s">
        <v>815</v>
      </c>
      <c r="AC47" s="566">
        <v>742000</v>
      </c>
      <c r="AD47" s="284"/>
      <c r="AE47" s="284"/>
      <c r="AF47" s="166"/>
      <c r="AG47" s="166"/>
      <c r="AH47" s="166"/>
      <c r="AI47" s="166"/>
      <c r="AJ47" s="166"/>
    </row>
    <row r="48" spans="1:36" s="5" customFormat="1" ht="30" customHeight="1">
      <c r="A48" s="172">
        <f t="shared" si="9"/>
        <v>44</v>
      </c>
      <c r="B48" s="3">
        <v>2011</v>
      </c>
      <c r="C48" s="31" t="s">
        <v>1323</v>
      </c>
      <c r="D48" s="4">
        <v>80000000</v>
      </c>
      <c r="E48" s="4">
        <v>80000000</v>
      </c>
      <c r="F48" s="173">
        <f t="shared" si="0"/>
        <v>0</v>
      </c>
      <c r="G48" s="4">
        <v>2000000</v>
      </c>
      <c r="H48" s="4">
        <v>1100424</v>
      </c>
      <c r="I48" s="4">
        <v>0</v>
      </c>
      <c r="J48" s="4">
        <v>23592</v>
      </c>
      <c r="K48" s="173">
        <f t="shared" si="2"/>
        <v>23592</v>
      </c>
      <c r="L48" s="173">
        <f t="shared" si="1"/>
        <v>1124016</v>
      </c>
      <c r="M48" s="173">
        <f t="shared" si="12"/>
        <v>875984</v>
      </c>
      <c r="N48" s="173">
        <f>40000000-10000000-10000000</f>
        <v>20000000</v>
      </c>
      <c r="O48" s="173">
        <f t="shared" si="3"/>
        <v>58000000</v>
      </c>
      <c r="P48" s="173">
        <f t="shared" si="4"/>
        <v>875984</v>
      </c>
      <c r="Q48" s="173"/>
      <c r="R48" s="173"/>
      <c r="S48" s="173">
        <f t="shared" si="13"/>
        <v>0</v>
      </c>
      <c r="T48" s="173">
        <f t="shared" si="14"/>
        <v>0</v>
      </c>
      <c r="U48" s="173">
        <f t="shared" si="7"/>
        <v>20000000</v>
      </c>
      <c r="V48" s="173">
        <f t="shared" si="8"/>
        <v>20000000</v>
      </c>
      <c r="W48" s="173"/>
      <c r="X48" s="173"/>
      <c r="Y48" s="173"/>
      <c r="Z48" s="173"/>
      <c r="AA48" s="172"/>
      <c r="AB48" s="3" t="s">
        <v>1532</v>
      </c>
      <c r="AC48" s="566">
        <v>742000</v>
      </c>
      <c r="AD48" s="284"/>
      <c r="AE48" s="284"/>
      <c r="AF48" s="166"/>
      <c r="AG48" s="166"/>
      <c r="AH48" s="166"/>
      <c r="AI48" s="166"/>
      <c r="AJ48" s="166"/>
    </row>
    <row r="49" spans="1:36" s="183" customFormat="1" ht="42">
      <c r="A49" s="172">
        <f t="shared" si="9"/>
        <v>45</v>
      </c>
      <c r="B49" s="172">
        <v>2015</v>
      </c>
      <c r="C49" s="326" t="s">
        <v>1324</v>
      </c>
      <c r="D49" s="173">
        <v>54000000</v>
      </c>
      <c r="E49" s="173">
        <v>25000000</v>
      </c>
      <c r="F49" s="173">
        <f t="shared" si="0"/>
        <v>29000000</v>
      </c>
      <c r="G49" s="173">
        <v>10500000</v>
      </c>
      <c r="H49" s="173">
        <v>347358</v>
      </c>
      <c r="I49" s="173">
        <v>0</v>
      </c>
      <c r="J49" s="173">
        <v>54169</v>
      </c>
      <c r="K49" s="173">
        <f t="shared" si="2"/>
        <v>54169</v>
      </c>
      <c r="L49" s="173">
        <f t="shared" si="1"/>
        <v>401527</v>
      </c>
      <c r="M49" s="173">
        <f t="shared" si="12"/>
        <v>10098473</v>
      </c>
      <c r="N49" s="173">
        <v>20000000</v>
      </c>
      <c r="O49" s="173">
        <f t="shared" si="3"/>
        <v>23500000</v>
      </c>
      <c r="P49" s="173">
        <f t="shared" si="4"/>
        <v>10098473</v>
      </c>
      <c r="Q49" s="173"/>
      <c r="R49" s="173"/>
      <c r="S49" s="173">
        <f t="shared" si="13"/>
        <v>0</v>
      </c>
      <c r="T49" s="173">
        <f t="shared" si="14"/>
        <v>0</v>
      </c>
      <c r="U49" s="173">
        <f t="shared" si="7"/>
        <v>20000000</v>
      </c>
      <c r="V49" s="173">
        <f t="shared" si="8"/>
        <v>20000000</v>
      </c>
      <c r="W49" s="173"/>
      <c r="X49" s="173"/>
      <c r="Y49" s="173"/>
      <c r="Z49" s="173"/>
      <c r="AA49" s="172"/>
      <c r="AB49" s="172" t="s">
        <v>1325</v>
      </c>
      <c r="AC49" s="611">
        <v>810000</v>
      </c>
      <c r="AD49" s="284"/>
      <c r="AE49" s="284"/>
      <c r="AF49" s="166"/>
      <c r="AG49" s="166"/>
      <c r="AH49" s="166"/>
      <c r="AI49" s="166"/>
      <c r="AJ49" s="166"/>
    </row>
    <row r="50" spans="1:36" ht="35.4" customHeight="1">
      <c r="A50" s="172">
        <f t="shared" si="9"/>
        <v>46</v>
      </c>
      <c r="B50" s="172">
        <v>2017</v>
      </c>
      <c r="C50" s="297" t="s">
        <v>1326</v>
      </c>
      <c r="D50" s="173">
        <v>30000000</v>
      </c>
      <c r="E50" s="173">
        <v>30000000</v>
      </c>
      <c r="F50" s="173">
        <f t="shared" si="0"/>
        <v>0</v>
      </c>
      <c r="G50" s="173">
        <v>2000000</v>
      </c>
      <c r="H50" s="173">
        <v>989653</v>
      </c>
      <c r="I50" s="173">
        <v>0</v>
      </c>
      <c r="J50" s="173">
        <v>53510</v>
      </c>
      <c r="K50" s="173">
        <f t="shared" si="2"/>
        <v>53510</v>
      </c>
      <c r="L50" s="173">
        <f t="shared" si="1"/>
        <v>1043163</v>
      </c>
      <c r="M50" s="173">
        <f t="shared" si="12"/>
        <v>956837</v>
      </c>
      <c r="N50" s="173">
        <f>28000000-13000000-14000000</f>
        <v>1000000</v>
      </c>
      <c r="O50" s="173">
        <f t="shared" si="3"/>
        <v>27000000</v>
      </c>
      <c r="P50" s="173">
        <f t="shared" si="4"/>
        <v>956837</v>
      </c>
      <c r="Q50" s="173"/>
      <c r="R50" s="173"/>
      <c r="S50" s="173">
        <f t="shared" si="13"/>
        <v>0</v>
      </c>
      <c r="T50" s="173">
        <f t="shared" si="14"/>
        <v>0</v>
      </c>
      <c r="U50" s="173">
        <f t="shared" si="7"/>
        <v>1000000</v>
      </c>
      <c r="V50" s="173">
        <f t="shared" si="8"/>
        <v>1000000</v>
      </c>
      <c r="W50" s="173"/>
      <c r="X50" s="173"/>
      <c r="Y50" s="173"/>
      <c r="Z50" s="173"/>
      <c r="AA50" s="172"/>
      <c r="AB50" s="172" t="s">
        <v>1327</v>
      </c>
      <c r="AC50" s="611">
        <v>824000</v>
      </c>
    </row>
    <row r="51" spans="1:36" ht="30" customHeight="1">
      <c r="A51" s="172">
        <f t="shared" si="9"/>
        <v>47</v>
      </c>
      <c r="B51" s="172">
        <v>2018</v>
      </c>
      <c r="C51" s="172" t="s">
        <v>382</v>
      </c>
      <c r="D51" s="173">
        <f>10000000-3400000</f>
        <v>6600000</v>
      </c>
      <c r="E51" s="173">
        <v>10000000</v>
      </c>
      <c r="F51" s="173">
        <f t="shared" si="0"/>
        <v>-3400000</v>
      </c>
      <c r="G51" s="173">
        <v>6600000</v>
      </c>
      <c r="H51" s="173">
        <v>2120183</v>
      </c>
      <c r="I51" s="173">
        <v>0</v>
      </c>
      <c r="J51" s="173">
        <v>127092</v>
      </c>
      <c r="K51" s="173">
        <f t="shared" si="2"/>
        <v>127092</v>
      </c>
      <c r="L51" s="173">
        <f t="shared" si="1"/>
        <v>2247275</v>
      </c>
      <c r="M51" s="173">
        <f t="shared" si="12"/>
        <v>4352725</v>
      </c>
      <c r="N51" s="173"/>
      <c r="O51" s="173">
        <f t="shared" si="3"/>
        <v>0</v>
      </c>
      <c r="P51" s="173">
        <f t="shared" si="4"/>
        <v>4352725</v>
      </c>
      <c r="Q51" s="173"/>
      <c r="R51" s="173"/>
      <c r="S51" s="173">
        <f t="shared" si="13"/>
        <v>0</v>
      </c>
      <c r="T51" s="173">
        <f t="shared" si="14"/>
        <v>0</v>
      </c>
      <c r="U51" s="173">
        <f t="shared" si="7"/>
        <v>0</v>
      </c>
      <c r="V51" s="173">
        <f t="shared" si="8"/>
        <v>0</v>
      </c>
      <c r="W51" s="173"/>
      <c r="X51" s="173"/>
      <c r="Y51" s="173"/>
      <c r="Z51" s="173"/>
      <c r="AA51" s="172"/>
      <c r="AB51" s="297" t="s">
        <v>817</v>
      </c>
      <c r="AC51" s="611">
        <v>742000</v>
      </c>
    </row>
    <row r="52" spans="1:36" ht="30" customHeight="1">
      <c r="A52" s="172">
        <f t="shared" si="9"/>
        <v>48</v>
      </c>
      <c r="B52" s="172">
        <v>2019</v>
      </c>
      <c r="C52" s="172" t="s">
        <v>383</v>
      </c>
      <c r="D52" s="173">
        <v>1200000</v>
      </c>
      <c r="E52" s="173">
        <v>1200000</v>
      </c>
      <c r="F52" s="173">
        <f t="shared" si="0"/>
        <v>0</v>
      </c>
      <c r="G52" s="173">
        <v>1200000</v>
      </c>
      <c r="H52" s="173">
        <v>868488</v>
      </c>
      <c r="I52" s="173">
        <v>0</v>
      </c>
      <c r="J52" s="173">
        <v>331509</v>
      </c>
      <c r="K52" s="173">
        <f t="shared" si="2"/>
        <v>331509</v>
      </c>
      <c r="L52" s="173">
        <f t="shared" si="1"/>
        <v>1199997</v>
      </c>
      <c r="M52" s="173">
        <f t="shared" si="12"/>
        <v>3</v>
      </c>
      <c r="N52" s="173"/>
      <c r="O52" s="173">
        <f t="shared" si="3"/>
        <v>0</v>
      </c>
      <c r="P52" s="173">
        <f t="shared" si="4"/>
        <v>3</v>
      </c>
      <c r="Q52" s="173"/>
      <c r="R52" s="173"/>
      <c r="S52" s="173">
        <f t="shared" si="13"/>
        <v>0</v>
      </c>
      <c r="T52" s="173">
        <f t="shared" si="14"/>
        <v>0</v>
      </c>
      <c r="U52" s="173">
        <f t="shared" si="7"/>
        <v>0</v>
      </c>
      <c r="V52" s="173">
        <f t="shared" si="8"/>
        <v>0</v>
      </c>
      <c r="W52" s="173"/>
      <c r="X52" s="173"/>
      <c r="Y52" s="173"/>
      <c r="Z52" s="173"/>
      <c r="AA52" s="172"/>
      <c r="AB52" s="172" t="s">
        <v>1535</v>
      </c>
      <c r="AC52" s="611">
        <v>742000</v>
      </c>
    </row>
    <row r="53" spans="1:36" s="176" customFormat="1" ht="30" customHeight="1">
      <c r="A53" s="172">
        <f t="shared" si="9"/>
        <v>49</v>
      </c>
      <c r="B53" s="172">
        <v>2021</v>
      </c>
      <c r="C53" s="172" t="s">
        <v>305</v>
      </c>
      <c r="D53" s="173">
        <v>8200000</v>
      </c>
      <c r="E53" s="173">
        <v>8200000</v>
      </c>
      <c r="F53" s="173">
        <f t="shared" si="0"/>
        <v>0</v>
      </c>
      <c r="G53" s="173">
        <v>150000</v>
      </c>
      <c r="H53" s="173">
        <v>40865</v>
      </c>
      <c r="I53" s="173">
        <v>0</v>
      </c>
      <c r="J53" s="173">
        <v>0</v>
      </c>
      <c r="K53" s="173">
        <f t="shared" si="2"/>
        <v>0</v>
      </c>
      <c r="L53" s="173">
        <f t="shared" si="1"/>
        <v>40865</v>
      </c>
      <c r="M53" s="173">
        <f t="shared" si="12"/>
        <v>109135</v>
      </c>
      <c r="N53" s="173"/>
      <c r="O53" s="173">
        <f t="shared" si="3"/>
        <v>8050000</v>
      </c>
      <c r="P53" s="173">
        <f t="shared" si="4"/>
        <v>109135</v>
      </c>
      <c r="Q53" s="173"/>
      <c r="R53" s="173"/>
      <c r="S53" s="173">
        <f t="shared" si="13"/>
        <v>0</v>
      </c>
      <c r="T53" s="173">
        <f t="shared" si="14"/>
        <v>0</v>
      </c>
      <c r="U53" s="173">
        <f t="shared" si="7"/>
        <v>0</v>
      </c>
      <c r="V53" s="173">
        <f t="shared" si="8"/>
        <v>0</v>
      </c>
      <c r="W53" s="173"/>
      <c r="X53" s="173"/>
      <c r="Y53" s="173"/>
      <c r="Z53" s="173"/>
      <c r="AA53" s="172"/>
      <c r="AB53" s="172" t="s">
        <v>858</v>
      </c>
      <c r="AC53" s="611">
        <v>850000</v>
      </c>
      <c r="AD53" s="284"/>
      <c r="AE53" s="284"/>
      <c r="AF53" s="166"/>
      <c r="AG53" s="166"/>
      <c r="AH53" s="166"/>
      <c r="AI53" s="166"/>
      <c r="AJ53" s="166"/>
    </row>
    <row r="54" spans="1:36" s="176" customFormat="1" ht="30" customHeight="1">
      <c r="A54" s="172">
        <f t="shared" si="9"/>
        <v>50</v>
      </c>
      <c r="B54" s="172">
        <v>2022</v>
      </c>
      <c r="C54" s="172" t="s">
        <v>1523</v>
      </c>
      <c r="D54" s="173">
        <f>20000000-6000000</f>
        <v>14000000</v>
      </c>
      <c r="E54" s="173">
        <v>20000000</v>
      </c>
      <c r="F54" s="173">
        <f t="shared" si="0"/>
        <v>-6000000</v>
      </c>
      <c r="G54" s="173">
        <v>12100000</v>
      </c>
      <c r="H54" s="173">
        <v>82941</v>
      </c>
      <c r="I54" s="173">
        <v>0</v>
      </c>
      <c r="J54" s="173">
        <v>72242</v>
      </c>
      <c r="K54" s="173">
        <f t="shared" si="2"/>
        <v>72242</v>
      </c>
      <c r="L54" s="173">
        <f t="shared" si="1"/>
        <v>155183</v>
      </c>
      <c r="M54" s="173">
        <f t="shared" si="12"/>
        <v>11944817</v>
      </c>
      <c r="N54" s="173">
        <v>1900000</v>
      </c>
      <c r="O54" s="173">
        <f t="shared" si="3"/>
        <v>0</v>
      </c>
      <c r="P54" s="173">
        <f t="shared" si="4"/>
        <v>11944817</v>
      </c>
      <c r="Q54" s="173"/>
      <c r="R54" s="173"/>
      <c r="S54" s="173">
        <f t="shared" si="13"/>
        <v>0</v>
      </c>
      <c r="T54" s="173">
        <f t="shared" si="14"/>
        <v>0</v>
      </c>
      <c r="U54" s="173">
        <f t="shared" si="7"/>
        <v>1900000</v>
      </c>
      <c r="V54" s="173">
        <f t="shared" si="8"/>
        <v>1900000</v>
      </c>
      <c r="W54" s="173"/>
      <c r="X54" s="173"/>
      <c r="Y54" s="173"/>
      <c r="Z54" s="173"/>
      <c r="AA54" s="172"/>
      <c r="AB54" s="172" t="s">
        <v>1328</v>
      </c>
      <c r="AC54" s="611">
        <v>829000</v>
      </c>
      <c r="AD54" s="284"/>
      <c r="AE54" s="284"/>
      <c r="AF54" s="166"/>
      <c r="AG54" s="166"/>
      <c r="AH54" s="166"/>
      <c r="AI54" s="166"/>
      <c r="AJ54" s="166"/>
    </row>
    <row r="55" spans="1:36" s="176" customFormat="1" ht="30" customHeight="1">
      <c r="A55" s="172">
        <f t="shared" si="9"/>
        <v>51</v>
      </c>
      <c r="B55" s="172">
        <v>2023</v>
      </c>
      <c r="C55" s="172" t="s">
        <v>384</v>
      </c>
      <c r="D55" s="173">
        <v>7340000</v>
      </c>
      <c r="E55" s="173">
        <v>7340000</v>
      </c>
      <c r="F55" s="173">
        <f t="shared" si="0"/>
        <v>0</v>
      </c>
      <c r="G55" s="173">
        <v>230000</v>
      </c>
      <c r="H55" s="173">
        <v>225703</v>
      </c>
      <c r="I55" s="173">
        <v>0</v>
      </c>
      <c r="J55" s="173">
        <v>0</v>
      </c>
      <c r="K55" s="173">
        <f t="shared" si="2"/>
        <v>0</v>
      </c>
      <c r="L55" s="173">
        <f t="shared" si="1"/>
        <v>225703</v>
      </c>
      <c r="M55" s="173">
        <f t="shared" si="12"/>
        <v>4297</v>
      </c>
      <c r="N55" s="173"/>
      <c r="O55" s="173">
        <f t="shared" si="3"/>
        <v>7110000</v>
      </c>
      <c r="P55" s="173">
        <f t="shared" si="4"/>
        <v>4297</v>
      </c>
      <c r="Q55" s="173"/>
      <c r="R55" s="173"/>
      <c r="S55" s="173">
        <f t="shared" si="13"/>
        <v>0</v>
      </c>
      <c r="T55" s="173">
        <f t="shared" si="14"/>
        <v>0</v>
      </c>
      <c r="U55" s="173">
        <f t="shared" si="7"/>
        <v>0</v>
      </c>
      <c r="V55" s="173">
        <f t="shared" si="8"/>
        <v>0</v>
      </c>
      <c r="W55" s="173"/>
      <c r="X55" s="173"/>
      <c r="Y55" s="173"/>
      <c r="Z55" s="173"/>
      <c r="AA55" s="172"/>
      <c r="AB55" s="172" t="s">
        <v>1447</v>
      </c>
      <c r="AC55" s="611">
        <v>810000</v>
      </c>
      <c r="AD55" s="284"/>
      <c r="AE55" s="284"/>
      <c r="AF55" s="166"/>
      <c r="AG55" s="166"/>
      <c r="AH55" s="166"/>
      <c r="AI55" s="166"/>
      <c r="AJ55" s="166"/>
    </row>
    <row r="56" spans="1:36" s="176" customFormat="1" ht="30" customHeight="1">
      <c r="A56" s="172">
        <f t="shared" si="9"/>
        <v>52</v>
      </c>
      <c r="B56" s="172">
        <v>2024</v>
      </c>
      <c r="C56" s="172" t="s">
        <v>385</v>
      </c>
      <c r="D56" s="173">
        <f>7340000+8960000</f>
        <v>16300000</v>
      </c>
      <c r="E56" s="173">
        <v>16300000</v>
      </c>
      <c r="F56" s="173">
        <f t="shared" si="0"/>
        <v>0</v>
      </c>
      <c r="G56" s="173">
        <f>7340000+2700000</f>
        <v>10040000</v>
      </c>
      <c r="H56" s="173">
        <v>529871</v>
      </c>
      <c r="I56" s="173">
        <v>0</v>
      </c>
      <c r="J56" s="173">
        <v>88610</v>
      </c>
      <c r="K56" s="173">
        <f t="shared" si="2"/>
        <v>88610</v>
      </c>
      <c r="L56" s="173">
        <f t="shared" si="1"/>
        <v>618481</v>
      </c>
      <c r="M56" s="173">
        <f t="shared" si="12"/>
        <v>9421519</v>
      </c>
      <c r="N56" s="173">
        <v>6260000</v>
      </c>
      <c r="O56" s="173">
        <f t="shared" si="3"/>
        <v>0</v>
      </c>
      <c r="P56" s="173">
        <f t="shared" si="4"/>
        <v>9421519</v>
      </c>
      <c r="Q56" s="173"/>
      <c r="R56" s="173"/>
      <c r="S56" s="173">
        <f t="shared" ref="S56:S93" si="15">SUM(Q56:R56)</f>
        <v>0</v>
      </c>
      <c r="T56" s="173">
        <f t="shared" ref="T56:T93" si="16">P56-M56+S56</f>
        <v>0</v>
      </c>
      <c r="U56" s="173">
        <f t="shared" si="7"/>
        <v>6260000</v>
      </c>
      <c r="V56" s="173">
        <f t="shared" si="8"/>
        <v>6260000</v>
      </c>
      <c r="W56" s="173"/>
      <c r="X56" s="173"/>
      <c r="Y56" s="173"/>
      <c r="Z56" s="173"/>
      <c r="AA56" s="172"/>
      <c r="AB56" s="172" t="s">
        <v>1470</v>
      </c>
      <c r="AC56" s="611">
        <v>810000</v>
      </c>
      <c r="AD56" s="284"/>
      <c r="AE56" s="284"/>
      <c r="AF56" s="166"/>
      <c r="AG56" s="166"/>
      <c r="AH56" s="166"/>
      <c r="AI56" s="166"/>
      <c r="AJ56" s="166"/>
    </row>
    <row r="57" spans="1:36" s="176" customFormat="1" ht="30" customHeight="1">
      <c r="A57" s="172">
        <f t="shared" si="9"/>
        <v>53</v>
      </c>
      <c r="B57" s="172">
        <v>2025</v>
      </c>
      <c r="C57" s="172" t="s">
        <v>386</v>
      </c>
      <c r="D57" s="173">
        <v>2600000</v>
      </c>
      <c r="E57" s="173">
        <v>2600000</v>
      </c>
      <c r="F57" s="173">
        <f t="shared" si="0"/>
        <v>0</v>
      </c>
      <c r="G57" s="173">
        <v>2600000</v>
      </c>
      <c r="H57" s="173">
        <v>2187801</v>
      </c>
      <c r="I57" s="173">
        <v>0</v>
      </c>
      <c r="J57" s="173">
        <v>337758</v>
      </c>
      <c r="K57" s="173">
        <f t="shared" si="2"/>
        <v>337758</v>
      </c>
      <c r="L57" s="173">
        <f t="shared" si="1"/>
        <v>2525559</v>
      </c>
      <c r="M57" s="173">
        <f t="shared" si="12"/>
        <v>74441</v>
      </c>
      <c r="N57" s="173"/>
      <c r="O57" s="173">
        <f t="shared" si="3"/>
        <v>0</v>
      </c>
      <c r="P57" s="173">
        <f t="shared" si="4"/>
        <v>74441</v>
      </c>
      <c r="Q57" s="173"/>
      <c r="R57" s="173"/>
      <c r="S57" s="173">
        <f t="shared" si="15"/>
        <v>0</v>
      </c>
      <c r="T57" s="173">
        <f t="shared" si="16"/>
        <v>0</v>
      </c>
      <c r="U57" s="173">
        <f t="shared" si="7"/>
        <v>0</v>
      </c>
      <c r="V57" s="173">
        <f t="shared" si="8"/>
        <v>0</v>
      </c>
      <c r="W57" s="173"/>
      <c r="X57" s="173"/>
      <c r="Y57" s="173"/>
      <c r="Z57" s="173"/>
      <c r="AA57" s="172"/>
      <c r="AB57" s="172" t="s">
        <v>1533</v>
      </c>
      <c r="AC57" s="611">
        <v>810000</v>
      </c>
      <c r="AD57" s="284"/>
      <c r="AE57" s="284"/>
      <c r="AF57" s="166"/>
      <c r="AG57" s="166"/>
      <c r="AH57" s="166"/>
      <c r="AI57" s="166"/>
      <c r="AJ57" s="166"/>
    </row>
    <row r="58" spans="1:36" s="176" customFormat="1" ht="30" customHeight="1">
      <c r="A58" s="172">
        <f t="shared" si="9"/>
        <v>54</v>
      </c>
      <c r="B58" s="172">
        <v>2026</v>
      </c>
      <c r="C58" s="172" t="s">
        <v>696</v>
      </c>
      <c r="D58" s="173">
        <v>8200000</v>
      </c>
      <c r="E58" s="173">
        <v>8200000</v>
      </c>
      <c r="F58" s="173">
        <f t="shared" si="0"/>
        <v>0</v>
      </c>
      <c r="G58" s="173">
        <v>8200000</v>
      </c>
      <c r="H58" s="173">
        <v>7555196</v>
      </c>
      <c r="I58" s="173">
        <v>0</v>
      </c>
      <c r="J58" s="173">
        <v>257213</v>
      </c>
      <c r="K58" s="173">
        <f t="shared" si="2"/>
        <v>257213</v>
      </c>
      <c r="L58" s="173">
        <f t="shared" si="1"/>
        <v>7812409</v>
      </c>
      <c r="M58" s="173">
        <f t="shared" si="12"/>
        <v>387591</v>
      </c>
      <c r="N58" s="173"/>
      <c r="O58" s="173">
        <f t="shared" si="3"/>
        <v>0</v>
      </c>
      <c r="P58" s="173">
        <f t="shared" si="4"/>
        <v>387591</v>
      </c>
      <c r="Q58" s="173"/>
      <c r="R58" s="173"/>
      <c r="S58" s="173">
        <f t="shared" si="15"/>
        <v>0</v>
      </c>
      <c r="T58" s="173">
        <f t="shared" si="16"/>
        <v>0</v>
      </c>
      <c r="U58" s="173">
        <f t="shared" si="7"/>
        <v>0</v>
      </c>
      <c r="V58" s="173">
        <f t="shared" si="8"/>
        <v>0</v>
      </c>
      <c r="W58" s="173"/>
      <c r="X58" s="173"/>
      <c r="Y58" s="173"/>
      <c r="Z58" s="173"/>
      <c r="AA58" s="172"/>
      <c r="AB58" s="172" t="s">
        <v>1534</v>
      </c>
      <c r="AC58" s="611">
        <v>810000</v>
      </c>
      <c r="AD58" s="284"/>
      <c r="AE58" s="284"/>
      <c r="AF58" s="166"/>
      <c r="AG58" s="166"/>
      <c r="AH58" s="166"/>
      <c r="AI58" s="166"/>
      <c r="AJ58" s="166"/>
    </row>
    <row r="59" spans="1:36" ht="30" customHeight="1">
      <c r="A59" s="172">
        <f t="shared" si="9"/>
        <v>55</v>
      </c>
      <c r="B59" s="292">
        <v>2059</v>
      </c>
      <c r="C59" s="172" t="s">
        <v>359</v>
      </c>
      <c r="D59" s="173">
        <v>2610000</v>
      </c>
      <c r="E59" s="173">
        <v>2610000</v>
      </c>
      <c r="F59" s="173">
        <f t="shared" si="0"/>
        <v>0</v>
      </c>
      <c r="G59" s="173">
        <v>350000</v>
      </c>
      <c r="H59" s="173">
        <v>128100</v>
      </c>
      <c r="I59" s="173">
        <v>0</v>
      </c>
      <c r="J59" s="173">
        <v>221713</v>
      </c>
      <c r="K59" s="173">
        <f t="shared" si="2"/>
        <v>221713</v>
      </c>
      <c r="L59" s="173">
        <f t="shared" si="1"/>
        <v>349813</v>
      </c>
      <c r="M59" s="173">
        <f t="shared" si="12"/>
        <v>187</v>
      </c>
      <c r="N59" s="173">
        <f>2260000-2260000</f>
        <v>0</v>
      </c>
      <c r="O59" s="173">
        <f t="shared" si="3"/>
        <v>2260000</v>
      </c>
      <c r="P59" s="173">
        <f t="shared" si="4"/>
        <v>187</v>
      </c>
      <c r="Q59" s="173"/>
      <c r="R59" s="173"/>
      <c r="S59" s="173">
        <f t="shared" si="15"/>
        <v>0</v>
      </c>
      <c r="T59" s="173">
        <f t="shared" si="16"/>
        <v>0</v>
      </c>
      <c r="U59" s="173">
        <f t="shared" si="7"/>
        <v>0</v>
      </c>
      <c r="V59" s="173">
        <f t="shared" si="8"/>
        <v>0</v>
      </c>
      <c r="W59" s="173"/>
      <c r="X59" s="173"/>
      <c r="Y59" s="173"/>
      <c r="Z59" s="173"/>
      <c r="AA59" s="172"/>
      <c r="AB59" s="172" t="s">
        <v>1329</v>
      </c>
      <c r="AC59" s="611">
        <v>826000</v>
      </c>
    </row>
    <row r="60" spans="1:36" ht="30" customHeight="1">
      <c r="A60" s="172">
        <f t="shared" si="9"/>
        <v>56</v>
      </c>
      <c r="B60" s="292">
        <v>2064</v>
      </c>
      <c r="C60" s="172" t="s">
        <v>300</v>
      </c>
      <c r="D60" s="173">
        <v>6281000</v>
      </c>
      <c r="E60" s="173">
        <v>6281000</v>
      </c>
      <c r="F60" s="173">
        <f t="shared" si="0"/>
        <v>0</v>
      </c>
      <c r="G60" s="173">
        <v>864000</v>
      </c>
      <c r="H60" s="173">
        <v>833705</v>
      </c>
      <c r="I60" s="173">
        <v>0</v>
      </c>
      <c r="J60" s="173">
        <v>21262</v>
      </c>
      <c r="K60" s="173">
        <f t="shared" si="2"/>
        <v>21262</v>
      </c>
      <c r="L60" s="173">
        <f t="shared" si="1"/>
        <v>854967</v>
      </c>
      <c r="M60" s="173">
        <f t="shared" si="12"/>
        <v>9033</v>
      </c>
      <c r="N60" s="173">
        <f>2600000-2600000</f>
        <v>0</v>
      </c>
      <c r="O60" s="173">
        <f t="shared" si="3"/>
        <v>5417000</v>
      </c>
      <c r="P60" s="173">
        <f t="shared" si="4"/>
        <v>9033</v>
      </c>
      <c r="Q60" s="173"/>
      <c r="R60" s="173"/>
      <c r="S60" s="173">
        <f t="shared" si="15"/>
        <v>0</v>
      </c>
      <c r="T60" s="173">
        <f t="shared" si="16"/>
        <v>0</v>
      </c>
      <c r="U60" s="173">
        <f t="shared" si="7"/>
        <v>0</v>
      </c>
      <c r="V60" s="173">
        <f t="shared" si="8"/>
        <v>0</v>
      </c>
      <c r="W60" s="173"/>
      <c r="X60" s="173"/>
      <c r="Y60" s="173"/>
      <c r="Z60" s="173"/>
      <c r="AA60" s="172"/>
      <c r="AB60" s="172" t="s">
        <v>537</v>
      </c>
      <c r="AC60" s="611">
        <v>829000</v>
      </c>
    </row>
    <row r="61" spans="1:36" ht="42">
      <c r="A61" s="172">
        <f t="shared" si="9"/>
        <v>57</v>
      </c>
      <c r="B61" s="292">
        <v>2073</v>
      </c>
      <c r="C61" s="297" t="s">
        <v>1330</v>
      </c>
      <c r="D61" s="173">
        <v>11350000</v>
      </c>
      <c r="E61" s="173">
        <v>11350000</v>
      </c>
      <c r="F61" s="173">
        <f t="shared" si="0"/>
        <v>0</v>
      </c>
      <c r="G61" s="173">
        <v>850000</v>
      </c>
      <c r="H61" s="173">
        <v>23564</v>
      </c>
      <c r="I61" s="173">
        <v>0</v>
      </c>
      <c r="J61" s="173">
        <v>93436</v>
      </c>
      <c r="K61" s="173">
        <f t="shared" si="2"/>
        <v>93436</v>
      </c>
      <c r="L61" s="173">
        <f t="shared" si="1"/>
        <v>117000</v>
      </c>
      <c r="M61" s="173">
        <f t="shared" si="12"/>
        <v>733000</v>
      </c>
      <c r="N61" s="173">
        <v>750000</v>
      </c>
      <c r="O61" s="173">
        <f t="shared" si="3"/>
        <v>9750000</v>
      </c>
      <c r="P61" s="173">
        <f t="shared" si="4"/>
        <v>733000</v>
      </c>
      <c r="Q61" s="173"/>
      <c r="R61" s="173"/>
      <c r="S61" s="173">
        <f t="shared" si="15"/>
        <v>0</v>
      </c>
      <c r="T61" s="173">
        <f t="shared" si="16"/>
        <v>0</v>
      </c>
      <c r="U61" s="173">
        <f t="shared" si="7"/>
        <v>750000</v>
      </c>
      <c r="V61" s="173">
        <f t="shared" si="8"/>
        <v>750000</v>
      </c>
      <c r="W61" s="173"/>
      <c r="X61" s="173"/>
      <c r="Y61" s="173"/>
      <c r="Z61" s="173"/>
      <c r="AA61" s="172"/>
      <c r="AB61" s="172" t="s">
        <v>1448</v>
      </c>
      <c r="AC61" s="611">
        <v>829000</v>
      </c>
    </row>
    <row r="62" spans="1:36" ht="30" customHeight="1">
      <c r="A62" s="172">
        <f t="shared" si="9"/>
        <v>58</v>
      </c>
      <c r="B62" s="292">
        <v>2076</v>
      </c>
      <c r="C62" s="172" t="s">
        <v>387</v>
      </c>
      <c r="D62" s="173">
        <f>1450000+900000</f>
        <v>2350000</v>
      </c>
      <c r="E62" s="173">
        <v>1450000</v>
      </c>
      <c r="F62" s="173">
        <f t="shared" si="0"/>
        <v>900000</v>
      </c>
      <c r="G62" s="173">
        <v>1450000</v>
      </c>
      <c r="H62" s="173">
        <v>35648</v>
      </c>
      <c r="I62" s="173">
        <v>0</v>
      </c>
      <c r="J62" s="173">
        <v>214350</v>
      </c>
      <c r="K62" s="173">
        <f t="shared" si="2"/>
        <v>214350</v>
      </c>
      <c r="L62" s="173">
        <f t="shared" si="1"/>
        <v>249998</v>
      </c>
      <c r="M62" s="173">
        <f t="shared" si="12"/>
        <v>1200002</v>
      </c>
      <c r="N62" s="173">
        <f>900000-900000</f>
        <v>0</v>
      </c>
      <c r="O62" s="173">
        <f t="shared" si="3"/>
        <v>900000</v>
      </c>
      <c r="P62" s="173">
        <f t="shared" si="4"/>
        <v>1200002</v>
      </c>
      <c r="Q62" s="173"/>
      <c r="R62" s="173"/>
      <c r="S62" s="173">
        <f t="shared" si="15"/>
        <v>0</v>
      </c>
      <c r="T62" s="173">
        <f t="shared" si="16"/>
        <v>0</v>
      </c>
      <c r="U62" s="173">
        <f t="shared" si="7"/>
        <v>0</v>
      </c>
      <c r="V62" s="173">
        <f t="shared" si="8"/>
        <v>0</v>
      </c>
      <c r="W62" s="173"/>
      <c r="X62" s="173"/>
      <c r="Y62" s="173"/>
      <c r="Z62" s="173"/>
      <c r="AA62" s="172"/>
      <c r="AB62" s="172" t="s">
        <v>466</v>
      </c>
      <c r="AC62" s="611">
        <v>850000</v>
      </c>
    </row>
    <row r="63" spans="1:36" s="5" customFormat="1" ht="30" customHeight="1">
      <c r="A63" s="172">
        <f t="shared" si="9"/>
        <v>59</v>
      </c>
      <c r="B63" s="3">
        <v>2078</v>
      </c>
      <c r="C63" s="3" t="s">
        <v>361</v>
      </c>
      <c r="D63" s="4">
        <v>4200000</v>
      </c>
      <c r="E63" s="4">
        <v>4200000</v>
      </c>
      <c r="F63" s="173">
        <f t="shared" si="0"/>
        <v>0</v>
      </c>
      <c r="G63" s="4">
        <v>1960000</v>
      </c>
      <c r="H63" s="4">
        <v>156098</v>
      </c>
      <c r="I63" s="4">
        <v>0</v>
      </c>
      <c r="J63" s="4">
        <v>43900</v>
      </c>
      <c r="K63" s="173">
        <f t="shared" si="2"/>
        <v>43900</v>
      </c>
      <c r="L63" s="173">
        <f t="shared" si="1"/>
        <v>199998</v>
      </c>
      <c r="M63" s="173">
        <f t="shared" si="12"/>
        <v>1760002</v>
      </c>
      <c r="N63" s="173">
        <f>2240000-2240000</f>
        <v>0</v>
      </c>
      <c r="O63" s="173">
        <f t="shared" si="3"/>
        <v>2240000</v>
      </c>
      <c r="P63" s="173">
        <f t="shared" si="4"/>
        <v>1760002</v>
      </c>
      <c r="Q63" s="173"/>
      <c r="R63" s="173"/>
      <c r="S63" s="173">
        <f t="shared" si="15"/>
        <v>0</v>
      </c>
      <c r="T63" s="173">
        <f t="shared" si="16"/>
        <v>0</v>
      </c>
      <c r="U63" s="173">
        <f t="shared" si="7"/>
        <v>0</v>
      </c>
      <c r="V63" s="173">
        <f t="shared" si="8"/>
        <v>0</v>
      </c>
      <c r="W63" s="173"/>
      <c r="X63" s="173"/>
      <c r="Y63" s="173"/>
      <c r="Z63" s="173"/>
      <c r="AA63" s="172"/>
      <c r="AB63" s="3" t="s">
        <v>532</v>
      </c>
      <c r="AC63" s="566">
        <v>742000</v>
      </c>
      <c r="AD63" s="284"/>
      <c r="AE63" s="284"/>
      <c r="AF63" s="166"/>
      <c r="AG63" s="166"/>
      <c r="AH63" s="166"/>
      <c r="AI63" s="166"/>
      <c r="AJ63" s="166"/>
    </row>
    <row r="64" spans="1:36" ht="30" customHeight="1">
      <c r="A64" s="172">
        <f t="shared" si="9"/>
        <v>60</v>
      </c>
      <c r="B64" s="31">
        <v>2079</v>
      </c>
      <c r="C64" s="172" t="s">
        <v>388</v>
      </c>
      <c r="D64" s="173">
        <v>3100000</v>
      </c>
      <c r="E64" s="173">
        <v>3100000</v>
      </c>
      <c r="F64" s="173">
        <f t="shared" si="0"/>
        <v>0</v>
      </c>
      <c r="G64" s="173">
        <v>500000</v>
      </c>
      <c r="H64" s="173">
        <f>82664-1</f>
        <v>82663</v>
      </c>
      <c r="I64" s="173">
        <v>0</v>
      </c>
      <c r="J64" s="173">
        <v>417337</v>
      </c>
      <c r="K64" s="173">
        <f t="shared" si="2"/>
        <v>417337</v>
      </c>
      <c r="L64" s="173">
        <f t="shared" si="1"/>
        <v>500000</v>
      </c>
      <c r="M64" s="173">
        <f t="shared" si="12"/>
        <v>0</v>
      </c>
      <c r="N64" s="173">
        <v>2600000</v>
      </c>
      <c r="O64" s="173">
        <f t="shared" si="3"/>
        <v>0</v>
      </c>
      <c r="P64" s="173">
        <f t="shared" si="4"/>
        <v>0</v>
      </c>
      <c r="Q64" s="173"/>
      <c r="R64" s="173"/>
      <c r="S64" s="173">
        <f t="shared" si="15"/>
        <v>0</v>
      </c>
      <c r="T64" s="173">
        <f t="shared" si="16"/>
        <v>0</v>
      </c>
      <c r="U64" s="173">
        <f t="shared" si="7"/>
        <v>2600000</v>
      </c>
      <c r="V64" s="173">
        <f t="shared" si="8"/>
        <v>2600000</v>
      </c>
      <c r="W64" s="173"/>
      <c r="X64" s="173"/>
      <c r="Y64" s="173"/>
      <c r="Z64" s="173"/>
      <c r="AA64" s="172"/>
      <c r="AB64" s="293" t="s">
        <v>1699</v>
      </c>
      <c r="AC64" s="611">
        <v>840000</v>
      </c>
    </row>
    <row r="65" spans="1:36" ht="30" customHeight="1">
      <c r="A65" s="172">
        <f t="shared" si="9"/>
        <v>61</v>
      </c>
      <c r="B65" s="31">
        <v>2080</v>
      </c>
      <c r="C65" s="172" t="s">
        <v>389</v>
      </c>
      <c r="D65" s="173">
        <v>2400000</v>
      </c>
      <c r="E65" s="173">
        <v>2400000</v>
      </c>
      <c r="F65" s="173">
        <f t="shared" si="0"/>
        <v>0</v>
      </c>
      <c r="G65" s="173">
        <v>2400000</v>
      </c>
      <c r="H65" s="173">
        <v>1705114</v>
      </c>
      <c r="I65" s="173">
        <v>0</v>
      </c>
      <c r="J65" s="173">
        <v>262255</v>
      </c>
      <c r="K65" s="173">
        <f t="shared" si="2"/>
        <v>262255</v>
      </c>
      <c r="L65" s="173">
        <f t="shared" si="1"/>
        <v>1967369</v>
      </c>
      <c r="M65" s="173">
        <f t="shared" si="12"/>
        <v>432631</v>
      </c>
      <c r="N65" s="173"/>
      <c r="O65" s="173">
        <f t="shared" si="3"/>
        <v>0</v>
      </c>
      <c r="P65" s="173">
        <f t="shared" si="4"/>
        <v>432631</v>
      </c>
      <c r="Q65" s="173"/>
      <c r="R65" s="173"/>
      <c r="S65" s="173">
        <f t="shared" si="15"/>
        <v>0</v>
      </c>
      <c r="T65" s="173">
        <f t="shared" si="16"/>
        <v>0</v>
      </c>
      <c r="U65" s="173">
        <f t="shared" si="7"/>
        <v>0</v>
      </c>
      <c r="V65" s="173">
        <f t="shared" si="8"/>
        <v>0</v>
      </c>
      <c r="W65" s="173"/>
      <c r="X65" s="173"/>
      <c r="Y65" s="173"/>
      <c r="Z65" s="173"/>
      <c r="AA65" s="172"/>
      <c r="AB65" s="172" t="s">
        <v>1536</v>
      </c>
      <c r="AC65" s="611">
        <v>747000</v>
      </c>
    </row>
    <row r="66" spans="1:36" ht="30" customHeight="1">
      <c r="A66" s="172">
        <f t="shared" si="9"/>
        <v>62</v>
      </c>
      <c r="B66" s="31">
        <v>2097</v>
      </c>
      <c r="C66" s="172" t="s">
        <v>390</v>
      </c>
      <c r="D66" s="173">
        <v>79000000</v>
      </c>
      <c r="E66" s="173">
        <v>79000000</v>
      </c>
      <c r="F66" s="173">
        <f t="shared" si="0"/>
        <v>0</v>
      </c>
      <c r="G66" s="173">
        <v>6000000</v>
      </c>
      <c r="H66" s="173">
        <v>740499</v>
      </c>
      <c r="I66" s="173">
        <v>0</v>
      </c>
      <c r="J66" s="173">
        <v>109903</v>
      </c>
      <c r="K66" s="173">
        <f t="shared" si="2"/>
        <v>109903</v>
      </c>
      <c r="L66" s="173">
        <f t="shared" si="1"/>
        <v>850402</v>
      </c>
      <c r="M66" s="173">
        <f t="shared" si="12"/>
        <v>5149598</v>
      </c>
      <c r="N66" s="173">
        <f>30000000-30000000</f>
        <v>0</v>
      </c>
      <c r="O66" s="173">
        <f t="shared" si="3"/>
        <v>73000000</v>
      </c>
      <c r="P66" s="173">
        <f t="shared" si="4"/>
        <v>5149598</v>
      </c>
      <c r="Q66" s="173"/>
      <c r="R66" s="173"/>
      <c r="S66" s="173">
        <f t="shared" si="15"/>
        <v>0</v>
      </c>
      <c r="T66" s="173">
        <f t="shared" si="16"/>
        <v>0</v>
      </c>
      <c r="U66" s="173">
        <f t="shared" si="7"/>
        <v>0</v>
      </c>
      <c r="V66" s="173">
        <f t="shared" si="8"/>
        <v>0</v>
      </c>
      <c r="W66" s="173"/>
      <c r="X66" s="173"/>
      <c r="Y66" s="173"/>
      <c r="Z66" s="173"/>
      <c r="AA66" s="173">
        <f>22008800-22008800</f>
        <v>0</v>
      </c>
      <c r="AB66" s="297" t="s">
        <v>1700</v>
      </c>
      <c r="AC66" s="611">
        <v>810000</v>
      </c>
    </row>
    <row r="67" spans="1:36" ht="30" customHeight="1">
      <c r="A67" s="172">
        <f t="shared" si="9"/>
        <v>63</v>
      </c>
      <c r="B67" s="31">
        <v>2099</v>
      </c>
      <c r="C67" s="172" t="s">
        <v>391</v>
      </c>
      <c r="D67" s="173">
        <v>12000000</v>
      </c>
      <c r="E67" s="173">
        <v>12000000</v>
      </c>
      <c r="F67" s="173">
        <f t="shared" si="0"/>
        <v>0</v>
      </c>
      <c r="G67" s="173">
        <v>750000</v>
      </c>
      <c r="H67" s="173">
        <v>299056</v>
      </c>
      <c r="I67" s="173">
        <v>0</v>
      </c>
      <c r="J67" s="173">
        <v>197436</v>
      </c>
      <c r="K67" s="173">
        <f t="shared" si="2"/>
        <v>197436</v>
      </c>
      <c r="L67" s="173">
        <f t="shared" si="1"/>
        <v>496492</v>
      </c>
      <c r="M67" s="173">
        <f t="shared" si="12"/>
        <v>253508</v>
      </c>
      <c r="N67" s="173">
        <f>11250000-8250000</f>
        <v>3000000</v>
      </c>
      <c r="O67" s="173">
        <f t="shared" si="3"/>
        <v>8250000</v>
      </c>
      <c r="P67" s="173">
        <f t="shared" si="4"/>
        <v>253508</v>
      </c>
      <c r="Q67" s="173"/>
      <c r="R67" s="173"/>
      <c r="S67" s="173">
        <f t="shared" si="15"/>
        <v>0</v>
      </c>
      <c r="T67" s="173">
        <f t="shared" si="16"/>
        <v>0</v>
      </c>
      <c r="U67" s="173">
        <f t="shared" si="7"/>
        <v>3000000</v>
      </c>
      <c r="V67" s="173">
        <f t="shared" si="8"/>
        <v>1000000</v>
      </c>
      <c r="W67" s="173"/>
      <c r="X67" s="173"/>
      <c r="Y67" s="173"/>
      <c r="Z67" s="173"/>
      <c r="AA67" s="173">
        <v>2000000</v>
      </c>
      <c r="AB67" s="326" t="s">
        <v>1701</v>
      </c>
      <c r="AC67" s="611">
        <v>826000</v>
      </c>
    </row>
    <row r="68" spans="1:36" ht="30" customHeight="1">
      <c r="A68" s="172">
        <f t="shared" si="9"/>
        <v>64</v>
      </c>
      <c r="B68" s="31">
        <v>2101</v>
      </c>
      <c r="C68" s="172" t="s">
        <v>965</v>
      </c>
      <c r="D68" s="173">
        <f>9850000+14350000</f>
        <v>24200000</v>
      </c>
      <c r="E68" s="173">
        <v>9850000</v>
      </c>
      <c r="F68" s="173">
        <f t="shared" si="0"/>
        <v>14350000</v>
      </c>
      <c r="G68" s="173">
        <v>1500000</v>
      </c>
      <c r="H68" s="173">
        <v>14882</v>
      </c>
      <c r="I68" s="173">
        <v>0</v>
      </c>
      <c r="J68" s="173">
        <v>85116</v>
      </c>
      <c r="K68" s="173">
        <f t="shared" si="2"/>
        <v>85116</v>
      </c>
      <c r="L68" s="173">
        <f t="shared" si="1"/>
        <v>99998</v>
      </c>
      <c r="M68" s="173">
        <f t="shared" si="12"/>
        <v>1400002</v>
      </c>
      <c r="N68" s="173"/>
      <c r="O68" s="173">
        <f t="shared" si="3"/>
        <v>22700000</v>
      </c>
      <c r="P68" s="173">
        <f t="shared" si="4"/>
        <v>1400002</v>
      </c>
      <c r="Q68" s="173"/>
      <c r="R68" s="173"/>
      <c r="S68" s="173">
        <f t="shared" si="15"/>
        <v>0</v>
      </c>
      <c r="T68" s="173">
        <f t="shared" si="16"/>
        <v>0</v>
      </c>
      <c r="U68" s="173">
        <f t="shared" si="7"/>
        <v>0</v>
      </c>
      <c r="V68" s="173">
        <f t="shared" si="8"/>
        <v>0</v>
      </c>
      <c r="W68" s="173"/>
      <c r="X68" s="173"/>
      <c r="Y68" s="173"/>
      <c r="Z68" s="173"/>
      <c r="AA68" s="172"/>
      <c r="AB68" s="326" t="s">
        <v>878</v>
      </c>
      <c r="AC68" s="611">
        <v>840000</v>
      </c>
    </row>
    <row r="69" spans="1:36" ht="30" customHeight="1">
      <c r="A69" s="172">
        <f t="shared" si="9"/>
        <v>65</v>
      </c>
      <c r="B69" s="31">
        <v>2102</v>
      </c>
      <c r="C69" s="172" t="s">
        <v>392</v>
      </c>
      <c r="D69" s="173">
        <v>1750000</v>
      </c>
      <c r="E69" s="173">
        <v>1750000</v>
      </c>
      <c r="F69" s="173">
        <f t="shared" ref="F69:F103" si="17">D69-E69</f>
        <v>0</v>
      </c>
      <c r="G69" s="173">
        <v>150000</v>
      </c>
      <c r="H69" s="173">
        <v>106069</v>
      </c>
      <c r="I69" s="173">
        <v>0</v>
      </c>
      <c r="J69" s="173">
        <v>43931</v>
      </c>
      <c r="K69" s="173">
        <f t="shared" si="2"/>
        <v>43931</v>
      </c>
      <c r="L69" s="173">
        <f t="shared" ref="L69:L103" si="18">K69+H69</f>
        <v>150000</v>
      </c>
      <c r="M69" s="173">
        <f t="shared" si="12"/>
        <v>0</v>
      </c>
      <c r="N69" s="173">
        <f>1600000-1600000</f>
        <v>0</v>
      </c>
      <c r="O69" s="173">
        <f t="shared" si="3"/>
        <v>1600000</v>
      </c>
      <c r="P69" s="173">
        <f t="shared" si="4"/>
        <v>0</v>
      </c>
      <c r="Q69" s="173"/>
      <c r="R69" s="173"/>
      <c r="S69" s="173">
        <f t="shared" si="15"/>
        <v>0</v>
      </c>
      <c r="T69" s="173">
        <f t="shared" si="16"/>
        <v>0</v>
      </c>
      <c r="U69" s="173">
        <f t="shared" si="7"/>
        <v>0</v>
      </c>
      <c r="V69" s="173">
        <f t="shared" si="8"/>
        <v>0</v>
      </c>
      <c r="W69" s="173"/>
      <c r="X69" s="173"/>
      <c r="Y69" s="173"/>
      <c r="Z69" s="173"/>
      <c r="AA69" s="172"/>
      <c r="AB69" s="297" t="s">
        <v>1449</v>
      </c>
      <c r="AC69" s="611">
        <v>820000</v>
      </c>
    </row>
    <row r="70" spans="1:36" ht="30" customHeight="1">
      <c r="A70" s="172">
        <f t="shared" ref="A70:A103" si="19">A69+1</f>
        <v>66</v>
      </c>
      <c r="B70" s="31">
        <v>2103</v>
      </c>
      <c r="C70" s="172" t="s">
        <v>459</v>
      </c>
      <c r="D70" s="173">
        <v>2500000</v>
      </c>
      <c r="E70" s="173">
        <v>2500000</v>
      </c>
      <c r="F70" s="173">
        <f t="shared" si="17"/>
        <v>0</v>
      </c>
      <c r="G70" s="173">
        <v>1000000</v>
      </c>
      <c r="H70" s="173">
        <v>190122</v>
      </c>
      <c r="I70" s="173">
        <v>0</v>
      </c>
      <c r="J70" s="173">
        <v>620100</v>
      </c>
      <c r="K70" s="173">
        <f t="shared" ref="K70:K93" si="20">SUM(I70:J70)</f>
        <v>620100</v>
      </c>
      <c r="L70" s="173">
        <f t="shared" si="18"/>
        <v>810222</v>
      </c>
      <c r="M70" s="173">
        <f t="shared" si="12"/>
        <v>189778</v>
      </c>
      <c r="N70" s="173">
        <f>1500000-1000000-500000</f>
        <v>0</v>
      </c>
      <c r="O70" s="173">
        <f t="shared" ref="O70:O103" si="21">D70-L70-M70-N70</f>
        <v>1500000</v>
      </c>
      <c r="P70" s="173">
        <f t="shared" ref="P70:P120" si="22">G70-L70</f>
        <v>189778</v>
      </c>
      <c r="Q70" s="173"/>
      <c r="R70" s="173"/>
      <c r="S70" s="173">
        <f t="shared" si="15"/>
        <v>0</v>
      </c>
      <c r="T70" s="173">
        <f t="shared" si="16"/>
        <v>0</v>
      </c>
      <c r="U70" s="173">
        <f t="shared" ref="U70:U93" si="23">N70-T70</f>
        <v>0</v>
      </c>
      <c r="V70" s="173">
        <f t="shared" ref="V70:V93" si="24">U70-Z70-X70-AA70-W70</f>
        <v>0</v>
      </c>
      <c r="W70" s="173"/>
      <c r="X70" s="173"/>
      <c r="Y70" s="173"/>
      <c r="Z70" s="173"/>
      <c r="AA70" s="172"/>
      <c r="AB70" s="297" t="s">
        <v>597</v>
      </c>
      <c r="AC70" s="611">
        <v>848000</v>
      </c>
    </row>
    <row r="71" spans="1:36" s="5" customFormat="1" ht="30" customHeight="1">
      <c r="A71" s="172">
        <f t="shared" si="19"/>
        <v>67</v>
      </c>
      <c r="B71" s="31">
        <v>2104</v>
      </c>
      <c r="C71" s="3" t="s">
        <v>362</v>
      </c>
      <c r="D71" s="4">
        <f>3500000-2500000</f>
        <v>1000000</v>
      </c>
      <c r="E71" s="4">
        <v>3500000</v>
      </c>
      <c r="F71" s="173">
        <f t="shared" si="17"/>
        <v>-2500000</v>
      </c>
      <c r="G71" s="4">
        <v>0</v>
      </c>
      <c r="H71" s="4">
        <v>0</v>
      </c>
      <c r="I71" s="4">
        <v>0</v>
      </c>
      <c r="J71" s="4">
        <v>0</v>
      </c>
      <c r="K71" s="173">
        <f t="shared" si="20"/>
        <v>0</v>
      </c>
      <c r="L71" s="173">
        <f t="shared" si="18"/>
        <v>0</v>
      </c>
      <c r="M71" s="173">
        <f t="shared" si="12"/>
        <v>0</v>
      </c>
      <c r="N71" s="173">
        <f>3500000-2500000-1000000</f>
        <v>0</v>
      </c>
      <c r="O71" s="173">
        <f t="shared" si="21"/>
        <v>1000000</v>
      </c>
      <c r="P71" s="173">
        <f t="shared" si="22"/>
        <v>0</v>
      </c>
      <c r="Q71" s="173"/>
      <c r="R71" s="173"/>
      <c r="S71" s="173">
        <f t="shared" si="15"/>
        <v>0</v>
      </c>
      <c r="T71" s="173">
        <f t="shared" si="16"/>
        <v>0</v>
      </c>
      <c r="U71" s="173">
        <f t="shared" si="23"/>
        <v>0</v>
      </c>
      <c r="V71" s="173">
        <f t="shared" si="24"/>
        <v>0</v>
      </c>
      <c r="W71" s="173"/>
      <c r="X71" s="173"/>
      <c r="Y71" s="173"/>
      <c r="Z71" s="173"/>
      <c r="AA71" s="172"/>
      <c r="AB71" s="3" t="s">
        <v>1390</v>
      </c>
      <c r="AC71" s="566">
        <v>742000</v>
      </c>
      <c r="AD71" s="284"/>
      <c r="AE71" s="284"/>
      <c r="AF71" s="166"/>
      <c r="AG71" s="166"/>
      <c r="AH71" s="166"/>
      <c r="AI71" s="166"/>
      <c r="AJ71" s="166"/>
    </row>
    <row r="72" spans="1:36" s="6" customFormat="1" ht="30" customHeight="1">
      <c r="A72" s="172">
        <f t="shared" si="19"/>
        <v>68</v>
      </c>
      <c r="B72" s="31">
        <v>2106</v>
      </c>
      <c r="C72" s="3" t="s">
        <v>606</v>
      </c>
      <c r="D72" s="4">
        <v>15000000</v>
      </c>
      <c r="E72" s="4">
        <v>15000000</v>
      </c>
      <c r="F72" s="173">
        <f t="shared" si="17"/>
        <v>0</v>
      </c>
      <c r="G72" s="4">
        <v>4000000</v>
      </c>
      <c r="H72" s="4">
        <v>22889</v>
      </c>
      <c r="I72" s="4">
        <v>0</v>
      </c>
      <c r="J72" s="4">
        <v>127110</v>
      </c>
      <c r="K72" s="173">
        <f t="shared" si="20"/>
        <v>127110</v>
      </c>
      <c r="L72" s="173">
        <f t="shared" si="18"/>
        <v>149999</v>
      </c>
      <c r="M72" s="173">
        <f t="shared" si="12"/>
        <v>3850001</v>
      </c>
      <c r="N72" s="173">
        <f>11000000-3000000-8000000</f>
        <v>0</v>
      </c>
      <c r="O72" s="173">
        <f t="shared" si="21"/>
        <v>11000000</v>
      </c>
      <c r="P72" s="173">
        <f t="shared" si="22"/>
        <v>3850001</v>
      </c>
      <c r="Q72" s="173"/>
      <c r="R72" s="173"/>
      <c r="S72" s="173">
        <f t="shared" si="15"/>
        <v>0</v>
      </c>
      <c r="T72" s="173">
        <f t="shared" si="16"/>
        <v>0</v>
      </c>
      <c r="U72" s="173">
        <f t="shared" si="23"/>
        <v>0</v>
      </c>
      <c r="V72" s="173">
        <f t="shared" si="24"/>
        <v>0</v>
      </c>
      <c r="W72" s="173"/>
      <c r="X72" s="173"/>
      <c r="Y72" s="173"/>
      <c r="Z72" s="173"/>
      <c r="AA72" s="172"/>
      <c r="AB72" s="297" t="s">
        <v>1450</v>
      </c>
      <c r="AC72" s="566">
        <v>742000</v>
      </c>
      <c r="AD72" s="284"/>
      <c r="AE72" s="284"/>
      <c r="AF72" s="166"/>
      <c r="AG72" s="166"/>
      <c r="AH72" s="166"/>
      <c r="AI72" s="166"/>
      <c r="AJ72" s="166"/>
    </row>
    <row r="73" spans="1:36" s="5" customFormat="1" ht="30" customHeight="1">
      <c r="A73" s="172">
        <f t="shared" si="19"/>
        <v>69</v>
      </c>
      <c r="B73" s="31">
        <v>2109</v>
      </c>
      <c r="C73" s="3" t="s">
        <v>364</v>
      </c>
      <c r="D73" s="4">
        <v>2000000</v>
      </c>
      <c r="E73" s="4">
        <v>2000000</v>
      </c>
      <c r="F73" s="173">
        <f t="shared" si="17"/>
        <v>0</v>
      </c>
      <c r="G73" s="4">
        <v>0</v>
      </c>
      <c r="H73" s="4">
        <v>0</v>
      </c>
      <c r="I73" s="4">
        <v>0</v>
      </c>
      <c r="J73" s="4">
        <v>0</v>
      </c>
      <c r="K73" s="173">
        <f t="shared" si="20"/>
        <v>0</v>
      </c>
      <c r="L73" s="173">
        <f t="shared" si="18"/>
        <v>0</v>
      </c>
      <c r="M73" s="173">
        <f t="shared" si="12"/>
        <v>0</v>
      </c>
      <c r="N73" s="173">
        <v>500000</v>
      </c>
      <c r="O73" s="173">
        <f t="shared" si="21"/>
        <v>1500000</v>
      </c>
      <c r="P73" s="173">
        <f t="shared" si="22"/>
        <v>0</v>
      </c>
      <c r="Q73" s="173"/>
      <c r="R73" s="173"/>
      <c r="S73" s="173">
        <f t="shared" si="15"/>
        <v>0</v>
      </c>
      <c r="T73" s="173">
        <f t="shared" si="16"/>
        <v>0</v>
      </c>
      <c r="U73" s="173">
        <f t="shared" si="23"/>
        <v>500000</v>
      </c>
      <c r="V73" s="173">
        <f t="shared" si="24"/>
        <v>500000</v>
      </c>
      <c r="W73" s="173"/>
      <c r="X73" s="173"/>
      <c r="Y73" s="173"/>
      <c r="Z73" s="173"/>
      <c r="AA73" s="172"/>
      <c r="AB73" s="3" t="s">
        <v>1537</v>
      </c>
      <c r="AC73" s="566">
        <v>742000</v>
      </c>
      <c r="AD73" s="284"/>
      <c r="AE73" s="284"/>
      <c r="AF73" s="166"/>
      <c r="AG73" s="166"/>
      <c r="AH73" s="166"/>
      <c r="AI73" s="166"/>
      <c r="AJ73" s="166"/>
    </row>
    <row r="74" spans="1:36" s="5" customFormat="1" ht="30" customHeight="1">
      <c r="A74" s="172">
        <f t="shared" si="19"/>
        <v>70</v>
      </c>
      <c r="B74" s="31">
        <v>2110</v>
      </c>
      <c r="C74" s="3" t="s">
        <v>365</v>
      </c>
      <c r="D74" s="4">
        <v>16000000</v>
      </c>
      <c r="E74" s="4">
        <v>16000000</v>
      </c>
      <c r="F74" s="173">
        <f t="shared" si="17"/>
        <v>0</v>
      </c>
      <c r="G74" s="4">
        <v>0</v>
      </c>
      <c r="H74" s="4">
        <v>0</v>
      </c>
      <c r="I74" s="4">
        <v>0</v>
      </c>
      <c r="J74" s="4">
        <v>0</v>
      </c>
      <c r="K74" s="173">
        <f t="shared" si="20"/>
        <v>0</v>
      </c>
      <c r="L74" s="173">
        <f t="shared" si="18"/>
        <v>0</v>
      </c>
      <c r="M74" s="173">
        <f t="shared" si="12"/>
        <v>0</v>
      </c>
      <c r="N74" s="173">
        <v>500000</v>
      </c>
      <c r="O74" s="173">
        <f t="shared" si="21"/>
        <v>15500000</v>
      </c>
      <c r="P74" s="173">
        <f t="shared" si="22"/>
        <v>0</v>
      </c>
      <c r="Q74" s="173"/>
      <c r="R74" s="173"/>
      <c r="S74" s="173">
        <f t="shared" si="15"/>
        <v>0</v>
      </c>
      <c r="T74" s="173">
        <f t="shared" si="16"/>
        <v>0</v>
      </c>
      <c r="U74" s="173">
        <f t="shared" si="23"/>
        <v>500000</v>
      </c>
      <c r="V74" s="173">
        <f t="shared" si="24"/>
        <v>500000</v>
      </c>
      <c r="W74" s="173"/>
      <c r="X74" s="173"/>
      <c r="Y74" s="173"/>
      <c r="Z74" s="173"/>
      <c r="AA74" s="172"/>
      <c r="AB74" s="3" t="s">
        <v>1702</v>
      </c>
      <c r="AC74" s="566">
        <v>742000</v>
      </c>
      <c r="AD74" s="284"/>
      <c r="AE74" s="284"/>
      <c r="AF74" s="166"/>
      <c r="AG74" s="166"/>
      <c r="AH74" s="166"/>
      <c r="AI74" s="166"/>
      <c r="AJ74" s="166"/>
    </row>
    <row r="75" spans="1:36" s="5" customFormat="1" ht="30" customHeight="1">
      <c r="A75" s="172">
        <f t="shared" si="19"/>
        <v>71</v>
      </c>
      <c r="B75" s="31">
        <v>2111</v>
      </c>
      <c r="C75" s="3" t="s">
        <v>366</v>
      </c>
      <c r="D75" s="4">
        <v>10240000</v>
      </c>
      <c r="E75" s="4">
        <v>10240000</v>
      </c>
      <c r="F75" s="173">
        <f t="shared" si="17"/>
        <v>0</v>
      </c>
      <c r="G75" s="4">
        <v>0</v>
      </c>
      <c r="H75" s="4">
        <v>0</v>
      </c>
      <c r="I75" s="4">
        <v>0</v>
      </c>
      <c r="J75" s="4">
        <v>0</v>
      </c>
      <c r="K75" s="173">
        <f t="shared" si="20"/>
        <v>0</v>
      </c>
      <c r="L75" s="173">
        <f t="shared" si="18"/>
        <v>0</v>
      </c>
      <c r="M75" s="173">
        <f t="shared" ref="M75:M103" si="25">P75+S75</f>
        <v>0</v>
      </c>
      <c r="N75" s="173">
        <v>500000</v>
      </c>
      <c r="O75" s="173">
        <f t="shared" si="21"/>
        <v>9740000</v>
      </c>
      <c r="P75" s="173">
        <f t="shared" si="22"/>
        <v>0</v>
      </c>
      <c r="Q75" s="173"/>
      <c r="R75" s="173"/>
      <c r="S75" s="173">
        <f t="shared" si="15"/>
        <v>0</v>
      </c>
      <c r="T75" s="173">
        <f t="shared" si="16"/>
        <v>0</v>
      </c>
      <c r="U75" s="173">
        <f t="shared" si="23"/>
        <v>500000</v>
      </c>
      <c r="V75" s="173">
        <f t="shared" si="24"/>
        <v>500000</v>
      </c>
      <c r="W75" s="173"/>
      <c r="X75" s="173"/>
      <c r="Y75" s="173"/>
      <c r="Z75" s="173"/>
      <c r="AA75" s="172"/>
      <c r="AB75" s="280" t="s">
        <v>1451</v>
      </c>
      <c r="AC75" s="566">
        <v>742000</v>
      </c>
      <c r="AD75" s="284"/>
      <c r="AE75" s="284"/>
      <c r="AF75" s="166"/>
      <c r="AG75" s="166"/>
      <c r="AH75" s="166"/>
      <c r="AI75" s="166"/>
      <c r="AJ75" s="166"/>
    </row>
    <row r="76" spans="1:36" s="6" customFormat="1" ht="30" customHeight="1">
      <c r="A76" s="172">
        <f t="shared" si="19"/>
        <v>72</v>
      </c>
      <c r="B76" s="31">
        <v>2115</v>
      </c>
      <c r="C76" s="3" t="s">
        <v>368</v>
      </c>
      <c r="D76" s="4">
        <v>3100000</v>
      </c>
      <c r="E76" s="4">
        <v>3100000</v>
      </c>
      <c r="F76" s="173">
        <f t="shared" si="17"/>
        <v>0</v>
      </c>
      <c r="G76" s="4">
        <v>2000000</v>
      </c>
      <c r="H76" s="4">
        <v>511071</v>
      </c>
      <c r="I76" s="4">
        <v>0</v>
      </c>
      <c r="J76" s="4">
        <v>74412</v>
      </c>
      <c r="K76" s="173">
        <f t="shared" si="20"/>
        <v>74412</v>
      </c>
      <c r="L76" s="173">
        <f t="shared" si="18"/>
        <v>585483</v>
      </c>
      <c r="M76" s="173">
        <f t="shared" si="25"/>
        <v>1414517</v>
      </c>
      <c r="N76" s="173">
        <v>1100000</v>
      </c>
      <c r="O76" s="173">
        <f t="shared" si="21"/>
        <v>0</v>
      </c>
      <c r="P76" s="173">
        <f t="shared" si="22"/>
        <v>1414517</v>
      </c>
      <c r="Q76" s="173"/>
      <c r="R76" s="173"/>
      <c r="S76" s="173">
        <f t="shared" si="15"/>
        <v>0</v>
      </c>
      <c r="T76" s="173">
        <f t="shared" si="16"/>
        <v>0</v>
      </c>
      <c r="U76" s="173">
        <f t="shared" si="23"/>
        <v>1100000</v>
      </c>
      <c r="V76" s="173">
        <f t="shared" si="24"/>
        <v>1100000</v>
      </c>
      <c r="W76" s="173"/>
      <c r="X76" s="173"/>
      <c r="Y76" s="173"/>
      <c r="Z76" s="173"/>
      <c r="AA76" s="172"/>
      <c r="AB76" s="3" t="s">
        <v>533</v>
      </c>
      <c r="AC76" s="566">
        <v>732000</v>
      </c>
      <c r="AD76" s="284"/>
      <c r="AE76" s="284"/>
      <c r="AF76" s="166"/>
      <c r="AG76" s="166"/>
      <c r="AH76" s="166"/>
      <c r="AI76" s="166"/>
      <c r="AJ76" s="166"/>
    </row>
    <row r="77" spans="1:36" s="6" customFormat="1" ht="42">
      <c r="A77" s="172">
        <f t="shared" si="19"/>
        <v>73</v>
      </c>
      <c r="B77" s="31">
        <v>2118</v>
      </c>
      <c r="C77" s="3" t="s">
        <v>371</v>
      </c>
      <c r="D77" s="4">
        <v>2600000</v>
      </c>
      <c r="E77" s="4">
        <v>2600000</v>
      </c>
      <c r="F77" s="173">
        <f t="shared" si="17"/>
        <v>0</v>
      </c>
      <c r="G77" s="4">
        <v>2600000</v>
      </c>
      <c r="H77" s="4">
        <v>333114</v>
      </c>
      <c r="I77" s="4">
        <v>0</v>
      </c>
      <c r="J77" s="4">
        <v>1007084</v>
      </c>
      <c r="K77" s="173">
        <f t="shared" si="20"/>
        <v>1007084</v>
      </c>
      <c r="L77" s="173">
        <f t="shared" si="18"/>
        <v>1340198</v>
      </c>
      <c r="M77" s="173">
        <f t="shared" si="25"/>
        <v>1259802</v>
      </c>
      <c r="N77" s="173"/>
      <c r="O77" s="173">
        <f t="shared" si="21"/>
        <v>0</v>
      </c>
      <c r="P77" s="173">
        <f t="shared" si="22"/>
        <v>1259802</v>
      </c>
      <c r="Q77" s="173"/>
      <c r="R77" s="173"/>
      <c r="S77" s="173">
        <f t="shared" si="15"/>
        <v>0</v>
      </c>
      <c r="T77" s="173">
        <f t="shared" si="16"/>
        <v>0</v>
      </c>
      <c r="U77" s="173">
        <f t="shared" si="23"/>
        <v>0</v>
      </c>
      <c r="V77" s="173">
        <f t="shared" si="24"/>
        <v>0</v>
      </c>
      <c r="W77" s="173"/>
      <c r="X77" s="173"/>
      <c r="Y77" s="173"/>
      <c r="Z77" s="173"/>
      <c r="AA77" s="172"/>
      <c r="AB77" s="281" t="s">
        <v>1331</v>
      </c>
      <c r="AC77" s="566">
        <v>746000</v>
      </c>
      <c r="AD77" s="284"/>
      <c r="AE77" s="284"/>
      <c r="AF77" s="166"/>
      <c r="AG77" s="166"/>
      <c r="AH77" s="166"/>
      <c r="AI77" s="166"/>
      <c r="AJ77" s="166"/>
    </row>
    <row r="78" spans="1:36" s="5" customFormat="1" ht="30" customHeight="1">
      <c r="A78" s="172">
        <f t="shared" si="19"/>
        <v>74</v>
      </c>
      <c r="B78" s="31">
        <v>2119</v>
      </c>
      <c r="C78" s="3" t="s">
        <v>372</v>
      </c>
      <c r="D78" s="4">
        <f>1400000+1100000</f>
        <v>2500000</v>
      </c>
      <c r="E78" s="4">
        <v>1400000</v>
      </c>
      <c r="F78" s="173">
        <f t="shared" si="17"/>
        <v>1100000</v>
      </c>
      <c r="G78" s="4">
        <v>1100000</v>
      </c>
      <c r="H78" s="4">
        <v>101214</v>
      </c>
      <c r="I78" s="4">
        <v>0</v>
      </c>
      <c r="J78" s="4">
        <v>48786</v>
      </c>
      <c r="K78" s="173">
        <f t="shared" si="20"/>
        <v>48786</v>
      </c>
      <c r="L78" s="173">
        <f t="shared" si="18"/>
        <v>150000</v>
      </c>
      <c r="M78" s="173">
        <f t="shared" si="25"/>
        <v>950000</v>
      </c>
      <c r="N78" s="173">
        <f>1400000-1400000</f>
        <v>0</v>
      </c>
      <c r="O78" s="173">
        <f t="shared" si="21"/>
        <v>1400000</v>
      </c>
      <c r="P78" s="173">
        <f t="shared" si="22"/>
        <v>950000</v>
      </c>
      <c r="Q78" s="173"/>
      <c r="R78" s="173"/>
      <c r="S78" s="173">
        <f t="shared" si="15"/>
        <v>0</v>
      </c>
      <c r="T78" s="173">
        <f t="shared" si="16"/>
        <v>0</v>
      </c>
      <c r="U78" s="173">
        <f t="shared" si="23"/>
        <v>0</v>
      </c>
      <c r="V78" s="173">
        <f t="shared" si="24"/>
        <v>0</v>
      </c>
      <c r="W78" s="173"/>
      <c r="X78" s="173"/>
      <c r="Y78" s="173"/>
      <c r="Z78" s="173"/>
      <c r="AA78" s="172"/>
      <c r="AB78" s="3" t="s">
        <v>373</v>
      </c>
      <c r="AC78" s="566">
        <v>742000</v>
      </c>
      <c r="AD78" s="284"/>
      <c r="AE78" s="284"/>
      <c r="AF78" s="166"/>
      <c r="AG78" s="166"/>
      <c r="AH78" s="166"/>
      <c r="AI78" s="166"/>
      <c r="AJ78" s="166"/>
    </row>
    <row r="79" spans="1:36" s="5" customFormat="1" ht="30" customHeight="1">
      <c r="A79" s="172">
        <f t="shared" si="19"/>
        <v>75</v>
      </c>
      <c r="B79" s="31">
        <v>2126</v>
      </c>
      <c r="C79" s="3" t="s">
        <v>645</v>
      </c>
      <c r="D79" s="4">
        <f>1375000+600000</f>
        <v>1975000</v>
      </c>
      <c r="E79" s="4">
        <v>1375000</v>
      </c>
      <c r="F79" s="173">
        <f t="shared" si="17"/>
        <v>600000</v>
      </c>
      <c r="G79" s="4">
        <v>0</v>
      </c>
      <c r="H79" s="4">
        <v>0</v>
      </c>
      <c r="I79" s="4">
        <v>0</v>
      </c>
      <c r="J79" s="4">
        <v>0</v>
      </c>
      <c r="K79" s="173">
        <f t="shared" si="20"/>
        <v>0</v>
      </c>
      <c r="L79" s="173">
        <f t="shared" si="18"/>
        <v>0</v>
      </c>
      <c r="M79" s="173">
        <f t="shared" si="25"/>
        <v>0</v>
      </c>
      <c r="N79" s="173"/>
      <c r="O79" s="173">
        <f t="shared" si="21"/>
        <v>1975000</v>
      </c>
      <c r="P79" s="173">
        <f t="shared" si="22"/>
        <v>0</v>
      </c>
      <c r="Q79" s="173"/>
      <c r="R79" s="173"/>
      <c r="S79" s="173">
        <f t="shared" si="15"/>
        <v>0</v>
      </c>
      <c r="T79" s="173">
        <f t="shared" si="16"/>
        <v>0</v>
      </c>
      <c r="U79" s="173">
        <f t="shared" si="23"/>
        <v>0</v>
      </c>
      <c r="V79" s="173">
        <f t="shared" si="24"/>
        <v>0</v>
      </c>
      <c r="W79" s="173"/>
      <c r="X79" s="173"/>
      <c r="Y79" s="173"/>
      <c r="Z79" s="173"/>
      <c r="AA79" s="172"/>
      <c r="AB79" s="3" t="s">
        <v>1452</v>
      </c>
      <c r="AC79" s="566">
        <v>742000</v>
      </c>
      <c r="AD79" s="284"/>
      <c r="AE79" s="284"/>
      <c r="AF79" s="166"/>
      <c r="AG79" s="166"/>
      <c r="AH79" s="166"/>
      <c r="AI79" s="166"/>
      <c r="AJ79" s="166"/>
    </row>
    <row r="80" spans="1:36" s="6" customFormat="1" ht="30" customHeight="1">
      <c r="A80" s="172">
        <f t="shared" si="19"/>
        <v>76</v>
      </c>
      <c r="B80" s="31">
        <v>2127</v>
      </c>
      <c r="C80" s="3" t="s">
        <v>647</v>
      </c>
      <c r="D80" s="4">
        <f>1000000+1259000</f>
        <v>2259000</v>
      </c>
      <c r="E80" s="4">
        <v>1000000</v>
      </c>
      <c r="F80" s="173">
        <f t="shared" si="17"/>
        <v>1259000</v>
      </c>
      <c r="G80" s="4">
        <v>1000000</v>
      </c>
      <c r="H80" s="4">
        <v>24804</v>
      </c>
      <c r="I80" s="4">
        <v>0</v>
      </c>
      <c r="J80" s="4">
        <v>975194</v>
      </c>
      <c r="K80" s="173">
        <f t="shared" si="20"/>
        <v>975194</v>
      </c>
      <c r="L80" s="173">
        <f t="shared" si="18"/>
        <v>999998</v>
      </c>
      <c r="M80" s="173">
        <f t="shared" si="25"/>
        <v>2</v>
      </c>
      <c r="N80" s="173">
        <v>1259000</v>
      </c>
      <c r="O80" s="173">
        <f t="shared" si="21"/>
        <v>0</v>
      </c>
      <c r="P80" s="173">
        <f t="shared" si="22"/>
        <v>2</v>
      </c>
      <c r="Q80" s="173"/>
      <c r="R80" s="173"/>
      <c r="S80" s="173">
        <f t="shared" si="15"/>
        <v>0</v>
      </c>
      <c r="T80" s="173">
        <f t="shared" si="16"/>
        <v>0</v>
      </c>
      <c r="U80" s="173">
        <f t="shared" si="23"/>
        <v>1259000</v>
      </c>
      <c r="V80" s="173">
        <f t="shared" si="24"/>
        <v>0</v>
      </c>
      <c r="W80" s="173"/>
      <c r="X80" s="173"/>
      <c r="Y80" s="173"/>
      <c r="Z80" s="173"/>
      <c r="AA80" s="173">
        <v>1259000</v>
      </c>
      <c r="AB80" s="3" t="s">
        <v>1453</v>
      </c>
      <c r="AC80" s="566">
        <v>747000</v>
      </c>
      <c r="AD80" s="284"/>
      <c r="AE80" s="284"/>
      <c r="AF80" s="166"/>
      <c r="AG80" s="166"/>
      <c r="AH80" s="166"/>
      <c r="AI80" s="166"/>
      <c r="AJ80" s="166"/>
    </row>
    <row r="81" spans="1:36" s="6" customFormat="1" ht="30" customHeight="1">
      <c r="A81" s="172">
        <f t="shared" si="19"/>
        <v>77</v>
      </c>
      <c r="B81" s="31">
        <v>2130</v>
      </c>
      <c r="C81" s="3" t="s">
        <v>700</v>
      </c>
      <c r="D81" s="4">
        <v>500000</v>
      </c>
      <c r="E81" s="4">
        <v>500000</v>
      </c>
      <c r="F81" s="173">
        <f t="shared" si="17"/>
        <v>0</v>
      </c>
      <c r="G81" s="4">
        <v>500000</v>
      </c>
      <c r="H81" s="4">
        <v>7441</v>
      </c>
      <c r="I81" s="4">
        <v>0</v>
      </c>
      <c r="J81" s="4">
        <v>0</v>
      </c>
      <c r="K81" s="173">
        <f t="shared" si="20"/>
        <v>0</v>
      </c>
      <c r="L81" s="173">
        <f t="shared" si="18"/>
        <v>7441</v>
      </c>
      <c r="M81" s="173">
        <f t="shared" si="25"/>
        <v>492559</v>
      </c>
      <c r="N81" s="173"/>
      <c r="O81" s="173">
        <f t="shared" si="21"/>
        <v>0</v>
      </c>
      <c r="P81" s="173">
        <f t="shared" si="22"/>
        <v>492559</v>
      </c>
      <c r="Q81" s="173"/>
      <c r="R81" s="173"/>
      <c r="S81" s="173">
        <f t="shared" si="15"/>
        <v>0</v>
      </c>
      <c r="T81" s="173">
        <f t="shared" si="16"/>
        <v>0</v>
      </c>
      <c r="U81" s="173">
        <f t="shared" si="23"/>
        <v>0</v>
      </c>
      <c r="V81" s="173">
        <f t="shared" si="24"/>
        <v>0</v>
      </c>
      <c r="W81" s="173"/>
      <c r="X81" s="173"/>
      <c r="Y81" s="173"/>
      <c r="Z81" s="173"/>
      <c r="AA81" s="172"/>
      <c r="AB81" s="3" t="s">
        <v>1538</v>
      </c>
      <c r="AC81" s="566">
        <v>810000</v>
      </c>
      <c r="AD81" s="284"/>
      <c r="AE81" s="284"/>
      <c r="AF81" s="166"/>
      <c r="AG81" s="166"/>
      <c r="AH81" s="166"/>
      <c r="AI81" s="166"/>
      <c r="AJ81" s="166"/>
    </row>
    <row r="82" spans="1:36" s="5" customFormat="1" ht="30" customHeight="1">
      <c r="A82" s="172">
        <f t="shared" si="19"/>
        <v>78</v>
      </c>
      <c r="B82" s="31">
        <v>2147</v>
      </c>
      <c r="C82" s="3" t="s">
        <v>705</v>
      </c>
      <c r="D82" s="4">
        <v>6500000</v>
      </c>
      <c r="E82" s="4">
        <v>6500000</v>
      </c>
      <c r="F82" s="173">
        <f t="shared" si="17"/>
        <v>0</v>
      </c>
      <c r="G82" s="4">
        <f>5500000+1000000</f>
        <v>6500000</v>
      </c>
      <c r="H82" s="4">
        <v>410670</v>
      </c>
      <c r="I82" s="4">
        <v>0</v>
      </c>
      <c r="J82" s="4">
        <v>4347853</v>
      </c>
      <c r="K82" s="173">
        <f t="shared" si="20"/>
        <v>4347853</v>
      </c>
      <c r="L82" s="173">
        <f t="shared" si="18"/>
        <v>4758523</v>
      </c>
      <c r="M82" s="173">
        <f t="shared" si="25"/>
        <v>1741477</v>
      </c>
      <c r="N82" s="173"/>
      <c r="O82" s="173">
        <f t="shared" si="21"/>
        <v>0</v>
      </c>
      <c r="P82" s="173">
        <f t="shared" si="22"/>
        <v>1741477</v>
      </c>
      <c r="Q82" s="173"/>
      <c r="R82" s="173"/>
      <c r="S82" s="173">
        <f t="shared" si="15"/>
        <v>0</v>
      </c>
      <c r="T82" s="173">
        <f t="shared" si="16"/>
        <v>0</v>
      </c>
      <c r="U82" s="173">
        <f t="shared" si="23"/>
        <v>0</v>
      </c>
      <c r="V82" s="173">
        <f t="shared" si="24"/>
        <v>0</v>
      </c>
      <c r="W82" s="173"/>
      <c r="X82" s="173"/>
      <c r="Y82" s="173"/>
      <c r="Z82" s="173"/>
      <c r="AA82" s="172"/>
      <c r="AB82" s="3" t="s">
        <v>798</v>
      </c>
      <c r="AC82" s="566">
        <v>810000</v>
      </c>
      <c r="AD82" s="284"/>
      <c r="AE82" s="284"/>
      <c r="AF82" s="166"/>
      <c r="AG82" s="166"/>
      <c r="AH82" s="166"/>
      <c r="AI82" s="166"/>
      <c r="AJ82" s="166"/>
    </row>
    <row r="83" spans="1:36" s="5" customFormat="1" ht="42">
      <c r="A83" s="172">
        <f t="shared" si="19"/>
        <v>79</v>
      </c>
      <c r="B83" s="31">
        <v>2148</v>
      </c>
      <c r="C83" s="3" t="s">
        <v>1524</v>
      </c>
      <c r="D83" s="4">
        <v>1200000</v>
      </c>
      <c r="E83" s="4">
        <v>1200000</v>
      </c>
      <c r="F83" s="173">
        <f t="shared" si="17"/>
        <v>0</v>
      </c>
      <c r="G83" s="4">
        <v>0</v>
      </c>
      <c r="H83" s="4">
        <v>0</v>
      </c>
      <c r="I83" s="4">
        <v>0</v>
      </c>
      <c r="J83" s="4">
        <v>0</v>
      </c>
      <c r="K83" s="173">
        <f t="shared" si="20"/>
        <v>0</v>
      </c>
      <c r="L83" s="173">
        <f t="shared" si="18"/>
        <v>0</v>
      </c>
      <c r="M83" s="173">
        <f t="shared" si="25"/>
        <v>0</v>
      </c>
      <c r="N83" s="173">
        <f>1200000-1200000</f>
        <v>0</v>
      </c>
      <c r="O83" s="173">
        <f t="shared" si="21"/>
        <v>1200000</v>
      </c>
      <c r="P83" s="173">
        <f t="shared" si="22"/>
        <v>0</v>
      </c>
      <c r="Q83" s="173"/>
      <c r="R83" s="173"/>
      <c r="S83" s="173">
        <f t="shared" si="15"/>
        <v>0</v>
      </c>
      <c r="T83" s="173">
        <f t="shared" si="16"/>
        <v>0</v>
      </c>
      <c r="U83" s="173">
        <f t="shared" si="23"/>
        <v>0</v>
      </c>
      <c r="V83" s="173">
        <f t="shared" si="24"/>
        <v>0</v>
      </c>
      <c r="W83" s="173"/>
      <c r="X83" s="173"/>
      <c r="Y83" s="173"/>
      <c r="Z83" s="173"/>
      <c r="AA83" s="172"/>
      <c r="AB83" s="3" t="s">
        <v>1539</v>
      </c>
      <c r="AC83" s="566">
        <v>742000</v>
      </c>
      <c r="AD83" s="284"/>
      <c r="AE83" s="284"/>
      <c r="AF83" s="166"/>
      <c r="AG83" s="166"/>
      <c r="AH83" s="166"/>
      <c r="AI83" s="166"/>
      <c r="AJ83" s="166"/>
    </row>
    <row r="84" spans="1:36" s="5" customFormat="1" ht="48" customHeight="1">
      <c r="A84" s="172">
        <f t="shared" si="19"/>
        <v>80</v>
      </c>
      <c r="B84" s="31">
        <v>2149</v>
      </c>
      <c r="C84" s="31" t="s">
        <v>1332</v>
      </c>
      <c r="D84" s="4">
        <v>2000000</v>
      </c>
      <c r="E84" s="4">
        <v>30000000</v>
      </c>
      <c r="F84" s="173">
        <f t="shared" si="17"/>
        <v>-28000000</v>
      </c>
      <c r="G84" s="4">
        <v>2000000</v>
      </c>
      <c r="H84" s="4">
        <v>200635</v>
      </c>
      <c r="I84" s="4">
        <v>0</v>
      </c>
      <c r="J84" s="4">
        <v>149364</v>
      </c>
      <c r="K84" s="173">
        <f t="shared" si="20"/>
        <v>149364</v>
      </c>
      <c r="L84" s="173">
        <f t="shared" si="18"/>
        <v>349999</v>
      </c>
      <c r="M84" s="173">
        <f t="shared" si="25"/>
        <v>1650001</v>
      </c>
      <c r="N84" s="173"/>
      <c r="O84" s="173">
        <f t="shared" si="21"/>
        <v>0</v>
      </c>
      <c r="P84" s="173">
        <f t="shared" si="22"/>
        <v>1650001</v>
      </c>
      <c r="Q84" s="173"/>
      <c r="R84" s="173"/>
      <c r="S84" s="173">
        <f t="shared" si="15"/>
        <v>0</v>
      </c>
      <c r="T84" s="173">
        <f t="shared" si="16"/>
        <v>0</v>
      </c>
      <c r="U84" s="173">
        <f t="shared" si="23"/>
        <v>0</v>
      </c>
      <c r="V84" s="173">
        <f t="shared" si="24"/>
        <v>0</v>
      </c>
      <c r="W84" s="173"/>
      <c r="X84" s="173"/>
      <c r="Y84" s="173"/>
      <c r="Z84" s="173"/>
      <c r="AA84" s="172"/>
      <c r="AB84" s="3" t="s">
        <v>1333</v>
      </c>
      <c r="AC84" s="566">
        <v>810000</v>
      </c>
      <c r="AD84" s="284"/>
      <c r="AE84" s="284"/>
      <c r="AF84" s="166"/>
      <c r="AG84" s="166"/>
      <c r="AH84" s="166"/>
      <c r="AI84" s="166"/>
      <c r="AJ84" s="166"/>
    </row>
    <row r="85" spans="1:36" s="5" customFormat="1" ht="42">
      <c r="A85" s="172">
        <f t="shared" si="19"/>
        <v>81</v>
      </c>
      <c r="B85" s="31">
        <v>2150</v>
      </c>
      <c r="C85" s="31" t="s">
        <v>1334</v>
      </c>
      <c r="D85" s="4">
        <f>3500000+14100000+5900000</f>
        <v>23500000</v>
      </c>
      <c r="E85" s="4">
        <v>3500000</v>
      </c>
      <c r="F85" s="173">
        <f t="shared" si="17"/>
        <v>20000000</v>
      </c>
      <c r="G85" s="4">
        <v>150000</v>
      </c>
      <c r="H85" s="4">
        <v>146784</v>
      </c>
      <c r="I85" s="4">
        <v>0</v>
      </c>
      <c r="J85" s="4">
        <v>3215</v>
      </c>
      <c r="K85" s="173">
        <f t="shared" si="20"/>
        <v>3215</v>
      </c>
      <c r="L85" s="173">
        <f t="shared" si="18"/>
        <v>149999</v>
      </c>
      <c r="M85" s="173">
        <f t="shared" si="25"/>
        <v>1</v>
      </c>
      <c r="N85" s="173">
        <f>3350000+12900000+1200000-7450000</f>
        <v>10000000</v>
      </c>
      <c r="O85" s="173">
        <f t="shared" si="21"/>
        <v>13350000</v>
      </c>
      <c r="P85" s="173">
        <f t="shared" si="22"/>
        <v>1</v>
      </c>
      <c r="Q85" s="173"/>
      <c r="R85" s="173"/>
      <c r="S85" s="173">
        <f t="shared" si="15"/>
        <v>0</v>
      </c>
      <c r="T85" s="173">
        <f t="shared" si="16"/>
        <v>0</v>
      </c>
      <c r="U85" s="173">
        <f t="shared" si="23"/>
        <v>10000000</v>
      </c>
      <c r="V85" s="173">
        <f t="shared" si="24"/>
        <v>10000000</v>
      </c>
      <c r="W85" s="173"/>
      <c r="X85" s="173"/>
      <c r="Y85" s="173"/>
      <c r="Z85" s="173"/>
      <c r="AA85" s="172"/>
      <c r="AB85" s="31" t="s">
        <v>1407</v>
      </c>
      <c r="AC85" s="566">
        <v>746000</v>
      </c>
      <c r="AD85" s="284"/>
      <c r="AE85" s="284"/>
      <c r="AF85" s="166"/>
      <c r="AG85" s="166"/>
      <c r="AH85" s="166"/>
      <c r="AI85" s="166"/>
      <c r="AJ85" s="166"/>
    </row>
    <row r="86" spans="1:36" s="5" customFormat="1" ht="30" customHeight="1">
      <c r="A86" s="172">
        <f t="shared" si="19"/>
        <v>82</v>
      </c>
      <c r="B86" s="31">
        <v>2151</v>
      </c>
      <c r="C86" s="3" t="s">
        <v>709</v>
      </c>
      <c r="D86" s="4">
        <f>2000000+52000000</f>
        <v>54000000</v>
      </c>
      <c r="E86" s="4">
        <v>2000000</v>
      </c>
      <c r="F86" s="173">
        <f t="shared" si="17"/>
        <v>52000000</v>
      </c>
      <c r="G86" s="4">
        <v>2000000</v>
      </c>
      <c r="H86" s="4">
        <v>446093</v>
      </c>
      <c r="I86" s="4">
        <v>0</v>
      </c>
      <c r="J86" s="4">
        <v>3906</v>
      </c>
      <c r="K86" s="173">
        <f t="shared" si="20"/>
        <v>3906</v>
      </c>
      <c r="L86" s="173">
        <f t="shared" si="18"/>
        <v>449999</v>
      </c>
      <c r="M86" s="173">
        <f t="shared" si="25"/>
        <v>1550001</v>
      </c>
      <c r="N86" s="173">
        <f>25000000-22000000</f>
        <v>3000000</v>
      </c>
      <c r="O86" s="173">
        <f t="shared" si="21"/>
        <v>49000000</v>
      </c>
      <c r="P86" s="173">
        <f t="shared" si="22"/>
        <v>1550001</v>
      </c>
      <c r="Q86" s="173"/>
      <c r="R86" s="173"/>
      <c r="S86" s="173">
        <f t="shared" si="15"/>
        <v>0</v>
      </c>
      <c r="T86" s="173">
        <f t="shared" si="16"/>
        <v>0</v>
      </c>
      <c r="U86" s="173">
        <f t="shared" si="23"/>
        <v>3000000</v>
      </c>
      <c r="V86" s="173">
        <f t="shared" si="24"/>
        <v>3000000</v>
      </c>
      <c r="W86" s="173"/>
      <c r="X86" s="173"/>
      <c r="Y86" s="173"/>
      <c r="Z86" s="173"/>
      <c r="AA86" s="172"/>
      <c r="AB86" s="31" t="s">
        <v>1454</v>
      </c>
      <c r="AC86" s="566">
        <v>742000</v>
      </c>
      <c r="AD86" s="284"/>
      <c r="AE86" s="284"/>
      <c r="AF86" s="166"/>
      <c r="AG86" s="166"/>
      <c r="AH86" s="166"/>
      <c r="AI86" s="166"/>
      <c r="AJ86" s="166"/>
    </row>
    <row r="87" spans="1:36" s="5" customFormat="1" ht="30" customHeight="1">
      <c r="A87" s="172">
        <f t="shared" si="19"/>
        <v>83</v>
      </c>
      <c r="B87" s="31">
        <v>2152</v>
      </c>
      <c r="C87" s="3" t="s">
        <v>710</v>
      </c>
      <c r="D87" s="4">
        <v>16000000</v>
      </c>
      <c r="E87" s="4">
        <v>1000000</v>
      </c>
      <c r="F87" s="173">
        <f t="shared" si="17"/>
        <v>15000000</v>
      </c>
      <c r="G87" s="4">
        <v>1000000</v>
      </c>
      <c r="H87" s="4">
        <v>31005</v>
      </c>
      <c r="I87" s="4">
        <v>0</v>
      </c>
      <c r="J87" s="4">
        <v>93015</v>
      </c>
      <c r="K87" s="173">
        <f t="shared" si="20"/>
        <v>93015</v>
      </c>
      <c r="L87" s="173">
        <f t="shared" si="18"/>
        <v>124020</v>
      </c>
      <c r="M87" s="173">
        <f t="shared" si="25"/>
        <v>875980</v>
      </c>
      <c r="N87" s="173">
        <v>500000</v>
      </c>
      <c r="O87" s="173">
        <f t="shared" si="21"/>
        <v>14500000</v>
      </c>
      <c r="P87" s="173">
        <f t="shared" si="22"/>
        <v>875980</v>
      </c>
      <c r="Q87" s="173"/>
      <c r="R87" s="173"/>
      <c r="S87" s="173">
        <f t="shared" si="15"/>
        <v>0</v>
      </c>
      <c r="T87" s="173">
        <f t="shared" si="16"/>
        <v>0</v>
      </c>
      <c r="U87" s="173">
        <f t="shared" si="23"/>
        <v>500000</v>
      </c>
      <c r="V87" s="173">
        <f t="shared" si="24"/>
        <v>500000</v>
      </c>
      <c r="W87" s="173"/>
      <c r="X87" s="173"/>
      <c r="Y87" s="173"/>
      <c r="Z87" s="173"/>
      <c r="AA87" s="172"/>
      <c r="AB87" s="31" t="s">
        <v>1455</v>
      </c>
      <c r="AC87" s="566">
        <v>810000</v>
      </c>
      <c r="AD87" s="284"/>
      <c r="AE87" s="284"/>
      <c r="AF87" s="166"/>
      <c r="AG87" s="166"/>
      <c r="AH87" s="166"/>
      <c r="AI87" s="166"/>
      <c r="AJ87" s="166"/>
    </row>
    <row r="88" spans="1:36" s="5" customFormat="1" ht="30" customHeight="1">
      <c r="A88" s="172">
        <f t="shared" si="19"/>
        <v>84</v>
      </c>
      <c r="B88" s="31">
        <v>2153</v>
      </c>
      <c r="C88" s="3" t="s">
        <v>799</v>
      </c>
      <c r="D88" s="4">
        <v>1000000</v>
      </c>
      <c r="E88" s="4">
        <v>1000000</v>
      </c>
      <c r="F88" s="173">
        <f t="shared" si="17"/>
        <v>0</v>
      </c>
      <c r="G88" s="4">
        <v>300000</v>
      </c>
      <c r="H88" s="4">
        <v>24804</v>
      </c>
      <c r="I88" s="4">
        <v>0</v>
      </c>
      <c r="J88" s="4">
        <v>125195</v>
      </c>
      <c r="K88" s="173">
        <f t="shared" si="20"/>
        <v>125195</v>
      </c>
      <c r="L88" s="173">
        <f t="shared" si="18"/>
        <v>149999</v>
      </c>
      <c r="M88" s="173">
        <f t="shared" si="25"/>
        <v>150001</v>
      </c>
      <c r="N88" s="173">
        <v>700000</v>
      </c>
      <c r="O88" s="173">
        <f t="shared" si="21"/>
        <v>0</v>
      </c>
      <c r="P88" s="173">
        <f t="shared" si="22"/>
        <v>150001</v>
      </c>
      <c r="Q88" s="173"/>
      <c r="R88" s="173"/>
      <c r="S88" s="173">
        <f t="shared" si="15"/>
        <v>0</v>
      </c>
      <c r="T88" s="173">
        <f t="shared" si="16"/>
        <v>0</v>
      </c>
      <c r="U88" s="173">
        <f t="shared" si="23"/>
        <v>700000</v>
      </c>
      <c r="V88" s="173">
        <f t="shared" si="24"/>
        <v>700000</v>
      </c>
      <c r="W88" s="173"/>
      <c r="X88" s="173"/>
      <c r="Y88" s="173"/>
      <c r="Z88" s="173"/>
      <c r="AA88" s="172"/>
      <c r="AB88" s="31" t="s">
        <v>1335</v>
      </c>
      <c r="AC88" s="566">
        <v>829000</v>
      </c>
      <c r="AD88" s="284"/>
      <c r="AE88" s="284"/>
      <c r="AF88" s="166"/>
      <c r="AG88" s="166"/>
      <c r="AH88" s="166"/>
      <c r="AI88" s="166"/>
      <c r="AJ88" s="166"/>
    </row>
    <row r="89" spans="1:36" s="5" customFormat="1" ht="30" customHeight="1">
      <c r="A89" s="172">
        <f t="shared" si="19"/>
        <v>85</v>
      </c>
      <c r="B89" s="31">
        <v>2174</v>
      </c>
      <c r="C89" s="3" t="s">
        <v>945</v>
      </c>
      <c r="D89" s="4">
        <f>500000+12100000</f>
        <v>12600000</v>
      </c>
      <c r="E89" s="4">
        <v>12600000</v>
      </c>
      <c r="F89" s="173">
        <f t="shared" si="17"/>
        <v>0</v>
      </c>
      <c r="G89" s="4">
        <f>500000+4000000</f>
        <v>4500000</v>
      </c>
      <c r="H89" s="4">
        <v>6201</v>
      </c>
      <c r="I89" s="4">
        <v>0</v>
      </c>
      <c r="J89" s="4">
        <v>493797</v>
      </c>
      <c r="K89" s="173">
        <f t="shared" si="20"/>
        <v>493797</v>
      </c>
      <c r="L89" s="173">
        <f t="shared" si="18"/>
        <v>499998</v>
      </c>
      <c r="M89" s="173">
        <f t="shared" si="25"/>
        <v>4000002</v>
      </c>
      <c r="N89" s="173">
        <v>8100000</v>
      </c>
      <c r="O89" s="173">
        <f t="shared" si="21"/>
        <v>0</v>
      </c>
      <c r="P89" s="173">
        <f t="shared" si="22"/>
        <v>4000002</v>
      </c>
      <c r="Q89" s="173"/>
      <c r="R89" s="173"/>
      <c r="S89" s="173">
        <f t="shared" si="15"/>
        <v>0</v>
      </c>
      <c r="T89" s="173">
        <f t="shared" si="16"/>
        <v>0</v>
      </c>
      <c r="U89" s="173">
        <f t="shared" si="23"/>
        <v>8100000</v>
      </c>
      <c r="V89" s="173">
        <f t="shared" si="24"/>
        <v>5048992</v>
      </c>
      <c r="W89" s="173"/>
      <c r="X89" s="173"/>
      <c r="Y89" s="173"/>
      <c r="Z89" s="173"/>
      <c r="AA89" s="173">
        <v>3051008</v>
      </c>
      <c r="AB89" s="3" t="s">
        <v>1456</v>
      </c>
      <c r="AC89" s="566">
        <v>810000</v>
      </c>
      <c r="AD89" s="284"/>
      <c r="AE89" s="284"/>
      <c r="AF89" s="166"/>
      <c r="AG89" s="166"/>
      <c r="AH89" s="166"/>
      <c r="AI89" s="166"/>
      <c r="AJ89" s="166"/>
    </row>
    <row r="90" spans="1:36" s="5" customFormat="1" ht="30" customHeight="1">
      <c r="A90" s="172">
        <f t="shared" si="19"/>
        <v>86</v>
      </c>
      <c r="B90" s="31">
        <v>2175</v>
      </c>
      <c r="C90" s="3" t="s">
        <v>946</v>
      </c>
      <c r="D90" s="4">
        <f>500000+20500000</f>
        <v>21000000</v>
      </c>
      <c r="E90" s="4">
        <v>20500000</v>
      </c>
      <c r="F90" s="173">
        <f t="shared" si="17"/>
        <v>500000</v>
      </c>
      <c r="G90" s="4">
        <f>500000+5000000</f>
        <v>5500000</v>
      </c>
      <c r="H90" s="4">
        <v>103966</v>
      </c>
      <c r="I90" s="4">
        <v>0</v>
      </c>
      <c r="J90" s="4">
        <v>396033</v>
      </c>
      <c r="K90" s="173">
        <f t="shared" si="20"/>
        <v>396033</v>
      </c>
      <c r="L90" s="173">
        <f t="shared" si="18"/>
        <v>499999</v>
      </c>
      <c r="M90" s="173">
        <f t="shared" si="25"/>
        <v>5000001</v>
      </c>
      <c r="N90" s="173">
        <v>15500000</v>
      </c>
      <c r="O90" s="173">
        <f t="shared" si="21"/>
        <v>0</v>
      </c>
      <c r="P90" s="173">
        <f t="shared" si="22"/>
        <v>5000001</v>
      </c>
      <c r="Q90" s="173"/>
      <c r="R90" s="173"/>
      <c r="S90" s="173">
        <f t="shared" si="15"/>
        <v>0</v>
      </c>
      <c r="T90" s="173">
        <f t="shared" si="16"/>
        <v>0</v>
      </c>
      <c r="U90" s="173">
        <f t="shared" si="23"/>
        <v>15500000</v>
      </c>
      <c r="V90" s="173">
        <f t="shared" si="24"/>
        <v>10160736</v>
      </c>
      <c r="W90" s="173"/>
      <c r="X90" s="173"/>
      <c r="Y90" s="173"/>
      <c r="Z90" s="173"/>
      <c r="AA90" s="173">
        <v>5339264</v>
      </c>
      <c r="AB90" s="3" t="s">
        <v>1457</v>
      </c>
      <c r="AC90" s="566">
        <v>810000</v>
      </c>
      <c r="AD90" s="284"/>
      <c r="AE90" s="284"/>
      <c r="AF90" s="166"/>
      <c r="AG90" s="166"/>
      <c r="AH90" s="166"/>
      <c r="AI90" s="166"/>
      <c r="AJ90" s="166"/>
    </row>
    <row r="91" spans="1:36" s="5" customFormat="1" ht="30" customHeight="1">
      <c r="A91" s="172">
        <f t="shared" si="19"/>
        <v>87</v>
      </c>
      <c r="B91" s="31">
        <v>2180</v>
      </c>
      <c r="C91" s="3" t="s">
        <v>947</v>
      </c>
      <c r="D91" s="4">
        <v>1000000</v>
      </c>
      <c r="E91" s="4">
        <v>500000</v>
      </c>
      <c r="F91" s="173">
        <f t="shared" si="17"/>
        <v>500000</v>
      </c>
      <c r="G91" s="4">
        <v>500000</v>
      </c>
      <c r="H91" s="4">
        <v>0</v>
      </c>
      <c r="I91" s="4">
        <v>0</v>
      </c>
      <c r="J91" s="4">
        <v>0</v>
      </c>
      <c r="K91" s="173">
        <f t="shared" si="20"/>
        <v>0</v>
      </c>
      <c r="L91" s="173">
        <f t="shared" si="18"/>
        <v>0</v>
      </c>
      <c r="M91" s="173">
        <f t="shared" si="25"/>
        <v>500000</v>
      </c>
      <c r="N91" s="173">
        <v>500000</v>
      </c>
      <c r="O91" s="173">
        <f t="shared" si="21"/>
        <v>0</v>
      </c>
      <c r="P91" s="173">
        <f t="shared" si="22"/>
        <v>500000</v>
      </c>
      <c r="Q91" s="173"/>
      <c r="R91" s="173"/>
      <c r="S91" s="173">
        <f t="shared" si="15"/>
        <v>0</v>
      </c>
      <c r="T91" s="173">
        <f t="shared" si="16"/>
        <v>0</v>
      </c>
      <c r="U91" s="173">
        <f t="shared" si="23"/>
        <v>500000</v>
      </c>
      <c r="V91" s="173">
        <f t="shared" si="24"/>
        <v>500000</v>
      </c>
      <c r="W91" s="173"/>
      <c r="X91" s="173"/>
      <c r="Y91" s="173"/>
      <c r="Z91" s="173"/>
      <c r="AA91" s="172"/>
      <c r="AB91" s="3" t="s">
        <v>1336</v>
      </c>
      <c r="AC91" s="566">
        <v>732000</v>
      </c>
      <c r="AD91" s="284"/>
      <c r="AE91" s="284"/>
      <c r="AF91" s="166"/>
      <c r="AG91" s="166"/>
      <c r="AH91" s="166"/>
      <c r="AI91" s="166"/>
      <c r="AJ91" s="166"/>
    </row>
    <row r="92" spans="1:36" s="5" customFormat="1" ht="30" customHeight="1">
      <c r="A92" s="172">
        <f t="shared" si="19"/>
        <v>88</v>
      </c>
      <c r="B92" s="31">
        <v>2182</v>
      </c>
      <c r="C92" s="3" t="s">
        <v>948</v>
      </c>
      <c r="D92" s="4">
        <f>300000+2200000</f>
        <v>2500000</v>
      </c>
      <c r="E92" s="4">
        <v>300000</v>
      </c>
      <c r="F92" s="173">
        <f t="shared" si="17"/>
        <v>2200000</v>
      </c>
      <c r="G92" s="4">
        <v>300000</v>
      </c>
      <c r="H92" s="4">
        <v>0</v>
      </c>
      <c r="I92" s="4">
        <v>0</v>
      </c>
      <c r="J92" s="4">
        <v>0</v>
      </c>
      <c r="K92" s="173">
        <f t="shared" si="20"/>
        <v>0</v>
      </c>
      <c r="L92" s="173">
        <f t="shared" si="18"/>
        <v>0</v>
      </c>
      <c r="M92" s="173">
        <f t="shared" si="25"/>
        <v>300000</v>
      </c>
      <c r="N92" s="173">
        <v>1700000</v>
      </c>
      <c r="O92" s="173">
        <f t="shared" si="21"/>
        <v>500000</v>
      </c>
      <c r="P92" s="173">
        <f t="shared" si="22"/>
        <v>300000</v>
      </c>
      <c r="Q92" s="173"/>
      <c r="R92" s="173"/>
      <c r="S92" s="173">
        <f t="shared" si="15"/>
        <v>0</v>
      </c>
      <c r="T92" s="173">
        <f t="shared" si="16"/>
        <v>0</v>
      </c>
      <c r="U92" s="173">
        <f t="shared" si="23"/>
        <v>1700000</v>
      </c>
      <c r="V92" s="173">
        <f t="shared" si="24"/>
        <v>1700000</v>
      </c>
      <c r="W92" s="173"/>
      <c r="X92" s="173"/>
      <c r="Y92" s="173"/>
      <c r="Z92" s="173"/>
      <c r="AA92" s="172"/>
      <c r="AB92" s="3" t="s">
        <v>1458</v>
      </c>
      <c r="AC92" s="566">
        <v>810000</v>
      </c>
      <c r="AD92" s="284"/>
      <c r="AE92" s="284"/>
      <c r="AF92" s="166"/>
      <c r="AG92" s="166"/>
      <c r="AH92" s="166"/>
      <c r="AI92" s="166"/>
      <c r="AJ92" s="166"/>
    </row>
    <row r="93" spans="1:36" s="5" customFormat="1" ht="30" customHeight="1">
      <c r="A93" s="172">
        <f t="shared" si="19"/>
        <v>89</v>
      </c>
      <c r="B93" s="31">
        <v>2185</v>
      </c>
      <c r="C93" s="3" t="s">
        <v>949</v>
      </c>
      <c r="D93" s="4">
        <v>750000</v>
      </c>
      <c r="E93" s="4">
        <v>500000</v>
      </c>
      <c r="F93" s="173">
        <f t="shared" si="17"/>
        <v>250000</v>
      </c>
      <c r="G93" s="4">
        <v>500000</v>
      </c>
      <c r="H93" s="4">
        <v>0</v>
      </c>
      <c r="I93" s="4">
        <v>0</v>
      </c>
      <c r="J93" s="4">
        <v>0</v>
      </c>
      <c r="K93" s="173">
        <f t="shared" si="20"/>
        <v>0</v>
      </c>
      <c r="L93" s="173">
        <f t="shared" si="18"/>
        <v>0</v>
      </c>
      <c r="M93" s="173">
        <f t="shared" si="25"/>
        <v>500000</v>
      </c>
      <c r="N93" s="173">
        <v>250000</v>
      </c>
      <c r="O93" s="173">
        <f t="shared" si="21"/>
        <v>0</v>
      </c>
      <c r="P93" s="173">
        <f t="shared" si="22"/>
        <v>500000</v>
      </c>
      <c r="Q93" s="173"/>
      <c r="R93" s="173"/>
      <c r="S93" s="173">
        <f t="shared" si="15"/>
        <v>0</v>
      </c>
      <c r="T93" s="173">
        <f t="shared" si="16"/>
        <v>0</v>
      </c>
      <c r="U93" s="173">
        <f t="shared" si="23"/>
        <v>250000</v>
      </c>
      <c r="V93" s="173">
        <f t="shared" si="24"/>
        <v>250000</v>
      </c>
      <c r="W93" s="173"/>
      <c r="X93" s="173"/>
      <c r="Y93" s="173"/>
      <c r="Z93" s="173"/>
      <c r="AA93" s="172"/>
      <c r="AB93" s="3" t="s">
        <v>1459</v>
      </c>
      <c r="AC93" s="566">
        <v>810000</v>
      </c>
      <c r="AD93" s="284"/>
      <c r="AE93" s="284"/>
      <c r="AF93" s="166"/>
      <c r="AG93" s="166"/>
      <c r="AH93" s="166"/>
      <c r="AI93" s="166"/>
      <c r="AJ93" s="166"/>
    </row>
    <row r="94" spans="1:36" s="5" customFormat="1" ht="30" customHeight="1">
      <c r="A94" s="172">
        <f t="shared" si="19"/>
        <v>90</v>
      </c>
      <c r="B94" s="31">
        <v>2201</v>
      </c>
      <c r="C94" s="3" t="s">
        <v>1339</v>
      </c>
      <c r="D94" s="4">
        <v>80000000</v>
      </c>
      <c r="E94" s="4"/>
      <c r="F94" s="4">
        <f t="shared" si="17"/>
        <v>80000000</v>
      </c>
      <c r="G94" s="4">
        <v>0</v>
      </c>
      <c r="H94" s="4">
        <v>0</v>
      </c>
      <c r="I94" s="4">
        <v>0</v>
      </c>
      <c r="J94" s="4">
        <v>0</v>
      </c>
      <c r="K94" s="4">
        <f t="shared" ref="K94:K103" si="26">SUM(I94:J94)</f>
        <v>0</v>
      </c>
      <c r="L94" s="173">
        <f t="shared" si="18"/>
        <v>0</v>
      </c>
      <c r="M94" s="173">
        <f t="shared" si="25"/>
        <v>0</v>
      </c>
      <c r="N94" s="4">
        <v>500000</v>
      </c>
      <c r="O94" s="4">
        <f t="shared" si="21"/>
        <v>79500000</v>
      </c>
      <c r="P94" s="4">
        <f t="shared" si="22"/>
        <v>0</v>
      </c>
      <c r="Q94" s="4"/>
      <c r="R94" s="4"/>
      <c r="S94" s="173">
        <f>SUM(Q94:R94)</f>
        <v>0</v>
      </c>
      <c r="T94" s="173">
        <f>P94-M94+S94</f>
        <v>0</v>
      </c>
      <c r="U94" s="173">
        <f>N94-T94</f>
        <v>500000</v>
      </c>
      <c r="V94" s="173">
        <f>U94-Z94-X94-AA94-W94</f>
        <v>500000</v>
      </c>
      <c r="W94" s="4"/>
      <c r="X94" s="4"/>
      <c r="Y94" s="4"/>
      <c r="Z94" s="4"/>
      <c r="AA94" s="4"/>
      <c r="AB94" s="3" t="s">
        <v>1540</v>
      </c>
      <c r="AC94" s="566">
        <v>810000</v>
      </c>
      <c r="AD94" s="284"/>
      <c r="AE94" s="284"/>
      <c r="AF94" s="166"/>
      <c r="AG94" s="166"/>
      <c r="AH94" s="166"/>
      <c r="AI94" s="166"/>
      <c r="AJ94" s="166"/>
    </row>
    <row r="95" spans="1:36" s="5" customFormat="1" ht="30" customHeight="1">
      <c r="A95" s="172">
        <f t="shared" si="19"/>
        <v>91</v>
      </c>
      <c r="B95" s="31">
        <v>2202</v>
      </c>
      <c r="C95" s="3" t="s">
        <v>1340</v>
      </c>
      <c r="D95" s="4">
        <v>1000000</v>
      </c>
      <c r="E95" s="4"/>
      <c r="F95" s="4">
        <f t="shared" si="17"/>
        <v>1000000</v>
      </c>
      <c r="G95" s="4"/>
      <c r="H95" s="4"/>
      <c r="I95" s="4"/>
      <c r="J95" s="4"/>
      <c r="K95" s="4">
        <f t="shared" si="26"/>
        <v>0</v>
      </c>
      <c r="L95" s="173">
        <f t="shared" si="18"/>
        <v>0</v>
      </c>
      <c r="M95" s="173">
        <f t="shared" si="25"/>
        <v>0</v>
      </c>
      <c r="N95" s="4">
        <v>1000000</v>
      </c>
      <c r="O95" s="4">
        <f t="shared" si="21"/>
        <v>0</v>
      </c>
      <c r="P95" s="4">
        <f t="shared" si="22"/>
        <v>0</v>
      </c>
      <c r="Q95" s="4"/>
      <c r="R95" s="4"/>
      <c r="S95" s="173">
        <f t="shared" ref="S95:S103" si="27">SUM(Q95:R95)</f>
        <v>0</v>
      </c>
      <c r="T95" s="173">
        <f t="shared" ref="T95:T103" si="28">P95-M95+S95</f>
        <v>0</v>
      </c>
      <c r="U95" s="173">
        <f t="shared" ref="U95:U103" si="29">N95-T95</f>
        <v>1000000</v>
      </c>
      <c r="V95" s="173">
        <f t="shared" ref="V95:V103" si="30">U95-Z95-X95-AA95-W95</f>
        <v>1000000</v>
      </c>
      <c r="W95" s="4"/>
      <c r="X95" s="4"/>
      <c r="Y95" s="4"/>
      <c r="Z95" s="4"/>
      <c r="AA95" s="4"/>
      <c r="AB95" s="3" t="s">
        <v>1408</v>
      </c>
      <c r="AC95" s="566">
        <v>810000</v>
      </c>
      <c r="AD95" s="284"/>
      <c r="AE95" s="284"/>
      <c r="AF95" s="166"/>
      <c r="AG95" s="166"/>
      <c r="AH95" s="166"/>
      <c r="AI95" s="166"/>
      <c r="AJ95" s="166"/>
    </row>
    <row r="96" spans="1:36" s="5" customFormat="1" ht="30" customHeight="1">
      <c r="A96" s="172">
        <f t="shared" si="19"/>
        <v>92</v>
      </c>
      <c r="B96" s="31">
        <v>2203</v>
      </c>
      <c r="C96" s="3" t="s">
        <v>1341</v>
      </c>
      <c r="D96" s="4">
        <v>1000000</v>
      </c>
      <c r="E96" s="4"/>
      <c r="F96" s="4">
        <f t="shared" si="17"/>
        <v>1000000</v>
      </c>
      <c r="G96" s="4"/>
      <c r="H96" s="4"/>
      <c r="I96" s="4"/>
      <c r="J96" s="4"/>
      <c r="K96" s="4">
        <f t="shared" si="26"/>
        <v>0</v>
      </c>
      <c r="L96" s="173">
        <f t="shared" si="18"/>
        <v>0</v>
      </c>
      <c r="M96" s="173">
        <f t="shared" si="25"/>
        <v>0</v>
      </c>
      <c r="N96" s="4">
        <v>1000000</v>
      </c>
      <c r="O96" s="4">
        <f t="shared" si="21"/>
        <v>0</v>
      </c>
      <c r="P96" s="4">
        <f t="shared" si="22"/>
        <v>0</v>
      </c>
      <c r="Q96" s="4"/>
      <c r="R96" s="4"/>
      <c r="S96" s="173">
        <f t="shared" si="27"/>
        <v>0</v>
      </c>
      <c r="T96" s="173">
        <f t="shared" si="28"/>
        <v>0</v>
      </c>
      <c r="U96" s="173">
        <f t="shared" si="29"/>
        <v>1000000</v>
      </c>
      <c r="V96" s="173">
        <f t="shared" si="30"/>
        <v>1000000</v>
      </c>
      <c r="W96" s="4"/>
      <c r="X96" s="4"/>
      <c r="Y96" s="4"/>
      <c r="Z96" s="4"/>
      <c r="AA96" s="4"/>
      <c r="AB96" s="3" t="s">
        <v>1342</v>
      </c>
      <c r="AC96" s="614">
        <v>829000</v>
      </c>
      <c r="AD96" s="284"/>
      <c r="AE96" s="284"/>
      <c r="AF96" s="166"/>
      <c r="AG96" s="166"/>
      <c r="AH96" s="166"/>
      <c r="AI96" s="166"/>
      <c r="AJ96" s="166"/>
    </row>
    <row r="97" spans="1:36" s="5" customFormat="1" ht="30" customHeight="1">
      <c r="A97" s="172">
        <f t="shared" si="19"/>
        <v>93</v>
      </c>
      <c r="B97" s="31">
        <v>2204</v>
      </c>
      <c r="C97" s="3" t="s">
        <v>1343</v>
      </c>
      <c r="D97" s="4">
        <v>800000</v>
      </c>
      <c r="E97" s="4"/>
      <c r="F97" s="4">
        <f t="shared" si="17"/>
        <v>800000</v>
      </c>
      <c r="G97" s="4"/>
      <c r="H97" s="4"/>
      <c r="I97" s="4"/>
      <c r="J97" s="4"/>
      <c r="K97" s="4">
        <f t="shared" si="26"/>
        <v>0</v>
      </c>
      <c r="L97" s="173">
        <f t="shared" si="18"/>
        <v>0</v>
      </c>
      <c r="M97" s="173">
        <f t="shared" si="25"/>
        <v>0</v>
      </c>
      <c r="N97" s="4">
        <v>800000</v>
      </c>
      <c r="O97" s="4">
        <f t="shared" si="21"/>
        <v>0</v>
      </c>
      <c r="P97" s="4">
        <f t="shared" si="22"/>
        <v>0</v>
      </c>
      <c r="Q97" s="4"/>
      <c r="R97" s="4"/>
      <c r="S97" s="173">
        <f t="shared" si="27"/>
        <v>0</v>
      </c>
      <c r="T97" s="173">
        <f t="shared" si="28"/>
        <v>0</v>
      </c>
      <c r="U97" s="173">
        <f t="shared" si="29"/>
        <v>800000</v>
      </c>
      <c r="V97" s="173">
        <f t="shared" si="30"/>
        <v>800000</v>
      </c>
      <c r="W97" s="4"/>
      <c r="X97" s="4"/>
      <c r="Y97" s="4"/>
      <c r="Z97" s="4"/>
      <c r="AA97" s="4"/>
      <c r="AB97" s="3" t="s">
        <v>1541</v>
      </c>
      <c r="AC97" s="566">
        <v>810000</v>
      </c>
      <c r="AD97" s="284"/>
      <c r="AE97" s="284"/>
      <c r="AF97" s="166"/>
      <c r="AG97" s="166"/>
      <c r="AH97" s="166"/>
      <c r="AI97" s="166"/>
      <c r="AJ97" s="166"/>
    </row>
    <row r="98" spans="1:36" s="5" customFormat="1" ht="30" customHeight="1">
      <c r="A98" s="172">
        <f t="shared" si="19"/>
        <v>94</v>
      </c>
      <c r="B98" s="31">
        <v>2205</v>
      </c>
      <c r="C98" s="3" t="s">
        <v>1092</v>
      </c>
      <c r="D98" s="4">
        <v>16000000</v>
      </c>
      <c r="E98" s="4"/>
      <c r="F98" s="4">
        <f t="shared" si="17"/>
        <v>16000000</v>
      </c>
      <c r="G98" s="4"/>
      <c r="H98" s="4"/>
      <c r="I98" s="4"/>
      <c r="J98" s="4"/>
      <c r="K98" s="4">
        <f t="shared" si="26"/>
        <v>0</v>
      </c>
      <c r="L98" s="173">
        <f t="shared" si="18"/>
        <v>0</v>
      </c>
      <c r="M98" s="173">
        <f t="shared" si="25"/>
        <v>0</v>
      </c>
      <c r="N98" s="4">
        <v>500000</v>
      </c>
      <c r="O98" s="4">
        <f t="shared" si="21"/>
        <v>15500000</v>
      </c>
      <c r="P98" s="4">
        <f t="shared" si="22"/>
        <v>0</v>
      </c>
      <c r="Q98" s="4"/>
      <c r="R98" s="4"/>
      <c r="S98" s="173">
        <f t="shared" si="27"/>
        <v>0</v>
      </c>
      <c r="T98" s="173">
        <f t="shared" si="28"/>
        <v>0</v>
      </c>
      <c r="U98" s="173">
        <f t="shared" si="29"/>
        <v>500000</v>
      </c>
      <c r="V98" s="173">
        <f t="shared" si="30"/>
        <v>500000</v>
      </c>
      <c r="W98" s="4"/>
      <c r="X98" s="4"/>
      <c r="Y98" s="4"/>
      <c r="Z98" s="4"/>
      <c r="AA98" s="4"/>
      <c r="AB98" s="33" t="s">
        <v>1460</v>
      </c>
      <c r="AC98" s="566">
        <v>810000</v>
      </c>
      <c r="AD98" s="284"/>
      <c r="AE98" s="284"/>
      <c r="AF98" s="166"/>
      <c r="AG98" s="166"/>
      <c r="AH98" s="166"/>
      <c r="AI98" s="166"/>
      <c r="AJ98" s="166"/>
    </row>
    <row r="99" spans="1:36" s="5" customFormat="1" ht="30" customHeight="1">
      <c r="A99" s="172">
        <f t="shared" si="19"/>
        <v>95</v>
      </c>
      <c r="B99" s="31">
        <v>2206</v>
      </c>
      <c r="C99" s="3" t="s">
        <v>1344</v>
      </c>
      <c r="D99" s="4">
        <v>1000000</v>
      </c>
      <c r="E99" s="4"/>
      <c r="F99" s="4">
        <f t="shared" si="17"/>
        <v>1000000</v>
      </c>
      <c r="G99" s="4"/>
      <c r="H99" s="4"/>
      <c r="I99" s="4"/>
      <c r="J99" s="4"/>
      <c r="K99" s="4">
        <f t="shared" si="26"/>
        <v>0</v>
      </c>
      <c r="L99" s="173">
        <f t="shared" si="18"/>
        <v>0</v>
      </c>
      <c r="M99" s="173">
        <f t="shared" si="25"/>
        <v>0</v>
      </c>
      <c r="N99" s="4">
        <v>1000000</v>
      </c>
      <c r="O99" s="4">
        <f t="shared" si="21"/>
        <v>0</v>
      </c>
      <c r="P99" s="4">
        <f t="shared" si="22"/>
        <v>0</v>
      </c>
      <c r="Q99" s="4"/>
      <c r="R99" s="4"/>
      <c r="S99" s="173">
        <f t="shared" si="27"/>
        <v>0</v>
      </c>
      <c r="T99" s="173">
        <f t="shared" si="28"/>
        <v>0</v>
      </c>
      <c r="U99" s="173">
        <f t="shared" si="29"/>
        <v>1000000</v>
      </c>
      <c r="V99" s="173">
        <f t="shared" si="30"/>
        <v>1000000</v>
      </c>
      <c r="W99" s="4"/>
      <c r="X99" s="4"/>
      <c r="Y99" s="4"/>
      <c r="Z99" s="4"/>
      <c r="AA99" s="4"/>
      <c r="AB99" s="33" t="s">
        <v>1461</v>
      </c>
      <c r="AC99" s="566">
        <v>810000</v>
      </c>
      <c r="AD99" s="284"/>
      <c r="AE99" s="284"/>
      <c r="AF99" s="166"/>
      <c r="AG99" s="166"/>
      <c r="AH99" s="166"/>
      <c r="AI99" s="166"/>
      <c r="AJ99" s="166"/>
    </row>
    <row r="100" spans="1:36" s="5" customFormat="1" ht="30" customHeight="1">
      <c r="A100" s="172">
        <f t="shared" si="19"/>
        <v>96</v>
      </c>
      <c r="B100" s="31">
        <v>2207</v>
      </c>
      <c r="C100" s="3" t="s">
        <v>1345</v>
      </c>
      <c r="D100" s="4">
        <v>500000</v>
      </c>
      <c r="E100" s="4"/>
      <c r="F100" s="4">
        <f t="shared" si="17"/>
        <v>500000</v>
      </c>
      <c r="G100" s="4">
        <v>0</v>
      </c>
      <c r="H100" s="4">
        <v>0</v>
      </c>
      <c r="I100" s="4">
        <v>0</v>
      </c>
      <c r="J100" s="4">
        <v>0</v>
      </c>
      <c r="K100" s="4">
        <f t="shared" si="26"/>
        <v>0</v>
      </c>
      <c r="L100" s="173">
        <f t="shared" si="18"/>
        <v>0</v>
      </c>
      <c r="M100" s="173">
        <f t="shared" si="25"/>
        <v>0</v>
      </c>
      <c r="N100" s="4">
        <v>500000</v>
      </c>
      <c r="O100" s="4">
        <f t="shared" si="21"/>
        <v>0</v>
      </c>
      <c r="P100" s="4">
        <f t="shared" si="22"/>
        <v>0</v>
      </c>
      <c r="Q100" s="4"/>
      <c r="R100" s="4"/>
      <c r="S100" s="173">
        <f t="shared" si="27"/>
        <v>0</v>
      </c>
      <c r="T100" s="173">
        <f t="shared" si="28"/>
        <v>0</v>
      </c>
      <c r="U100" s="173">
        <f t="shared" si="29"/>
        <v>500000</v>
      </c>
      <c r="V100" s="173">
        <f t="shared" si="30"/>
        <v>500000</v>
      </c>
      <c r="W100" s="4"/>
      <c r="X100" s="4"/>
      <c r="Y100" s="4"/>
      <c r="Z100" s="4"/>
      <c r="AA100" s="4"/>
      <c r="AB100" s="3" t="s">
        <v>1542</v>
      </c>
      <c r="AC100" s="614">
        <v>850000</v>
      </c>
      <c r="AD100" s="284"/>
      <c r="AE100" s="284"/>
      <c r="AF100" s="166"/>
      <c r="AG100" s="166"/>
      <c r="AH100" s="166"/>
      <c r="AI100" s="166"/>
      <c r="AJ100" s="166"/>
    </row>
    <row r="101" spans="1:36" s="5" customFormat="1" ht="30" customHeight="1">
      <c r="A101" s="172">
        <f t="shared" si="19"/>
        <v>97</v>
      </c>
      <c r="B101" s="31">
        <v>2208</v>
      </c>
      <c r="C101" s="3" t="s">
        <v>1346</v>
      </c>
      <c r="D101" s="4">
        <v>500000</v>
      </c>
      <c r="E101" s="4"/>
      <c r="F101" s="4">
        <f t="shared" si="17"/>
        <v>500000</v>
      </c>
      <c r="G101" s="4">
        <v>0</v>
      </c>
      <c r="H101" s="4">
        <v>0</v>
      </c>
      <c r="I101" s="4">
        <v>0</v>
      </c>
      <c r="J101" s="4">
        <v>0</v>
      </c>
      <c r="K101" s="4">
        <f t="shared" si="26"/>
        <v>0</v>
      </c>
      <c r="L101" s="173">
        <f t="shared" si="18"/>
        <v>0</v>
      </c>
      <c r="M101" s="173">
        <f t="shared" si="25"/>
        <v>0</v>
      </c>
      <c r="N101" s="4">
        <v>500000</v>
      </c>
      <c r="O101" s="4">
        <f t="shared" si="21"/>
        <v>0</v>
      </c>
      <c r="P101" s="4">
        <f t="shared" si="22"/>
        <v>0</v>
      </c>
      <c r="Q101" s="4"/>
      <c r="R101" s="4"/>
      <c r="S101" s="173">
        <f t="shared" si="27"/>
        <v>0</v>
      </c>
      <c r="T101" s="173">
        <f t="shared" si="28"/>
        <v>0</v>
      </c>
      <c r="U101" s="173">
        <f t="shared" si="29"/>
        <v>500000</v>
      </c>
      <c r="V101" s="173">
        <f t="shared" si="30"/>
        <v>500000</v>
      </c>
      <c r="W101" s="4"/>
      <c r="X101" s="4"/>
      <c r="Y101" s="4"/>
      <c r="Z101" s="4"/>
      <c r="AA101" s="4"/>
      <c r="AB101" s="3" t="s">
        <v>1543</v>
      </c>
      <c r="AC101" s="614">
        <v>850000</v>
      </c>
      <c r="AD101" s="284"/>
      <c r="AE101" s="284"/>
      <c r="AF101" s="166"/>
      <c r="AG101" s="166"/>
      <c r="AH101" s="166"/>
      <c r="AI101" s="166"/>
      <c r="AJ101" s="166"/>
    </row>
    <row r="102" spans="1:36" s="5" customFormat="1" ht="30" customHeight="1">
      <c r="A102" s="172">
        <f t="shared" si="19"/>
        <v>98</v>
      </c>
      <c r="B102" s="31">
        <v>2209</v>
      </c>
      <c r="C102" s="3" t="s">
        <v>1347</v>
      </c>
      <c r="D102" s="4">
        <v>500000</v>
      </c>
      <c r="E102" s="4"/>
      <c r="F102" s="4">
        <f t="shared" si="17"/>
        <v>500000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26"/>
        <v>0</v>
      </c>
      <c r="L102" s="173">
        <f t="shared" si="18"/>
        <v>0</v>
      </c>
      <c r="M102" s="173">
        <f t="shared" si="25"/>
        <v>0</v>
      </c>
      <c r="N102" s="4">
        <v>500000</v>
      </c>
      <c r="O102" s="4">
        <f t="shared" si="21"/>
        <v>0</v>
      </c>
      <c r="P102" s="4">
        <f t="shared" si="22"/>
        <v>0</v>
      </c>
      <c r="Q102" s="4"/>
      <c r="R102" s="4"/>
      <c r="S102" s="173">
        <f t="shared" si="27"/>
        <v>0</v>
      </c>
      <c r="T102" s="173">
        <f t="shared" si="28"/>
        <v>0</v>
      </c>
      <c r="U102" s="173">
        <f t="shared" si="29"/>
        <v>500000</v>
      </c>
      <c r="V102" s="173">
        <f t="shared" si="30"/>
        <v>500000</v>
      </c>
      <c r="W102" s="4"/>
      <c r="X102" s="4"/>
      <c r="Y102" s="4"/>
      <c r="Z102" s="4"/>
      <c r="AA102" s="4"/>
      <c r="AB102" s="594" t="s">
        <v>1544</v>
      </c>
      <c r="AC102" s="566">
        <v>810000</v>
      </c>
      <c r="AD102" s="284"/>
      <c r="AE102" s="284"/>
      <c r="AF102" s="166"/>
      <c r="AG102" s="166"/>
      <c r="AH102" s="166"/>
      <c r="AI102" s="166"/>
      <c r="AJ102" s="166"/>
    </row>
    <row r="103" spans="1:36" s="5" customFormat="1" ht="30" customHeight="1">
      <c r="A103" s="172">
        <f t="shared" si="19"/>
        <v>99</v>
      </c>
      <c r="B103" s="31">
        <v>2210</v>
      </c>
      <c r="C103" s="3" t="s">
        <v>1348</v>
      </c>
      <c r="D103" s="4">
        <v>1000000</v>
      </c>
      <c r="E103" s="4"/>
      <c r="F103" s="4">
        <f t="shared" si="17"/>
        <v>1000000</v>
      </c>
      <c r="G103" s="4">
        <v>0</v>
      </c>
      <c r="H103" s="4">
        <v>0</v>
      </c>
      <c r="I103" s="4">
        <v>0</v>
      </c>
      <c r="J103" s="4">
        <v>0</v>
      </c>
      <c r="K103" s="4">
        <f t="shared" si="26"/>
        <v>0</v>
      </c>
      <c r="L103" s="173">
        <f t="shared" si="18"/>
        <v>0</v>
      </c>
      <c r="M103" s="173">
        <f t="shared" si="25"/>
        <v>0</v>
      </c>
      <c r="N103" s="4">
        <f>1000000-500000</f>
        <v>500000</v>
      </c>
      <c r="O103" s="4">
        <f t="shared" si="21"/>
        <v>500000</v>
      </c>
      <c r="P103" s="4">
        <f t="shared" si="22"/>
        <v>0</v>
      </c>
      <c r="Q103" s="4"/>
      <c r="R103" s="4"/>
      <c r="S103" s="173">
        <f t="shared" si="27"/>
        <v>0</v>
      </c>
      <c r="T103" s="173">
        <f t="shared" si="28"/>
        <v>0</v>
      </c>
      <c r="U103" s="173">
        <f t="shared" si="29"/>
        <v>500000</v>
      </c>
      <c r="V103" s="173">
        <f t="shared" si="30"/>
        <v>500000</v>
      </c>
      <c r="W103" s="4"/>
      <c r="X103" s="4"/>
      <c r="Y103" s="4"/>
      <c r="Z103" s="4"/>
      <c r="AA103" s="4"/>
      <c r="AB103" s="3" t="s">
        <v>1545</v>
      </c>
      <c r="AC103" s="566">
        <v>810000</v>
      </c>
      <c r="AD103" s="284"/>
      <c r="AE103" s="284"/>
      <c r="AF103" s="166"/>
      <c r="AG103" s="166"/>
      <c r="AH103" s="166"/>
      <c r="AI103" s="166"/>
      <c r="AJ103" s="166"/>
    </row>
    <row r="104" spans="1:36" s="296" customFormat="1" ht="30" customHeight="1">
      <c r="A104" s="178"/>
      <c r="B104" s="295"/>
      <c r="C104" s="178" t="s">
        <v>236</v>
      </c>
      <c r="D104" s="180">
        <f>SUM(D5:D103)</f>
        <v>1995546982</v>
      </c>
      <c r="E104" s="180">
        <f t="shared" ref="E104:AA104" si="31">SUM(E5:E103)</f>
        <v>1793014125</v>
      </c>
      <c r="F104" s="180">
        <f t="shared" si="31"/>
        <v>202532857</v>
      </c>
      <c r="G104" s="180">
        <f t="shared" si="31"/>
        <v>946006287</v>
      </c>
      <c r="H104" s="180">
        <f t="shared" si="31"/>
        <v>710389355</v>
      </c>
      <c r="I104" s="180">
        <f t="shared" si="31"/>
        <v>2556499</v>
      </c>
      <c r="J104" s="180">
        <f t="shared" si="31"/>
        <v>29563032</v>
      </c>
      <c r="K104" s="180">
        <f t="shared" si="31"/>
        <v>32119531</v>
      </c>
      <c r="L104" s="180">
        <f t="shared" si="31"/>
        <v>742508886</v>
      </c>
      <c r="M104" s="180">
        <f t="shared" si="31"/>
        <v>194548401</v>
      </c>
      <c r="N104" s="180">
        <f t="shared" si="31"/>
        <v>206220160</v>
      </c>
      <c r="O104" s="180">
        <f t="shared" si="31"/>
        <v>852269535</v>
      </c>
      <c r="P104" s="180">
        <f t="shared" si="31"/>
        <v>203497401</v>
      </c>
      <c r="Q104" s="180">
        <f t="shared" si="31"/>
        <v>0</v>
      </c>
      <c r="R104" s="180">
        <f t="shared" si="31"/>
        <v>0</v>
      </c>
      <c r="S104" s="180">
        <f t="shared" si="31"/>
        <v>0</v>
      </c>
      <c r="T104" s="180">
        <f t="shared" si="31"/>
        <v>8949000</v>
      </c>
      <c r="U104" s="180">
        <f t="shared" si="31"/>
        <v>197271160</v>
      </c>
      <c r="V104" s="180">
        <f t="shared" si="31"/>
        <v>172621888</v>
      </c>
      <c r="W104" s="180">
        <f t="shared" si="31"/>
        <v>0</v>
      </c>
      <c r="X104" s="180">
        <f t="shared" si="31"/>
        <v>0</v>
      </c>
      <c r="Y104" s="180">
        <f t="shared" si="31"/>
        <v>0</v>
      </c>
      <c r="Z104" s="180">
        <f t="shared" si="31"/>
        <v>0</v>
      </c>
      <c r="AA104" s="180">
        <f t="shared" si="31"/>
        <v>24649272</v>
      </c>
      <c r="AB104" s="180">
        <f>SUM(AB5:AB62)</f>
        <v>0</v>
      </c>
      <c r="AC104" s="525"/>
      <c r="AD104" s="284"/>
      <c r="AE104" s="284"/>
      <c r="AF104" s="166"/>
      <c r="AG104" s="166"/>
      <c r="AH104" s="166"/>
      <c r="AI104" s="166"/>
      <c r="AJ104" s="166"/>
    </row>
    <row r="105" spans="1:36" s="296" customFormat="1" ht="30" customHeight="1">
      <c r="A105" s="178"/>
      <c r="B105" s="295"/>
      <c r="C105" s="178"/>
      <c r="D105" s="180"/>
      <c r="E105" s="180"/>
      <c r="F105" s="180"/>
      <c r="G105" s="180"/>
      <c r="H105" s="180"/>
      <c r="I105" s="180"/>
      <c r="J105" s="180"/>
      <c r="K105" s="180"/>
      <c r="L105" s="180">
        <f>K104+H104</f>
        <v>742508886</v>
      </c>
      <c r="M105" s="180"/>
      <c r="N105" s="180"/>
      <c r="O105" s="180"/>
      <c r="P105" s="173">
        <f>G104-L105</f>
        <v>203497401</v>
      </c>
      <c r="Q105" s="180"/>
      <c r="R105" s="180"/>
      <c r="S105" s="180"/>
      <c r="T105" s="180">
        <f>P105-M104</f>
        <v>8949000</v>
      </c>
      <c r="U105" s="180"/>
      <c r="V105" s="180"/>
      <c r="W105" s="180"/>
      <c r="X105" s="180"/>
      <c r="Y105" s="180"/>
      <c r="Z105" s="180"/>
      <c r="AA105" s="180"/>
      <c r="AB105" s="180"/>
      <c r="AC105" s="525"/>
      <c r="AD105" s="284"/>
      <c r="AE105" s="284"/>
      <c r="AF105" s="166"/>
      <c r="AG105" s="166"/>
      <c r="AH105" s="166"/>
      <c r="AI105" s="166"/>
      <c r="AJ105" s="166"/>
    </row>
    <row r="106" spans="1:36" s="296" customFormat="1" ht="30" customHeight="1">
      <c r="A106" s="178"/>
      <c r="B106" s="295"/>
      <c r="C106" s="178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73">
        <f t="shared" si="22"/>
        <v>0</v>
      </c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525"/>
      <c r="AD106" s="284"/>
      <c r="AE106" s="284"/>
      <c r="AF106" s="166"/>
      <c r="AG106" s="166"/>
      <c r="AH106" s="166"/>
      <c r="AI106" s="166"/>
      <c r="AJ106" s="166"/>
    </row>
    <row r="107" spans="1:36" s="296" customFormat="1" ht="30" customHeight="1">
      <c r="A107" s="178"/>
      <c r="B107" s="295"/>
      <c r="C107" s="178" t="s">
        <v>174</v>
      </c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73">
        <f t="shared" si="22"/>
        <v>0</v>
      </c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69"/>
      <c r="AC107" s="613"/>
      <c r="AD107" s="284"/>
      <c r="AE107" s="284"/>
      <c r="AF107" s="166"/>
      <c r="AG107" s="166"/>
      <c r="AH107" s="166"/>
      <c r="AI107" s="166"/>
      <c r="AJ107" s="166"/>
    </row>
    <row r="108" spans="1:36" s="176" customFormat="1" ht="30" customHeight="1">
      <c r="A108" s="172">
        <f>A103+1</f>
        <v>100</v>
      </c>
      <c r="B108" s="172">
        <v>1547</v>
      </c>
      <c r="C108" s="172" t="s">
        <v>701</v>
      </c>
      <c r="D108" s="173">
        <v>144000000</v>
      </c>
      <c r="E108" s="173">
        <v>144000000</v>
      </c>
      <c r="F108" s="173">
        <f t="shared" ref="F108:F120" si="32">D108-E108</f>
        <v>0</v>
      </c>
      <c r="G108" s="173">
        <v>144000000</v>
      </c>
      <c r="H108" s="173">
        <v>103040054</v>
      </c>
      <c r="I108" s="173">
        <v>941728</v>
      </c>
      <c r="J108" s="173">
        <v>243985</v>
      </c>
      <c r="K108" s="173">
        <f t="shared" ref="K108:K120" si="33">SUM(I108:J108)</f>
        <v>1185713</v>
      </c>
      <c r="L108" s="173">
        <f t="shared" ref="L108:L120" si="34">K108+H108</f>
        <v>104225767</v>
      </c>
      <c r="M108" s="173">
        <f>P108+S108-30000000</f>
        <v>9774233</v>
      </c>
      <c r="N108" s="173"/>
      <c r="O108" s="173">
        <f t="shared" ref="O108:O120" si="35">D108-L108-M108-N108</f>
        <v>30000000</v>
      </c>
      <c r="P108" s="173">
        <f t="shared" si="22"/>
        <v>39774233</v>
      </c>
      <c r="Q108" s="173"/>
      <c r="R108" s="173"/>
      <c r="S108" s="173">
        <f>SUM(Q108:R108)</f>
        <v>0</v>
      </c>
      <c r="T108" s="173">
        <f>P108-M108+S108</f>
        <v>30000000</v>
      </c>
      <c r="U108" s="173">
        <f>N108-T108</f>
        <v>-30000000</v>
      </c>
      <c r="V108" s="173">
        <f>U108-Z108-X108-AA108-W108-Y108</f>
        <v>-15000000</v>
      </c>
      <c r="W108" s="173"/>
      <c r="X108" s="173"/>
      <c r="Y108" s="173">
        <v>-15000000</v>
      </c>
      <c r="Z108" s="173"/>
      <c r="AA108" s="389"/>
      <c r="AB108" s="172" t="s">
        <v>538</v>
      </c>
      <c r="AC108" s="611">
        <v>742000</v>
      </c>
      <c r="AD108" s="284"/>
      <c r="AE108" s="284"/>
      <c r="AF108" s="166"/>
      <c r="AG108" s="166"/>
      <c r="AH108" s="166"/>
      <c r="AI108" s="166"/>
      <c r="AJ108" s="166"/>
    </row>
    <row r="109" spans="1:36" ht="30" customHeight="1">
      <c r="A109" s="172">
        <f>A108+1</f>
        <v>101</v>
      </c>
      <c r="B109" s="292">
        <v>1827</v>
      </c>
      <c r="C109" s="172" t="s">
        <v>702</v>
      </c>
      <c r="D109" s="173">
        <v>100000000</v>
      </c>
      <c r="E109" s="173">
        <v>100000000</v>
      </c>
      <c r="F109" s="173">
        <f t="shared" si="32"/>
        <v>0</v>
      </c>
      <c r="G109" s="173">
        <f>68454164+15317465</f>
        <v>83771629</v>
      </c>
      <c r="H109" s="173">
        <v>69667842</v>
      </c>
      <c r="I109" s="173">
        <v>0</v>
      </c>
      <c r="J109" s="173">
        <v>4975071</v>
      </c>
      <c r="K109" s="173">
        <f t="shared" si="33"/>
        <v>4975071</v>
      </c>
      <c r="L109" s="173">
        <f t="shared" si="34"/>
        <v>74642913</v>
      </c>
      <c r="M109" s="173">
        <f t="shared" ref="M109:M120" si="36">P109+S109</f>
        <v>9128716</v>
      </c>
      <c r="N109" s="173">
        <f>16228375-4</f>
        <v>16228371</v>
      </c>
      <c r="O109" s="173">
        <f t="shared" si="35"/>
        <v>0</v>
      </c>
      <c r="P109" s="173">
        <f t="shared" si="22"/>
        <v>9128716</v>
      </c>
      <c r="Q109" s="173"/>
      <c r="R109" s="173"/>
      <c r="S109" s="173">
        <f t="shared" ref="S109:S120" si="37">SUM(Q109:R109)</f>
        <v>0</v>
      </c>
      <c r="T109" s="173">
        <f t="shared" ref="T109:T120" si="38">P109-M109+S109</f>
        <v>0</v>
      </c>
      <c r="U109" s="173">
        <f t="shared" ref="U109:U120" si="39">N109-T109</f>
        <v>16228371</v>
      </c>
      <c r="V109" s="173">
        <f t="shared" ref="V109:V120" si="40">U109-Z109-X109-AA109-W109-Y109</f>
        <v>0</v>
      </c>
      <c r="W109" s="173"/>
      <c r="X109" s="173"/>
      <c r="Y109" s="173"/>
      <c r="Z109" s="173"/>
      <c r="AA109" s="173">
        <v>16228371</v>
      </c>
      <c r="AB109" s="172" t="s">
        <v>538</v>
      </c>
      <c r="AC109" s="611">
        <v>746000</v>
      </c>
    </row>
    <row r="110" spans="1:36" s="176" customFormat="1" ht="30" customHeight="1">
      <c r="A110" s="172">
        <f>A109+1</f>
        <v>102</v>
      </c>
      <c r="B110" s="172">
        <v>1905</v>
      </c>
      <c r="C110" s="172" t="s">
        <v>131</v>
      </c>
      <c r="D110" s="173">
        <v>3366000</v>
      </c>
      <c r="E110" s="173">
        <v>3366000</v>
      </c>
      <c r="F110" s="173">
        <f t="shared" si="32"/>
        <v>0</v>
      </c>
      <c r="G110" s="173">
        <v>3366000</v>
      </c>
      <c r="H110" s="173">
        <v>0</v>
      </c>
      <c r="I110" s="173">
        <v>0</v>
      </c>
      <c r="J110" s="173">
        <v>0</v>
      </c>
      <c r="K110" s="173">
        <f t="shared" si="33"/>
        <v>0</v>
      </c>
      <c r="L110" s="173">
        <f t="shared" si="34"/>
        <v>0</v>
      </c>
      <c r="M110" s="173">
        <f t="shared" si="36"/>
        <v>3366000</v>
      </c>
      <c r="N110" s="173"/>
      <c r="O110" s="173">
        <f t="shared" si="35"/>
        <v>0</v>
      </c>
      <c r="P110" s="173">
        <f t="shared" si="22"/>
        <v>3366000</v>
      </c>
      <c r="Q110" s="173"/>
      <c r="R110" s="173"/>
      <c r="S110" s="173">
        <f t="shared" si="37"/>
        <v>0</v>
      </c>
      <c r="T110" s="173">
        <f t="shared" si="38"/>
        <v>0</v>
      </c>
      <c r="U110" s="173">
        <f t="shared" si="39"/>
        <v>0</v>
      </c>
      <c r="V110" s="173">
        <f t="shared" si="40"/>
        <v>0</v>
      </c>
      <c r="W110" s="173"/>
      <c r="X110" s="173"/>
      <c r="Y110" s="173"/>
      <c r="Z110" s="173"/>
      <c r="AA110" s="173"/>
      <c r="AB110" s="172" t="s">
        <v>546</v>
      </c>
      <c r="AC110" s="611">
        <v>746000</v>
      </c>
      <c r="AD110" s="284"/>
      <c r="AE110" s="284"/>
      <c r="AF110" s="166"/>
      <c r="AG110" s="166"/>
      <c r="AH110" s="166"/>
      <c r="AI110" s="166"/>
      <c r="AJ110" s="166"/>
    </row>
    <row r="111" spans="1:36" s="176" customFormat="1" ht="30" customHeight="1">
      <c r="A111" s="172">
        <f t="shared" ref="A111:A120" si="41">A110+1</f>
        <v>103</v>
      </c>
      <c r="B111" s="172">
        <v>1908</v>
      </c>
      <c r="C111" s="172" t="s">
        <v>154</v>
      </c>
      <c r="D111" s="173">
        <v>19080000</v>
      </c>
      <c r="E111" s="173">
        <v>19080000</v>
      </c>
      <c r="F111" s="173">
        <f t="shared" si="32"/>
        <v>0</v>
      </c>
      <c r="G111" s="173">
        <v>10943329</v>
      </c>
      <c r="H111" s="173">
        <v>674770</v>
      </c>
      <c r="I111" s="173">
        <v>0</v>
      </c>
      <c r="J111" s="173">
        <v>655530</v>
      </c>
      <c r="K111" s="173">
        <f t="shared" si="33"/>
        <v>655530</v>
      </c>
      <c r="L111" s="173">
        <f t="shared" si="34"/>
        <v>1330300</v>
      </c>
      <c r="M111" s="173">
        <f t="shared" si="36"/>
        <v>9613029</v>
      </c>
      <c r="N111" s="173">
        <v>8136671</v>
      </c>
      <c r="O111" s="173">
        <f t="shared" si="35"/>
        <v>0</v>
      </c>
      <c r="P111" s="173">
        <f t="shared" si="22"/>
        <v>9613029</v>
      </c>
      <c r="Q111" s="173"/>
      <c r="R111" s="173"/>
      <c r="S111" s="173">
        <f t="shared" si="37"/>
        <v>0</v>
      </c>
      <c r="T111" s="173">
        <f t="shared" si="38"/>
        <v>0</v>
      </c>
      <c r="U111" s="173">
        <f t="shared" si="39"/>
        <v>8136671</v>
      </c>
      <c r="V111" s="173">
        <f t="shared" si="40"/>
        <v>6611167</v>
      </c>
      <c r="W111" s="173"/>
      <c r="X111" s="173"/>
      <c r="Y111" s="173"/>
      <c r="Z111" s="173"/>
      <c r="AA111" s="173">
        <v>1525504</v>
      </c>
      <c r="AB111" s="291" t="s">
        <v>1707</v>
      </c>
      <c r="AC111" s="611">
        <v>810000</v>
      </c>
      <c r="AD111" s="284"/>
      <c r="AE111" s="284"/>
      <c r="AF111" s="166"/>
      <c r="AG111" s="166"/>
      <c r="AH111" s="166"/>
      <c r="AI111" s="166"/>
      <c r="AJ111" s="166"/>
    </row>
    <row r="112" spans="1:36" ht="30" customHeight="1">
      <c r="A112" s="172">
        <f t="shared" si="41"/>
        <v>104</v>
      </c>
      <c r="B112" s="292">
        <v>1909</v>
      </c>
      <c r="C112" s="172" t="s">
        <v>824</v>
      </c>
      <c r="D112" s="173">
        <v>184500000</v>
      </c>
      <c r="E112" s="173">
        <v>184500000</v>
      </c>
      <c r="F112" s="173">
        <f t="shared" si="32"/>
        <v>0</v>
      </c>
      <c r="G112" s="173">
        <v>10150000</v>
      </c>
      <c r="H112" s="173">
        <v>6040958</v>
      </c>
      <c r="I112" s="173">
        <v>0</v>
      </c>
      <c r="J112" s="173">
        <v>149036</v>
      </c>
      <c r="K112" s="173">
        <f t="shared" si="33"/>
        <v>149036</v>
      </c>
      <c r="L112" s="173">
        <f t="shared" si="34"/>
        <v>6189994</v>
      </c>
      <c r="M112" s="173">
        <f t="shared" si="36"/>
        <v>35460006</v>
      </c>
      <c r="N112" s="173">
        <v>40000000</v>
      </c>
      <c r="O112" s="173">
        <f t="shared" si="35"/>
        <v>102850000</v>
      </c>
      <c r="P112" s="173">
        <f t="shared" si="22"/>
        <v>3960006</v>
      </c>
      <c r="Q112" s="173">
        <v>31500000</v>
      </c>
      <c r="R112" s="173"/>
      <c r="S112" s="173">
        <f t="shared" si="37"/>
        <v>31500000</v>
      </c>
      <c r="T112" s="173">
        <f t="shared" si="38"/>
        <v>0</v>
      </c>
      <c r="U112" s="173">
        <f t="shared" si="39"/>
        <v>40000000</v>
      </c>
      <c r="V112" s="173">
        <f t="shared" si="40"/>
        <v>6105210</v>
      </c>
      <c r="W112" s="173"/>
      <c r="X112" s="173"/>
      <c r="Y112" s="173">
        <v>15000000</v>
      </c>
      <c r="Z112" s="173"/>
      <c r="AA112" s="173">
        <f>15081030+3813760</f>
        <v>18894790</v>
      </c>
      <c r="AB112" s="293" t="s">
        <v>1706</v>
      </c>
      <c r="AC112" s="611">
        <v>810000</v>
      </c>
    </row>
    <row r="113" spans="1:36" ht="30" customHeight="1">
      <c r="A113" s="172">
        <f t="shared" si="41"/>
        <v>105</v>
      </c>
      <c r="B113" s="292">
        <v>1911</v>
      </c>
      <c r="C113" s="172" t="s">
        <v>393</v>
      </c>
      <c r="D113" s="173">
        <v>29050000</v>
      </c>
      <c r="E113" s="173">
        <v>29050000</v>
      </c>
      <c r="F113" s="173">
        <f t="shared" si="32"/>
        <v>0</v>
      </c>
      <c r="G113" s="173">
        <v>9182067</v>
      </c>
      <c r="H113" s="173">
        <v>859093</v>
      </c>
      <c r="I113" s="173">
        <v>0</v>
      </c>
      <c r="J113" s="173">
        <v>280171</v>
      </c>
      <c r="K113" s="173">
        <f t="shared" si="33"/>
        <v>280171</v>
      </c>
      <c r="L113" s="173">
        <f t="shared" si="34"/>
        <v>1139264</v>
      </c>
      <c r="M113" s="173">
        <f t="shared" si="36"/>
        <v>8042803</v>
      </c>
      <c r="N113" s="173">
        <v>19867933</v>
      </c>
      <c r="O113" s="173">
        <f t="shared" si="35"/>
        <v>0</v>
      </c>
      <c r="P113" s="173">
        <f t="shared" si="22"/>
        <v>8042803</v>
      </c>
      <c r="Q113" s="173"/>
      <c r="R113" s="173"/>
      <c r="S113" s="173">
        <f t="shared" si="37"/>
        <v>0</v>
      </c>
      <c r="T113" s="173">
        <f t="shared" si="38"/>
        <v>0</v>
      </c>
      <c r="U113" s="173">
        <f t="shared" si="39"/>
        <v>19867933</v>
      </c>
      <c r="V113" s="173">
        <f t="shared" si="40"/>
        <v>16054173</v>
      </c>
      <c r="W113" s="173"/>
      <c r="X113" s="173"/>
      <c r="Y113" s="173"/>
      <c r="Z113" s="173"/>
      <c r="AA113" s="173">
        <v>3813760</v>
      </c>
      <c r="AB113" s="293" t="s">
        <v>1705</v>
      </c>
      <c r="AC113" s="611">
        <v>810000</v>
      </c>
    </row>
    <row r="114" spans="1:36" ht="36" customHeight="1">
      <c r="A114" s="172">
        <f t="shared" si="41"/>
        <v>106</v>
      </c>
      <c r="B114" s="292">
        <v>1912</v>
      </c>
      <c r="C114" s="172" t="s">
        <v>704</v>
      </c>
      <c r="D114" s="173">
        <v>310000000</v>
      </c>
      <c r="E114" s="173">
        <v>310000000</v>
      </c>
      <c r="F114" s="173">
        <f t="shared" si="32"/>
        <v>0</v>
      </c>
      <c r="G114" s="173">
        <f>8000000+3500000</f>
        <v>11500000</v>
      </c>
      <c r="H114" s="173">
        <v>8515795</v>
      </c>
      <c r="I114" s="173">
        <v>0</v>
      </c>
      <c r="J114" s="173">
        <v>2967182</v>
      </c>
      <c r="K114" s="173">
        <f t="shared" si="33"/>
        <v>2967182</v>
      </c>
      <c r="L114" s="173">
        <f t="shared" si="34"/>
        <v>11482977</v>
      </c>
      <c r="M114" s="173">
        <f t="shared" si="36"/>
        <v>32017023</v>
      </c>
      <c r="N114" s="173">
        <v>45000000</v>
      </c>
      <c r="O114" s="173">
        <f t="shared" si="35"/>
        <v>221500000</v>
      </c>
      <c r="P114" s="173">
        <f t="shared" si="22"/>
        <v>17023</v>
      </c>
      <c r="Q114" s="173">
        <v>32000000</v>
      </c>
      <c r="R114" s="173"/>
      <c r="S114" s="173">
        <f t="shared" si="37"/>
        <v>32000000</v>
      </c>
      <c r="T114" s="173">
        <f t="shared" si="38"/>
        <v>0</v>
      </c>
      <c r="U114" s="173">
        <f t="shared" si="39"/>
        <v>45000000</v>
      </c>
      <c r="V114" s="173">
        <f t="shared" si="40"/>
        <v>11792920</v>
      </c>
      <c r="W114" s="173"/>
      <c r="X114" s="173"/>
      <c r="Y114" s="173">
        <v>18000000</v>
      </c>
      <c r="Z114" s="173"/>
      <c r="AA114" s="173">
        <v>15207080</v>
      </c>
      <c r="AB114" s="293" t="s">
        <v>1704</v>
      </c>
      <c r="AC114" s="611">
        <v>810000</v>
      </c>
    </row>
    <row r="115" spans="1:36" ht="30" customHeight="1">
      <c r="A115" s="172">
        <f t="shared" si="41"/>
        <v>107</v>
      </c>
      <c r="B115" s="292">
        <v>1914</v>
      </c>
      <c r="C115" s="172" t="s">
        <v>153</v>
      </c>
      <c r="D115" s="173">
        <v>8100000</v>
      </c>
      <c r="E115" s="173">
        <v>8100000</v>
      </c>
      <c r="F115" s="173">
        <f t="shared" si="32"/>
        <v>0</v>
      </c>
      <c r="G115" s="173">
        <v>8100000</v>
      </c>
      <c r="H115" s="173">
        <v>6285512</v>
      </c>
      <c r="I115" s="173">
        <v>0</v>
      </c>
      <c r="J115" s="173">
        <v>915534</v>
      </c>
      <c r="K115" s="173">
        <f t="shared" si="33"/>
        <v>915534</v>
      </c>
      <c r="L115" s="173">
        <f t="shared" si="34"/>
        <v>7201046</v>
      </c>
      <c r="M115" s="173">
        <f t="shared" si="36"/>
        <v>898954</v>
      </c>
      <c r="N115" s="173"/>
      <c r="O115" s="173">
        <f t="shared" si="35"/>
        <v>0</v>
      </c>
      <c r="P115" s="173">
        <f t="shared" si="22"/>
        <v>898954</v>
      </c>
      <c r="Q115" s="173"/>
      <c r="R115" s="173"/>
      <c r="S115" s="173">
        <f t="shared" si="37"/>
        <v>0</v>
      </c>
      <c r="T115" s="173">
        <f t="shared" si="38"/>
        <v>0</v>
      </c>
      <c r="U115" s="173">
        <f t="shared" si="39"/>
        <v>0</v>
      </c>
      <c r="V115" s="173">
        <f t="shared" si="40"/>
        <v>0</v>
      </c>
      <c r="W115" s="173"/>
      <c r="X115" s="173"/>
      <c r="Y115" s="173"/>
      <c r="Z115" s="173"/>
      <c r="AA115" s="172"/>
      <c r="AB115" s="411" t="s">
        <v>1703</v>
      </c>
      <c r="AC115" s="611">
        <v>810000</v>
      </c>
    </row>
    <row r="116" spans="1:36" ht="30" customHeight="1">
      <c r="A116" s="172">
        <f t="shared" si="41"/>
        <v>108</v>
      </c>
      <c r="B116" s="292">
        <v>1919</v>
      </c>
      <c r="C116" s="172" t="s">
        <v>134</v>
      </c>
      <c r="D116" s="173">
        <v>135100000</v>
      </c>
      <c r="E116" s="173">
        <v>135100000</v>
      </c>
      <c r="F116" s="173">
        <f t="shared" si="32"/>
        <v>0</v>
      </c>
      <c r="G116" s="173">
        <f>68458136+1901605</f>
        <v>70359741</v>
      </c>
      <c r="H116" s="173">
        <v>48115329</v>
      </c>
      <c r="I116" s="173">
        <v>0</v>
      </c>
      <c r="J116" s="173">
        <v>5704221</v>
      </c>
      <c r="K116" s="173">
        <f t="shared" si="33"/>
        <v>5704221</v>
      </c>
      <c r="L116" s="173">
        <f t="shared" si="34"/>
        <v>53819550</v>
      </c>
      <c r="M116" s="173">
        <f t="shared" si="36"/>
        <v>16540191</v>
      </c>
      <c r="N116" s="173"/>
      <c r="O116" s="173">
        <f t="shared" si="35"/>
        <v>64740259</v>
      </c>
      <c r="P116" s="173">
        <f t="shared" si="22"/>
        <v>16540191</v>
      </c>
      <c r="Q116" s="173"/>
      <c r="R116" s="173"/>
      <c r="S116" s="173">
        <f t="shared" si="37"/>
        <v>0</v>
      </c>
      <c r="T116" s="173">
        <f t="shared" si="38"/>
        <v>0</v>
      </c>
      <c r="U116" s="173">
        <f t="shared" si="39"/>
        <v>0</v>
      </c>
      <c r="V116" s="173">
        <f t="shared" si="40"/>
        <v>0</v>
      </c>
      <c r="W116" s="173"/>
      <c r="X116" s="173"/>
      <c r="Y116" s="173"/>
      <c r="Z116" s="173"/>
      <c r="AA116" s="173"/>
      <c r="AB116" s="172" t="s">
        <v>1337</v>
      </c>
      <c r="AC116" s="611">
        <v>742000</v>
      </c>
    </row>
    <row r="117" spans="1:36" ht="30" customHeight="1">
      <c r="A117" s="172">
        <f t="shared" si="41"/>
        <v>109</v>
      </c>
      <c r="B117" s="292">
        <v>1960</v>
      </c>
      <c r="C117" s="172" t="s">
        <v>394</v>
      </c>
      <c r="D117" s="173">
        <f>24710000</f>
        <v>24710000</v>
      </c>
      <c r="E117" s="173">
        <v>24710000</v>
      </c>
      <c r="F117" s="173">
        <f t="shared" si="32"/>
        <v>0</v>
      </c>
      <c r="G117" s="173">
        <v>1250000</v>
      </c>
      <c r="H117" s="173">
        <v>694659</v>
      </c>
      <c r="I117" s="173">
        <v>0</v>
      </c>
      <c r="J117" s="173">
        <v>548120</v>
      </c>
      <c r="K117" s="173">
        <f t="shared" si="33"/>
        <v>548120</v>
      </c>
      <c r="L117" s="173">
        <f t="shared" si="34"/>
        <v>1242779</v>
      </c>
      <c r="M117" s="173">
        <f t="shared" si="36"/>
        <v>9779317</v>
      </c>
      <c r="N117" s="173">
        <f>18070000-4382096</f>
        <v>13687904</v>
      </c>
      <c r="O117" s="173">
        <f t="shared" si="35"/>
        <v>0</v>
      </c>
      <c r="P117" s="173">
        <f t="shared" si="22"/>
        <v>7221</v>
      </c>
      <c r="Q117" s="173">
        <f>4540000+850000+4382096</f>
        <v>9772096</v>
      </c>
      <c r="R117" s="173"/>
      <c r="S117" s="173">
        <f t="shared" si="37"/>
        <v>9772096</v>
      </c>
      <c r="T117" s="173">
        <f t="shared" si="38"/>
        <v>0</v>
      </c>
      <c r="U117" s="173">
        <f t="shared" si="39"/>
        <v>13687904</v>
      </c>
      <c r="V117" s="173">
        <f t="shared" si="40"/>
        <v>3551505</v>
      </c>
      <c r="W117" s="173"/>
      <c r="X117" s="173"/>
      <c r="Y117" s="173"/>
      <c r="Z117" s="173"/>
      <c r="AA117" s="173">
        <f>2288256+13080239-850000-4382096</f>
        <v>10136399</v>
      </c>
      <c r="AB117" s="293" t="s">
        <v>1462</v>
      </c>
      <c r="AC117" s="611">
        <v>810000</v>
      </c>
    </row>
    <row r="118" spans="1:36" ht="30" customHeight="1">
      <c r="A118" s="172">
        <f t="shared" si="41"/>
        <v>110</v>
      </c>
      <c r="B118" s="292">
        <v>1962</v>
      </c>
      <c r="C118" s="172" t="s">
        <v>170</v>
      </c>
      <c r="D118" s="173">
        <v>20000000</v>
      </c>
      <c r="E118" s="173">
        <v>20000000</v>
      </c>
      <c r="F118" s="173">
        <f t="shared" si="32"/>
        <v>0</v>
      </c>
      <c r="G118" s="173">
        <v>1000000</v>
      </c>
      <c r="H118" s="173">
        <v>0</v>
      </c>
      <c r="I118" s="173">
        <v>0</v>
      </c>
      <c r="J118" s="173">
        <v>0</v>
      </c>
      <c r="K118" s="173">
        <f t="shared" si="33"/>
        <v>0</v>
      </c>
      <c r="L118" s="173">
        <f t="shared" si="34"/>
        <v>0</v>
      </c>
      <c r="M118" s="173">
        <f t="shared" si="36"/>
        <v>1000000</v>
      </c>
      <c r="N118" s="173"/>
      <c r="O118" s="173">
        <f t="shared" si="35"/>
        <v>19000000</v>
      </c>
      <c r="P118" s="173">
        <f t="shared" si="22"/>
        <v>1000000</v>
      </c>
      <c r="Q118" s="173"/>
      <c r="R118" s="173"/>
      <c r="S118" s="173">
        <f t="shared" si="37"/>
        <v>0</v>
      </c>
      <c r="T118" s="173">
        <f t="shared" si="38"/>
        <v>0</v>
      </c>
      <c r="U118" s="173">
        <f t="shared" si="39"/>
        <v>0</v>
      </c>
      <c r="V118" s="173">
        <f t="shared" si="40"/>
        <v>0</v>
      </c>
      <c r="W118" s="173"/>
      <c r="X118" s="173"/>
      <c r="Y118" s="173"/>
      <c r="Z118" s="173"/>
      <c r="AA118" s="172"/>
      <c r="AB118" s="293" t="s">
        <v>1338</v>
      </c>
      <c r="AC118" s="611">
        <v>742000</v>
      </c>
    </row>
    <row r="119" spans="1:36" ht="30" customHeight="1">
      <c r="A119" s="172">
        <f t="shared" si="41"/>
        <v>111</v>
      </c>
      <c r="B119" s="172">
        <v>1965</v>
      </c>
      <c r="C119" s="172" t="s">
        <v>395</v>
      </c>
      <c r="D119" s="173">
        <v>35000000</v>
      </c>
      <c r="E119" s="173">
        <v>35000000</v>
      </c>
      <c r="F119" s="173">
        <f t="shared" si="32"/>
        <v>0</v>
      </c>
      <c r="G119" s="173">
        <v>100000</v>
      </c>
      <c r="H119" s="173">
        <v>54243</v>
      </c>
      <c r="I119" s="173">
        <v>0</v>
      </c>
      <c r="J119" s="173">
        <v>45755</v>
      </c>
      <c r="K119" s="173">
        <f t="shared" si="33"/>
        <v>45755</v>
      </c>
      <c r="L119" s="173">
        <f t="shared" si="34"/>
        <v>99998</v>
      </c>
      <c r="M119" s="173">
        <f t="shared" si="36"/>
        <v>1000002</v>
      </c>
      <c r="N119" s="173">
        <f>2000000-1000000</f>
        <v>1000000</v>
      </c>
      <c r="O119" s="173">
        <f t="shared" si="35"/>
        <v>32900000</v>
      </c>
      <c r="P119" s="173">
        <f t="shared" si="22"/>
        <v>2</v>
      </c>
      <c r="Q119" s="173">
        <v>1000000</v>
      </c>
      <c r="R119" s="173"/>
      <c r="S119" s="173">
        <f t="shared" si="37"/>
        <v>1000000</v>
      </c>
      <c r="T119" s="173">
        <f t="shared" si="38"/>
        <v>0</v>
      </c>
      <c r="U119" s="173">
        <f t="shared" si="39"/>
        <v>1000000</v>
      </c>
      <c r="V119" s="173">
        <f t="shared" si="40"/>
        <v>1000000</v>
      </c>
      <c r="W119" s="173"/>
      <c r="X119" s="173"/>
      <c r="Y119" s="173"/>
      <c r="Z119" s="173"/>
      <c r="AA119" s="172"/>
      <c r="AB119" s="411" t="s">
        <v>1463</v>
      </c>
      <c r="AC119" s="611">
        <v>810000</v>
      </c>
    </row>
    <row r="120" spans="1:36" s="5" customFormat="1" ht="30" customHeight="1">
      <c r="A120" s="172">
        <f t="shared" si="41"/>
        <v>112</v>
      </c>
      <c r="B120" s="31">
        <v>2186</v>
      </c>
      <c r="C120" s="3" t="s">
        <v>950</v>
      </c>
      <c r="D120" s="4">
        <f>500000+7600000</f>
        <v>8100000</v>
      </c>
      <c r="E120" s="4">
        <v>8100000</v>
      </c>
      <c r="F120" s="173">
        <f t="shared" si="32"/>
        <v>0</v>
      </c>
      <c r="G120" s="4">
        <f>500000+2700000</f>
        <v>3200000</v>
      </c>
      <c r="H120" s="4">
        <v>0</v>
      </c>
      <c r="I120" s="4">
        <v>0</v>
      </c>
      <c r="J120" s="4">
        <v>0</v>
      </c>
      <c r="K120" s="173">
        <f t="shared" si="33"/>
        <v>0</v>
      </c>
      <c r="L120" s="173">
        <f t="shared" si="34"/>
        <v>0</v>
      </c>
      <c r="M120" s="173">
        <f t="shared" si="36"/>
        <v>3200000</v>
      </c>
      <c r="N120" s="173">
        <v>4900000</v>
      </c>
      <c r="O120" s="173">
        <f t="shared" si="35"/>
        <v>0</v>
      </c>
      <c r="P120" s="173">
        <f t="shared" si="22"/>
        <v>3200000</v>
      </c>
      <c r="Q120" s="173"/>
      <c r="R120" s="173"/>
      <c r="S120" s="173">
        <f t="shared" si="37"/>
        <v>0</v>
      </c>
      <c r="T120" s="173">
        <f t="shared" si="38"/>
        <v>0</v>
      </c>
      <c r="U120" s="173">
        <f t="shared" si="39"/>
        <v>4900000</v>
      </c>
      <c r="V120" s="173">
        <f t="shared" si="40"/>
        <v>2611744</v>
      </c>
      <c r="W120" s="173"/>
      <c r="X120" s="173"/>
      <c r="Y120" s="173"/>
      <c r="Z120" s="173"/>
      <c r="AA120" s="173">
        <v>2288256</v>
      </c>
      <c r="AB120" s="3" t="s">
        <v>1464</v>
      </c>
      <c r="AC120" s="566">
        <v>810000</v>
      </c>
      <c r="AD120" s="284"/>
      <c r="AE120" s="284"/>
      <c r="AF120" s="166"/>
      <c r="AG120" s="166"/>
      <c r="AH120" s="166"/>
      <c r="AI120" s="166"/>
      <c r="AJ120" s="166"/>
    </row>
    <row r="121" spans="1:36" s="296" customFormat="1" ht="30" customHeight="1">
      <c r="A121" s="178"/>
      <c r="B121" s="295"/>
      <c r="C121" s="178" t="s">
        <v>396</v>
      </c>
      <c r="D121" s="180">
        <f>SUM(D108:D120)</f>
        <v>1021006000</v>
      </c>
      <c r="E121" s="180">
        <f t="shared" ref="E121:AA121" si="42">SUM(E108:E120)</f>
        <v>1021006000</v>
      </c>
      <c r="F121" s="180">
        <f t="shared" si="42"/>
        <v>0</v>
      </c>
      <c r="G121" s="180">
        <f t="shared" si="42"/>
        <v>356922766</v>
      </c>
      <c r="H121" s="180">
        <f t="shared" si="42"/>
        <v>243948255</v>
      </c>
      <c r="I121" s="180">
        <f t="shared" si="42"/>
        <v>941728</v>
      </c>
      <c r="J121" s="180">
        <f t="shared" si="42"/>
        <v>16484605</v>
      </c>
      <c r="K121" s="180">
        <f t="shared" si="42"/>
        <v>17426333</v>
      </c>
      <c r="L121" s="180">
        <f t="shared" si="42"/>
        <v>261374588</v>
      </c>
      <c r="M121" s="180">
        <f t="shared" si="42"/>
        <v>139820274</v>
      </c>
      <c r="N121" s="180">
        <f t="shared" si="42"/>
        <v>148820879</v>
      </c>
      <c r="O121" s="180">
        <f t="shared" si="42"/>
        <v>470990259</v>
      </c>
      <c r="P121" s="180">
        <f t="shared" si="42"/>
        <v>95548178</v>
      </c>
      <c r="Q121" s="180">
        <f t="shared" si="42"/>
        <v>74272096</v>
      </c>
      <c r="R121" s="180">
        <f t="shared" si="42"/>
        <v>0</v>
      </c>
      <c r="S121" s="180">
        <f t="shared" si="42"/>
        <v>74272096</v>
      </c>
      <c r="T121" s="180">
        <f t="shared" si="42"/>
        <v>30000000</v>
      </c>
      <c r="U121" s="180">
        <f t="shared" si="42"/>
        <v>118820879</v>
      </c>
      <c r="V121" s="180">
        <f t="shared" si="42"/>
        <v>32726719</v>
      </c>
      <c r="W121" s="180">
        <f t="shared" si="42"/>
        <v>0</v>
      </c>
      <c r="X121" s="180">
        <f t="shared" si="42"/>
        <v>0</v>
      </c>
      <c r="Y121" s="180">
        <f t="shared" si="42"/>
        <v>18000000</v>
      </c>
      <c r="Z121" s="180">
        <f t="shared" si="42"/>
        <v>0</v>
      </c>
      <c r="AA121" s="180">
        <f t="shared" si="42"/>
        <v>68094160</v>
      </c>
      <c r="AB121" s="169"/>
      <c r="AC121" s="613"/>
      <c r="AD121" s="284"/>
      <c r="AE121" s="284"/>
      <c r="AF121" s="166"/>
      <c r="AG121" s="166"/>
      <c r="AH121" s="166"/>
      <c r="AI121" s="166"/>
      <c r="AJ121" s="166"/>
    </row>
    <row r="122" spans="1:36" s="426" customFormat="1" ht="30" customHeight="1">
      <c r="A122" s="346">
        <f>A120</f>
        <v>112</v>
      </c>
      <c r="B122" s="346"/>
      <c r="C122" s="33" t="s">
        <v>960</v>
      </c>
      <c r="D122" s="425">
        <f>D121+D104</f>
        <v>3016552982</v>
      </c>
      <c r="E122" s="425">
        <f t="shared" ref="E122:AA122" si="43">E121+E104</f>
        <v>2814020125</v>
      </c>
      <c r="F122" s="425">
        <f t="shared" si="43"/>
        <v>202532857</v>
      </c>
      <c r="G122" s="425">
        <f t="shared" si="43"/>
        <v>1302929053</v>
      </c>
      <c r="H122" s="425">
        <f t="shared" si="43"/>
        <v>954337610</v>
      </c>
      <c r="I122" s="425">
        <f t="shared" si="43"/>
        <v>3498227</v>
      </c>
      <c r="J122" s="425">
        <f t="shared" si="43"/>
        <v>46047637</v>
      </c>
      <c r="K122" s="425">
        <f t="shared" si="43"/>
        <v>49545864</v>
      </c>
      <c r="L122" s="425">
        <f t="shared" si="43"/>
        <v>1003883474</v>
      </c>
      <c r="M122" s="425">
        <f t="shared" si="43"/>
        <v>334368675</v>
      </c>
      <c r="N122" s="425">
        <f t="shared" si="43"/>
        <v>355041039</v>
      </c>
      <c r="O122" s="425">
        <f t="shared" si="43"/>
        <v>1323259794</v>
      </c>
      <c r="P122" s="425">
        <f t="shared" si="43"/>
        <v>299045579</v>
      </c>
      <c r="Q122" s="425">
        <f t="shared" si="43"/>
        <v>74272096</v>
      </c>
      <c r="R122" s="425">
        <f t="shared" si="43"/>
        <v>0</v>
      </c>
      <c r="S122" s="425">
        <f t="shared" si="43"/>
        <v>74272096</v>
      </c>
      <c r="T122" s="425">
        <f t="shared" si="43"/>
        <v>38949000</v>
      </c>
      <c r="U122" s="425">
        <f t="shared" si="43"/>
        <v>316092039</v>
      </c>
      <c r="V122" s="425">
        <f t="shared" si="43"/>
        <v>205348607</v>
      </c>
      <c r="W122" s="425">
        <f t="shared" si="43"/>
        <v>0</v>
      </c>
      <c r="X122" s="425">
        <f t="shared" si="43"/>
        <v>0</v>
      </c>
      <c r="Y122" s="425">
        <f t="shared" si="43"/>
        <v>18000000</v>
      </c>
      <c r="Z122" s="425">
        <f t="shared" si="43"/>
        <v>0</v>
      </c>
      <c r="AA122" s="425">
        <f t="shared" si="43"/>
        <v>92743432</v>
      </c>
      <c r="AB122" s="425"/>
      <c r="AC122" s="615"/>
      <c r="AD122" s="284"/>
      <c r="AE122" s="284"/>
      <c r="AF122" s="166"/>
      <c r="AG122" s="166"/>
      <c r="AH122" s="166"/>
      <c r="AI122" s="166"/>
      <c r="AJ122" s="166"/>
    </row>
    <row r="123" spans="1:36" hidden="1">
      <c r="F123" s="299"/>
      <c r="G123" s="299"/>
      <c r="H123" s="299"/>
      <c r="I123" s="299"/>
      <c r="J123" s="299"/>
      <c r="K123" s="299"/>
      <c r="L123" s="299">
        <f>K122+H122</f>
        <v>1003883474</v>
      </c>
      <c r="M123" s="299">
        <f>P123+S122-T122</f>
        <v>334368675</v>
      </c>
      <c r="N123" s="299"/>
      <c r="O123" s="299"/>
      <c r="P123" s="299">
        <f>G122-L123</f>
        <v>299045579</v>
      </c>
      <c r="Q123" s="299"/>
      <c r="R123" s="298"/>
      <c r="S123" s="299"/>
      <c r="T123" s="299">
        <f>P122+S122-M122</f>
        <v>38949000</v>
      </c>
    </row>
    <row r="124" spans="1:36" hidden="1"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>
        <v>74272096</v>
      </c>
      <c r="R124" s="298"/>
      <c r="S124" s="299"/>
      <c r="T124" s="299"/>
    </row>
    <row r="125" spans="1:36"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8"/>
      <c r="S125" s="299"/>
      <c r="T125" s="299"/>
    </row>
    <row r="126" spans="1:36">
      <c r="F126" s="299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</row>
    <row r="127" spans="1:36">
      <c r="F127" s="299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300"/>
      <c r="S127" s="299"/>
      <c r="T127" s="299"/>
    </row>
    <row r="128" spans="1:36">
      <c r="F128" s="299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</row>
    <row r="129" spans="6:20"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</row>
    <row r="130" spans="6:20"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</row>
    <row r="131" spans="6:20"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179"/>
      <c r="R131" s="299"/>
      <c r="S131" s="299"/>
      <c r="T131" s="299"/>
    </row>
    <row r="132" spans="6:20"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</row>
    <row r="133" spans="6:20"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</row>
    <row r="134" spans="6:20"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</row>
    <row r="135" spans="6:20"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179"/>
      <c r="S135" s="299"/>
      <c r="T135" s="299"/>
    </row>
    <row r="136" spans="6:20">
      <c r="F136" s="299"/>
      <c r="G136" s="2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299"/>
      <c r="T136" s="299"/>
    </row>
    <row r="137" spans="6:20">
      <c r="F137" s="299"/>
      <c r="G137" s="299"/>
      <c r="H137" s="299"/>
      <c r="I137" s="299"/>
      <c r="J137" s="299"/>
      <c r="K137" s="299"/>
      <c r="L137" s="299"/>
      <c r="M137" s="299"/>
      <c r="N137" s="299"/>
      <c r="O137" s="299"/>
      <c r="P137" s="299"/>
      <c r="Q137" s="299"/>
      <c r="R137" s="299"/>
      <c r="S137" s="299"/>
      <c r="T137" s="299"/>
    </row>
    <row r="138" spans="6:20">
      <c r="F138" s="299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99"/>
      <c r="S138" s="299"/>
      <c r="T138" s="299"/>
    </row>
    <row r="139" spans="6:20"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237" priority="5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9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86" customWidth="1"/>
    <col min="2" max="2" width="4.6328125" style="287" customWidth="1"/>
    <col min="3" max="3" width="17.90625" style="183" customWidth="1"/>
    <col min="4" max="4" width="11.81640625" style="167" customWidth="1"/>
    <col min="5" max="5" width="11.81640625" style="167" hidden="1" customWidth="1"/>
    <col min="6" max="6" width="10.81640625" style="167" hidden="1" customWidth="1"/>
    <col min="7" max="7" width="11.81640625" style="167" hidden="1" customWidth="1"/>
    <col min="8" max="11" width="10.81640625" style="167" hidden="1" customWidth="1"/>
    <col min="12" max="12" width="11.81640625" style="167" customWidth="1"/>
    <col min="13" max="14" width="10.81640625" style="167" customWidth="1"/>
    <col min="15" max="15" width="11.81640625" style="167" customWidth="1"/>
    <col min="16" max="19" width="10.81640625" style="167" hidden="1" customWidth="1"/>
    <col min="20" max="20" width="10.81640625" style="167" customWidth="1"/>
    <col min="21" max="22" width="10.81640625" style="166" customWidth="1"/>
    <col min="23" max="24" width="10.81640625" style="166" hidden="1" customWidth="1"/>
    <col min="25" max="25" width="10.81640625" style="166" customWidth="1"/>
    <col min="26" max="26" width="10.81640625" style="166" hidden="1" customWidth="1"/>
    <col min="27" max="27" width="10.81640625" style="166" customWidth="1"/>
    <col min="28" max="28" width="30.453125" style="325" customWidth="1"/>
    <col min="29" max="29" width="10.6328125" style="166" hidden="1" customWidth="1"/>
    <col min="30" max="30" width="11.1796875" style="284" bestFit="1" customWidth="1"/>
    <col min="31" max="31" width="12.36328125" style="284" bestFit="1" customWidth="1"/>
    <col min="32" max="32" width="14.90625" style="166" customWidth="1"/>
    <col min="33" max="33" width="12.54296875" style="166" customWidth="1"/>
    <col min="34" max="34" width="16.453125" style="166" customWidth="1"/>
    <col min="35" max="35" width="23.08984375" style="166" customWidth="1"/>
    <col min="36" max="36" width="26.90625" style="166" customWidth="1"/>
    <col min="37" max="16384" width="9.08984375" style="166"/>
  </cols>
  <sheetData>
    <row r="1" spans="1:36" s="284" customFormat="1">
      <c r="A1" s="282"/>
      <c r="B1" s="282"/>
      <c r="C1" s="328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F1" s="166"/>
      <c r="AG1" s="166"/>
      <c r="AH1" s="166"/>
      <c r="AI1" s="166"/>
      <c r="AJ1" s="166"/>
    </row>
    <row r="2" spans="1:36">
      <c r="A2" s="282" t="s">
        <v>242</v>
      </c>
      <c r="B2" s="282"/>
      <c r="C2" s="328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</row>
    <row r="3" spans="1:36">
      <c r="U3" s="167"/>
    </row>
    <row r="4" spans="1:36" s="288" customFormat="1" ht="70">
      <c r="A4" s="169" t="s">
        <v>0</v>
      </c>
      <c r="B4" s="169" t="s">
        <v>1</v>
      </c>
      <c r="C4" s="169" t="s">
        <v>2</v>
      </c>
      <c r="D4" s="169" t="s">
        <v>3</v>
      </c>
      <c r="E4" s="169" t="s">
        <v>4</v>
      </c>
      <c r="F4" s="169" t="s">
        <v>5</v>
      </c>
      <c r="G4" s="169" t="s">
        <v>6</v>
      </c>
      <c r="H4" s="169" t="s">
        <v>7</v>
      </c>
      <c r="I4" s="169" t="s">
        <v>9</v>
      </c>
      <c r="J4" s="169" t="s">
        <v>178</v>
      </c>
      <c r="K4" s="169" t="s">
        <v>10</v>
      </c>
      <c r="L4" s="622" t="s">
        <v>11</v>
      </c>
      <c r="M4" s="9" t="s">
        <v>936</v>
      </c>
      <c r="N4" s="169" t="s">
        <v>937</v>
      </c>
      <c r="O4" s="169" t="s">
        <v>938</v>
      </c>
      <c r="P4" s="169" t="s">
        <v>12</v>
      </c>
      <c r="Q4" s="169" t="s">
        <v>939</v>
      </c>
      <c r="R4" s="169" t="s">
        <v>940</v>
      </c>
      <c r="S4" s="169" t="s">
        <v>941</v>
      </c>
      <c r="T4" s="169" t="s">
        <v>942</v>
      </c>
      <c r="U4" s="169" t="s">
        <v>943</v>
      </c>
      <c r="V4" s="16" t="s">
        <v>13</v>
      </c>
      <c r="W4" s="16" t="s">
        <v>14</v>
      </c>
      <c r="X4" s="169" t="s">
        <v>15</v>
      </c>
      <c r="Y4" s="169" t="s">
        <v>301</v>
      </c>
      <c r="Z4" s="169" t="s">
        <v>1391</v>
      </c>
      <c r="AA4" s="169" t="s">
        <v>91</v>
      </c>
      <c r="AB4" s="609" t="s">
        <v>344</v>
      </c>
      <c r="AC4" s="532" t="s">
        <v>16</v>
      </c>
      <c r="AD4" s="284"/>
      <c r="AE4" s="284"/>
      <c r="AF4" s="166"/>
      <c r="AG4" s="166"/>
      <c r="AH4" s="166"/>
      <c r="AI4" s="166"/>
      <c r="AJ4" s="166"/>
    </row>
    <row r="5" spans="1:36" s="176" customFormat="1" ht="30" customHeight="1">
      <c r="A5" s="172">
        <v>1</v>
      </c>
      <c r="B5" s="172">
        <f>'תקציב החברה לפיתוח 2021 '!B5</f>
        <v>382</v>
      </c>
      <c r="C5" s="326" t="str">
        <f>'תקציב החברה לפיתוח 2021 '!C5</f>
        <v xml:space="preserve">מערכת כבישים   באזור תעשייה מערבי </v>
      </c>
      <c r="D5" s="173">
        <f>'תקציב החברה לפיתוח 2021 '!D5</f>
        <v>72881330</v>
      </c>
      <c r="E5" s="173">
        <f>'תקציב החברה לפיתוח 2021 '!E5</f>
        <v>72881330</v>
      </c>
      <c r="F5" s="173">
        <f>'תקציב החברה לפיתוח 2021 '!F5</f>
        <v>0</v>
      </c>
      <c r="G5" s="173">
        <f>'תקציב החברה לפיתוח 2021 '!G5</f>
        <v>61381330</v>
      </c>
      <c r="H5" s="173">
        <f>'תקציב החברה לפיתוח 2021 '!H5</f>
        <v>49864430</v>
      </c>
      <c r="I5" s="173">
        <f>'תקציב החברה לפיתוח 2021 '!I5</f>
        <v>0</v>
      </c>
      <c r="J5" s="173">
        <f>'תקציב החברה לפיתוח 2021 '!J5</f>
        <v>1365202</v>
      </c>
      <c r="K5" s="173">
        <f>'תקציב החברה לפיתוח 2021 '!K5</f>
        <v>1365202</v>
      </c>
      <c r="L5" s="173">
        <f>'תקציב החברה לפיתוח 2021 '!L5</f>
        <v>51229632</v>
      </c>
      <c r="M5" s="173">
        <f>'תקציב החברה לפיתוח 2021 '!M5</f>
        <v>10151698</v>
      </c>
      <c r="N5" s="173">
        <f>'תקציב החברה לפיתוח 2021 '!N5</f>
        <v>11500000</v>
      </c>
      <c r="O5" s="173">
        <f>'תקציב החברה לפיתוח 2021 '!O5</f>
        <v>0</v>
      </c>
      <c r="P5" s="173">
        <f>'תקציב החברה לפיתוח 2021 '!P5</f>
        <v>10151698</v>
      </c>
      <c r="Q5" s="173">
        <f>'תקציב החברה לפיתוח 2021 '!Q5</f>
        <v>0</v>
      </c>
      <c r="R5" s="173">
        <f>'תקציב החברה לפיתוח 2021 '!R5</f>
        <v>0</v>
      </c>
      <c r="S5" s="173">
        <f>'תקציב החברה לפיתוח 2021 '!S5</f>
        <v>0</v>
      </c>
      <c r="T5" s="173">
        <f>'תקציב החברה לפיתוח 2021 '!T5</f>
        <v>0</v>
      </c>
      <c r="U5" s="173">
        <f>'תקציב החברה לפיתוח 2021 '!U5</f>
        <v>11500000</v>
      </c>
      <c r="V5" s="173">
        <f>'תקציב החברה לפיתוח 2021 '!V5</f>
        <v>11500000</v>
      </c>
      <c r="W5" s="173">
        <f>'תקציב החברה לפיתוח 2021 '!W5</f>
        <v>0</v>
      </c>
      <c r="X5" s="173">
        <f>'תקציב החברה לפיתוח 2021 '!X5</f>
        <v>0</v>
      </c>
      <c r="Y5" s="173">
        <f>'תקציב החברה לפיתוח 2021 '!Y5</f>
        <v>0</v>
      </c>
      <c r="Z5" s="173">
        <f>'תקציב החברה לפיתוח 2021 '!Z5</f>
        <v>0</v>
      </c>
      <c r="AA5" s="173">
        <f>'תקציב החברה לפיתוח 2021 '!AA5</f>
        <v>0</v>
      </c>
      <c r="AB5" s="293" t="str">
        <f>'תקציב החברה לפיתוח 2021 '!AB5</f>
        <v xml:space="preserve">השלמת רח' משכית,  השלמת שצ"פים והשלמת תכנון רח' שנקר. </v>
      </c>
      <c r="AC5" s="172">
        <f>'תקציב החברה לפיתוח 2021 '!AC5</f>
        <v>742000</v>
      </c>
      <c r="AD5" s="284"/>
      <c r="AE5" s="284"/>
      <c r="AF5" s="166"/>
      <c r="AG5" s="166"/>
      <c r="AH5" s="166"/>
      <c r="AI5" s="166"/>
      <c r="AJ5" s="166"/>
    </row>
    <row r="6" spans="1:36" s="177" customFormat="1" ht="30" customHeight="1">
      <c r="A6" s="172">
        <f>A5+1</f>
        <v>2</v>
      </c>
      <c r="B6" s="172">
        <f>'תקציב החברה לפיתוח 2021 '!B6</f>
        <v>532</v>
      </c>
      <c r="C6" s="326" t="str">
        <f>'תקציב החברה לפיתוח 2021 '!C6</f>
        <v>פיתוח מתחם המסילה ודב הוז</v>
      </c>
      <c r="D6" s="173">
        <f>'תקציב החברה לפיתוח 2021 '!D6</f>
        <v>80090000</v>
      </c>
      <c r="E6" s="173">
        <f>'תקציב החברה לפיתוח 2021 '!E6</f>
        <v>80090000</v>
      </c>
      <c r="F6" s="173">
        <f>'תקציב החברה לפיתוח 2021 '!F6</f>
        <v>0</v>
      </c>
      <c r="G6" s="173">
        <f>'תקציב החברה לפיתוח 2021 '!G6</f>
        <v>76140000</v>
      </c>
      <c r="H6" s="173">
        <f>'תקציב החברה לפיתוח 2021 '!H6</f>
        <v>74931076</v>
      </c>
      <c r="I6" s="173">
        <f>'תקציב החברה לפיתוח 2021 '!I6</f>
        <v>0</v>
      </c>
      <c r="J6" s="173">
        <f>'תקציב החברה לפיתוח 2021 '!J6</f>
        <v>692303</v>
      </c>
      <c r="K6" s="173">
        <f>'תקציב החברה לפיתוח 2021 '!K6</f>
        <v>692303</v>
      </c>
      <c r="L6" s="173">
        <f>'תקציב החברה לפיתוח 2021 '!L6</f>
        <v>75623379</v>
      </c>
      <c r="M6" s="173">
        <f>'תקציב החברה לפיתוח 2021 '!M6</f>
        <v>516621</v>
      </c>
      <c r="N6" s="173">
        <f>'תקציב החברה לפיתוח 2021 '!N6</f>
        <v>3950000</v>
      </c>
      <c r="O6" s="173">
        <f>'תקציב החברה לפיתוח 2021 '!O6</f>
        <v>0</v>
      </c>
      <c r="P6" s="173">
        <f>'תקציב החברה לפיתוח 2021 '!P6</f>
        <v>516621</v>
      </c>
      <c r="Q6" s="173">
        <f>'תקציב החברה לפיתוח 2021 '!Q6</f>
        <v>0</v>
      </c>
      <c r="R6" s="173">
        <f>'תקציב החברה לפיתוח 2021 '!R6</f>
        <v>0</v>
      </c>
      <c r="S6" s="173">
        <f>'תקציב החברה לפיתוח 2021 '!S6</f>
        <v>0</v>
      </c>
      <c r="T6" s="173">
        <f>'תקציב החברה לפיתוח 2021 '!T6</f>
        <v>0</v>
      </c>
      <c r="U6" s="173">
        <f>'תקציב החברה לפיתוח 2021 '!U6</f>
        <v>3950000</v>
      </c>
      <c r="V6" s="173">
        <f>'תקציב החברה לפיתוח 2021 '!V6</f>
        <v>3950000</v>
      </c>
      <c r="W6" s="173">
        <f>'תקציב החברה לפיתוח 2021 '!W6</f>
        <v>0</v>
      </c>
      <c r="X6" s="173">
        <f>'תקציב החברה לפיתוח 2021 '!X6</f>
        <v>0</v>
      </c>
      <c r="Y6" s="173">
        <f>'תקציב החברה לפיתוח 2021 '!Y6</f>
        <v>0</v>
      </c>
      <c r="Z6" s="173">
        <f>'תקציב החברה לפיתוח 2021 '!Z6</f>
        <v>0</v>
      </c>
      <c r="AA6" s="173">
        <f>'תקציב החברה לפיתוח 2021 '!AA6</f>
        <v>0</v>
      </c>
      <c r="AB6" s="293" t="str">
        <f>'תקציב החברה לפיתוח 2021 '!AB6</f>
        <v xml:space="preserve">עבודות השלמת שצ"פים וגינת כלבים. </v>
      </c>
      <c r="AC6" s="172">
        <f>'תקציב החברה לפיתוח 2021 '!AC6</f>
        <v>742000</v>
      </c>
      <c r="AD6" s="284"/>
      <c r="AE6" s="284"/>
      <c r="AF6" s="166"/>
      <c r="AG6" s="166"/>
      <c r="AH6" s="166"/>
      <c r="AI6" s="166"/>
      <c r="AJ6" s="166"/>
    </row>
    <row r="7" spans="1:36" s="177" customFormat="1" ht="42">
      <c r="A7" s="172">
        <f t="shared" ref="A7:A70" si="0">A6+1</f>
        <v>3</v>
      </c>
      <c r="B7" s="172">
        <f>'תקציב החברה לפיתוח 2021 '!B7</f>
        <v>576</v>
      </c>
      <c r="C7" s="326" t="str">
        <f>'תקציב החברה לפיתוח 2021 '!C7</f>
        <v>בית העלמין החדש</v>
      </c>
      <c r="D7" s="173">
        <f>'תקציב החברה לפיתוח 2021 '!D7</f>
        <v>76913000</v>
      </c>
      <c r="E7" s="173">
        <f>'תקציב החברה לפיתוח 2021 '!E7</f>
        <v>58113000</v>
      </c>
      <c r="F7" s="173">
        <f>'תקציב החברה לפיתוח 2021 '!F7</f>
        <v>18800000</v>
      </c>
      <c r="G7" s="173">
        <f>'תקציב החברה לפיתוח 2021 '!G7</f>
        <v>58113000</v>
      </c>
      <c r="H7" s="173">
        <f>'תקציב החברה לפיתוח 2021 '!H7</f>
        <v>53684633</v>
      </c>
      <c r="I7" s="173">
        <f>'תקציב החברה לפיתוח 2021 '!I7</f>
        <v>0</v>
      </c>
      <c r="J7" s="173">
        <f>'תקציב החברה לפיתוח 2021 '!J7</f>
        <v>645799</v>
      </c>
      <c r="K7" s="173">
        <f>'תקציב החברה לפיתוח 2021 '!K7</f>
        <v>645799</v>
      </c>
      <c r="L7" s="173">
        <f>'תקציב החברה לפיתוח 2021 '!L7</f>
        <v>54330432</v>
      </c>
      <c r="M7" s="173">
        <f>'תקציב החברה לפיתוח 2021 '!M7</f>
        <v>3782568</v>
      </c>
      <c r="N7" s="173">
        <f>'תקציב החברה לפיתוח 2021 '!N7</f>
        <v>12000000</v>
      </c>
      <c r="O7" s="173">
        <f>'תקציב החברה לפיתוח 2021 '!O7</f>
        <v>6800000</v>
      </c>
      <c r="P7" s="173">
        <f>'תקציב החברה לפיתוח 2021 '!P7</f>
        <v>3782568</v>
      </c>
      <c r="Q7" s="173">
        <f>'תקציב החברה לפיתוח 2021 '!Q7</f>
        <v>0</v>
      </c>
      <c r="R7" s="173">
        <f>'תקציב החברה לפיתוח 2021 '!R7</f>
        <v>0</v>
      </c>
      <c r="S7" s="173">
        <f>'תקציב החברה לפיתוח 2021 '!S7</f>
        <v>0</v>
      </c>
      <c r="T7" s="173">
        <f>'תקציב החברה לפיתוח 2021 '!T7</f>
        <v>0</v>
      </c>
      <c r="U7" s="173">
        <f>'תקציב החברה לפיתוח 2021 '!U7</f>
        <v>12000000</v>
      </c>
      <c r="V7" s="173">
        <f>'תקציב החברה לפיתוח 2021 '!V7</f>
        <v>0</v>
      </c>
      <c r="W7" s="173">
        <f>'תקציב החברה לפיתוח 2021 '!W7</f>
        <v>0</v>
      </c>
      <c r="X7" s="173">
        <f>'תקציב החברה לפיתוח 2021 '!X7</f>
        <v>0</v>
      </c>
      <c r="Y7" s="173">
        <f>'תקציב החברה לפיתוח 2021 '!Y7</f>
        <v>0</v>
      </c>
      <c r="Z7" s="173">
        <f>'תקציב החברה לפיתוח 2021 '!Z7</f>
        <v>0</v>
      </c>
      <c r="AA7" s="173">
        <f>'תקציב החברה לפיתוח 2021 '!AA7</f>
        <v>12000000</v>
      </c>
      <c r="AB7" s="293" t="str">
        <f>'תקציב החברה לפיתוח 2021 '!AB7</f>
        <v>עבודות הרחבת והכשרת חלקות נוספות מס' 3 , 5, בבית העלמין החדש. מימון תאגיד בית העלמין הרצליה.</v>
      </c>
      <c r="AC7" s="172">
        <f>'תקציב החברה לפיתוח 2021 '!AC7</f>
        <v>760000</v>
      </c>
      <c r="AD7" s="284"/>
      <c r="AE7" s="284"/>
      <c r="AF7" s="166"/>
      <c r="AG7" s="166"/>
      <c r="AH7" s="166"/>
      <c r="AI7" s="166"/>
      <c r="AJ7" s="166"/>
    </row>
    <row r="8" spans="1:36" s="177" customFormat="1" ht="30" customHeight="1">
      <c r="A8" s="172">
        <f t="shared" si="0"/>
        <v>4</v>
      </c>
      <c r="B8" s="172">
        <f>'תקציב החברה לפיתוח 2021 '!B8</f>
        <v>634</v>
      </c>
      <c r="C8" s="326" t="str">
        <f>'תקציב החברה לפיתוח 2021 '!C8</f>
        <v>מתחם המשתלה  תב"ע 1874</v>
      </c>
      <c r="D8" s="173">
        <f>'תקציב החברה לפיתוח 2021 '!D8</f>
        <v>56350000</v>
      </c>
      <c r="E8" s="173">
        <f>'תקציב החברה לפיתוח 2021 '!E8</f>
        <v>56350000</v>
      </c>
      <c r="F8" s="173">
        <f>'תקציב החברה לפיתוח 2021 '!F8</f>
        <v>0</v>
      </c>
      <c r="G8" s="173">
        <f>'תקציב החברה לפיתוח 2021 '!G8</f>
        <v>56350000</v>
      </c>
      <c r="H8" s="173">
        <f>'תקציב החברה לפיתוח 2021 '!H8</f>
        <v>55506718</v>
      </c>
      <c r="I8" s="173">
        <f>'תקציב החברה לפיתוח 2021 '!I8</f>
        <v>0</v>
      </c>
      <c r="J8" s="173">
        <f>'תקציב החברה לפיתוח 2021 '!J8</f>
        <v>95241</v>
      </c>
      <c r="K8" s="173">
        <f>'תקציב החברה לפיתוח 2021 '!K8</f>
        <v>95241</v>
      </c>
      <c r="L8" s="173">
        <f>'תקציב החברה לפיתוח 2021 '!L8</f>
        <v>55601959</v>
      </c>
      <c r="M8" s="173">
        <f>'תקציב החברה לפיתוח 2021 '!M8</f>
        <v>348041</v>
      </c>
      <c r="N8" s="173">
        <f>'תקציב החברה לפיתוח 2021 '!N8</f>
        <v>0</v>
      </c>
      <c r="O8" s="173">
        <f>'תקציב החברה לפיתוח 2021 '!O8</f>
        <v>400000</v>
      </c>
      <c r="P8" s="173">
        <f>'תקציב החברה לפיתוח 2021 '!P8</f>
        <v>748041</v>
      </c>
      <c r="Q8" s="173">
        <f>'תקציב החברה לפיתוח 2021 '!Q8</f>
        <v>0</v>
      </c>
      <c r="R8" s="173">
        <f>'תקציב החברה לפיתוח 2021 '!R8</f>
        <v>0</v>
      </c>
      <c r="S8" s="173">
        <f>'תקציב החברה לפיתוח 2021 '!S8</f>
        <v>0</v>
      </c>
      <c r="T8" s="173">
        <f>'תקציב החברה לפיתוח 2021 '!T8</f>
        <v>400000</v>
      </c>
      <c r="U8" s="173">
        <f>'תקציב החברה לפיתוח 2021 '!U8</f>
        <v>-400000</v>
      </c>
      <c r="V8" s="173">
        <f>'תקציב החברה לפיתוח 2021 '!V8</f>
        <v>-400000</v>
      </c>
      <c r="W8" s="173">
        <f>'תקציב החברה לפיתוח 2021 '!W8</f>
        <v>0</v>
      </c>
      <c r="X8" s="173">
        <f>'תקציב החברה לפיתוח 2021 '!X8</f>
        <v>0</v>
      </c>
      <c r="Y8" s="173">
        <f>'תקציב החברה לפיתוח 2021 '!Y8</f>
        <v>0</v>
      </c>
      <c r="Z8" s="173">
        <f>'תקציב החברה לפיתוח 2021 '!Z8</f>
        <v>0</v>
      </c>
      <c r="AA8" s="173">
        <f>'תקציב החברה לפיתוח 2021 '!AA8</f>
        <v>0</v>
      </c>
      <c r="AB8" s="293" t="str">
        <f>'תקציב החברה לפיתוח 2021 '!AB8</f>
        <v>השלמת עבודות גינון ותיקונים במתחם. לקראת סגירת תב"ר.</v>
      </c>
      <c r="AC8" s="172">
        <f>'תקציב החברה לפיתוח 2021 '!AC8</f>
        <v>732000</v>
      </c>
      <c r="AD8" s="284"/>
      <c r="AE8" s="284"/>
      <c r="AF8" s="166"/>
      <c r="AG8" s="166"/>
      <c r="AH8" s="166"/>
      <c r="AI8" s="166"/>
      <c r="AJ8" s="166"/>
    </row>
    <row r="9" spans="1:36" s="176" customFormat="1" ht="30" customHeight="1">
      <c r="A9" s="172">
        <f t="shared" si="0"/>
        <v>5</v>
      </c>
      <c r="B9" s="172">
        <f>'תקציב החברה לפיתוח 2021 '!B9</f>
        <v>1067</v>
      </c>
      <c r="C9" s="326" t="str">
        <f>'תקציב החברה לפיתוח 2021 '!C9</f>
        <v>עבודות פיתוח קטנות</v>
      </c>
      <c r="D9" s="173">
        <f>'תקציב החברה לפיתוח 2021 '!D9</f>
        <v>4475000</v>
      </c>
      <c r="E9" s="173">
        <f>'תקציב החברה לפיתוח 2021 '!E9</f>
        <v>3975000</v>
      </c>
      <c r="F9" s="173">
        <f>'תקציב החברה לפיתוח 2021 '!F9</f>
        <v>500000</v>
      </c>
      <c r="G9" s="173">
        <f>'תקציב החברה לפיתוח 2021 '!G9</f>
        <v>3975000</v>
      </c>
      <c r="H9" s="173">
        <f>'תקציב החברה לפיתוח 2021 '!H9</f>
        <v>3321663</v>
      </c>
      <c r="I9" s="173">
        <f>'תקציב החברה לפיתוח 2021 '!I9</f>
        <v>0</v>
      </c>
      <c r="J9" s="173">
        <f>'תקציב החברה לפיתוח 2021 '!J9</f>
        <v>395696</v>
      </c>
      <c r="K9" s="173">
        <f>'תקציב החברה לפיתוח 2021 '!K9</f>
        <v>395696</v>
      </c>
      <c r="L9" s="173">
        <f>'תקציב החברה לפיתוח 2021 '!L9</f>
        <v>3717359</v>
      </c>
      <c r="M9" s="173">
        <f>'תקציב החברה לפיתוח 2021 '!M9</f>
        <v>257641</v>
      </c>
      <c r="N9" s="173">
        <f>'תקציב החברה לפיתוח 2021 '!N9</f>
        <v>500000</v>
      </c>
      <c r="O9" s="173">
        <f>'תקציב החברה לפיתוח 2021 '!O9</f>
        <v>0</v>
      </c>
      <c r="P9" s="173">
        <f>'תקציב החברה לפיתוח 2021 '!P9</f>
        <v>257641</v>
      </c>
      <c r="Q9" s="173">
        <f>'תקציב החברה לפיתוח 2021 '!Q9</f>
        <v>0</v>
      </c>
      <c r="R9" s="173">
        <f>'תקציב החברה לפיתוח 2021 '!R9</f>
        <v>0</v>
      </c>
      <c r="S9" s="173">
        <f>'תקציב החברה לפיתוח 2021 '!S9</f>
        <v>0</v>
      </c>
      <c r="T9" s="173">
        <f>'תקציב החברה לפיתוח 2021 '!T9</f>
        <v>0</v>
      </c>
      <c r="U9" s="173">
        <f>'תקציב החברה לפיתוח 2021 '!U9</f>
        <v>500000</v>
      </c>
      <c r="V9" s="173">
        <f>'תקציב החברה לפיתוח 2021 '!V9</f>
        <v>500000</v>
      </c>
      <c r="W9" s="173">
        <f>'תקציב החברה לפיתוח 2021 '!W9</f>
        <v>0</v>
      </c>
      <c r="X9" s="173">
        <f>'תקציב החברה לפיתוח 2021 '!X9</f>
        <v>0</v>
      </c>
      <c r="Y9" s="173">
        <f>'תקציב החברה לפיתוח 2021 '!Y9</f>
        <v>0</v>
      </c>
      <c r="Z9" s="173">
        <f>'תקציב החברה לפיתוח 2021 '!Z9</f>
        <v>0</v>
      </c>
      <c r="AA9" s="173">
        <f>'תקציב החברה לפיתוח 2021 '!AA9</f>
        <v>0</v>
      </c>
      <c r="AB9" s="293" t="str">
        <f>'תקציב החברה לפיתוח 2021 '!AB9</f>
        <v>סל עבודות קטנות עפ"י דרישה.</v>
      </c>
      <c r="AC9" s="172">
        <f>'תקציב החברה לפיתוח 2021 '!AC9</f>
        <v>742000</v>
      </c>
      <c r="AD9" s="284"/>
      <c r="AE9" s="284"/>
      <c r="AF9" s="166"/>
      <c r="AG9" s="166"/>
      <c r="AH9" s="166"/>
      <c r="AI9" s="166"/>
      <c r="AJ9" s="166"/>
    </row>
    <row r="10" spans="1:36" s="177" customFormat="1" ht="30" customHeight="1">
      <c r="A10" s="172">
        <f t="shared" si="0"/>
        <v>6</v>
      </c>
      <c r="B10" s="172">
        <f>'תקציב החברה לפיתוח 2021 '!B10</f>
        <v>1207</v>
      </c>
      <c r="C10" s="326" t="str">
        <f>'תקציב החברה לפיתוח 2021 '!C10</f>
        <v>מתחם זרובבל</v>
      </c>
      <c r="D10" s="173">
        <f>'תקציב החברה לפיתוח 2021 '!D10</f>
        <v>50650000</v>
      </c>
      <c r="E10" s="173">
        <f>'תקציב החברה לפיתוח 2021 '!E10</f>
        <v>50650000</v>
      </c>
      <c r="F10" s="173">
        <f>'תקציב החברה לפיתוח 2021 '!F10</f>
        <v>0</v>
      </c>
      <c r="G10" s="173">
        <f>'תקציב החברה לפיתוח 2021 '!G10</f>
        <v>45650000</v>
      </c>
      <c r="H10" s="173">
        <f>'תקציב החברה לפיתוח 2021 '!H10</f>
        <v>29952314</v>
      </c>
      <c r="I10" s="173">
        <f>'תקציב החברה לפיתוח 2021 '!I10</f>
        <v>0</v>
      </c>
      <c r="J10" s="173">
        <f>'תקציב החברה לפיתוח 2021 '!J10</f>
        <v>215819</v>
      </c>
      <c r="K10" s="173">
        <f>'תקציב החברה לפיתוח 2021 '!K10</f>
        <v>215819</v>
      </c>
      <c r="L10" s="173">
        <f>'תקציב החברה לפיתוח 2021 '!L10</f>
        <v>30168133</v>
      </c>
      <c r="M10" s="173">
        <f>'תקציב החברה לפיתוח 2021 '!M10</f>
        <v>15481867</v>
      </c>
      <c r="N10" s="173">
        <f>'תקציב החברה לפיתוח 2021 '!N10</f>
        <v>5000000</v>
      </c>
      <c r="O10" s="173">
        <f>'תקציב החברה לפיתוח 2021 '!O10</f>
        <v>0</v>
      </c>
      <c r="P10" s="173">
        <f>'תקציב החברה לפיתוח 2021 '!P10</f>
        <v>15481867</v>
      </c>
      <c r="Q10" s="173">
        <f>'תקציב החברה לפיתוח 2021 '!Q10</f>
        <v>0</v>
      </c>
      <c r="R10" s="173">
        <f>'תקציב החברה לפיתוח 2021 '!R10</f>
        <v>0</v>
      </c>
      <c r="S10" s="173">
        <f>'תקציב החברה לפיתוח 2021 '!S10</f>
        <v>0</v>
      </c>
      <c r="T10" s="173">
        <f>'תקציב החברה לפיתוח 2021 '!T10</f>
        <v>0</v>
      </c>
      <c r="U10" s="173">
        <f>'תקציב החברה לפיתוח 2021 '!U10</f>
        <v>5000000</v>
      </c>
      <c r="V10" s="173">
        <f>'תקציב החברה לפיתוח 2021 '!V10</f>
        <v>5000000</v>
      </c>
      <c r="W10" s="173">
        <f>'תקציב החברה לפיתוח 2021 '!W10</f>
        <v>0</v>
      </c>
      <c r="X10" s="173">
        <f>'תקציב החברה לפיתוח 2021 '!X10</f>
        <v>0</v>
      </c>
      <c r="Y10" s="173">
        <f>'תקציב החברה לפיתוח 2021 '!Y10</f>
        <v>0</v>
      </c>
      <c r="Z10" s="173">
        <f>'תקציב החברה לפיתוח 2021 '!Z10</f>
        <v>0</v>
      </c>
      <c r="AA10" s="173">
        <f>'תקציב החברה לפיתוח 2021 '!AA10</f>
        <v>0</v>
      </c>
      <c r="AB10" s="293" t="str">
        <f>'תקציב החברה לפיתוח 2021 '!AB10</f>
        <v>המשך עבודות פיתוח במתחם. פיתוח השצ"פ.</v>
      </c>
      <c r="AC10" s="172">
        <f>'תקציב החברה לפיתוח 2021 '!AC10</f>
        <v>742000</v>
      </c>
      <c r="AD10" s="284"/>
      <c r="AE10" s="284"/>
      <c r="AF10" s="166"/>
      <c r="AG10" s="166"/>
      <c r="AH10" s="166"/>
      <c r="AI10" s="166"/>
      <c r="AJ10" s="166"/>
    </row>
    <row r="11" spans="1:36" s="177" customFormat="1" ht="30" customHeight="1">
      <c r="A11" s="172">
        <f t="shared" si="0"/>
        <v>7</v>
      </c>
      <c r="B11" s="172">
        <f>'תקציב החברה לפיתוח 2021 '!B11</f>
        <v>1238</v>
      </c>
      <c r="C11" s="326" t="str">
        <f>'תקציב החברה לפיתוח 2021 '!C11</f>
        <v>כצלנסון-פיתוח</v>
      </c>
      <c r="D11" s="173">
        <f>'תקציב החברה לפיתוח 2021 '!D11</f>
        <v>32940000</v>
      </c>
      <c r="E11" s="173">
        <f>'תקציב החברה לפיתוח 2021 '!E11</f>
        <v>32940000</v>
      </c>
      <c r="F11" s="173">
        <f>'תקציב החברה לפיתוח 2021 '!F11</f>
        <v>0</v>
      </c>
      <c r="G11" s="173">
        <f>'תקציב החברה לפיתוח 2021 '!G11</f>
        <v>25500000</v>
      </c>
      <c r="H11" s="173">
        <f>'תקציב החברה לפיתוח 2021 '!H11</f>
        <v>25492352</v>
      </c>
      <c r="I11" s="173">
        <f>'תקציב החברה לפיתוח 2021 '!I11</f>
        <v>0</v>
      </c>
      <c r="J11" s="173">
        <f>'תקציב החברה לפיתוח 2021 '!J11</f>
        <v>0</v>
      </c>
      <c r="K11" s="173">
        <f>'תקציב החברה לפיתוח 2021 '!K11</f>
        <v>0</v>
      </c>
      <c r="L11" s="173">
        <f>'תקציב החברה לפיתוח 2021 '!L11</f>
        <v>25492352</v>
      </c>
      <c r="M11" s="173">
        <f>'תקציב החברה לפיתוח 2021 '!M11</f>
        <v>7648</v>
      </c>
      <c r="N11" s="173">
        <f>'תקציב החברה לפיתוח 2021 '!N11</f>
        <v>0</v>
      </c>
      <c r="O11" s="173">
        <f>'תקציב החברה לפיתוח 2021 '!O11</f>
        <v>7440000</v>
      </c>
      <c r="P11" s="173">
        <f>'תקציב החברה לפיתוח 2021 '!P11</f>
        <v>7648</v>
      </c>
      <c r="Q11" s="173">
        <f>'תקציב החברה לפיתוח 2021 '!Q11</f>
        <v>0</v>
      </c>
      <c r="R11" s="173">
        <f>'תקציב החברה לפיתוח 2021 '!R11</f>
        <v>0</v>
      </c>
      <c r="S11" s="173">
        <f>'תקציב החברה לפיתוח 2021 '!S11</f>
        <v>0</v>
      </c>
      <c r="T11" s="173">
        <f>'תקציב החברה לפיתוח 2021 '!T11</f>
        <v>0</v>
      </c>
      <c r="U11" s="173">
        <f>'תקציב החברה לפיתוח 2021 '!U11</f>
        <v>0</v>
      </c>
      <c r="V11" s="173">
        <f>'תקציב החברה לפיתוח 2021 '!V11</f>
        <v>0</v>
      </c>
      <c r="W11" s="173">
        <f>'תקציב החברה לפיתוח 2021 '!W11</f>
        <v>0</v>
      </c>
      <c r="X11" s="173">
        <f>'תקציב החברה לפיתוח 2021 '!X11</f>
        <v>0</v>
      </c>
      <c r="Y11" s="173">
        <f>'תקציב החברה לפיתוח 2021 '!Y11</f>
        <v>0</v>
      </c>
      <c r="Z11" s="173">
        <f>'תקציב החברה לפיתוח 2021 '!Z11</f>
        <v>0</v>
      </c>
      <c r="AA11" s="173">
        <f>'תקציב החברה לפיתוח 2021 '!AA11</f>
        <v>0</v>
      </c>
      <c r="AB11" s="293" t="str">
        <f>'תקציב החברה לפיתוח 2021 '!AB11</f>
        <v xml:space="preserve">השלמת ביצוע דרום, ביצוע והשלמת תכנון פארק צפון. </v>
      </c>
      <c r="AC11" s="172">
        <f>'תקציב החברה לפיתוח 2021 '!AC11</f>
        <v>742000</v>
      </c>
      <c r="AD11" s="284"/>
      <c r="AE11" s="284"/>
      <c r="AF11" s="166"/>
      <c r="AG11" s="166"/>
      <c r="AH11" s="166"/>
      <c r="AI11" s="166"/>
      <c r="AJ11" s="166"/>
    </row>
    <row r="12" spans="1:36" s="177" customFormat="1" ht="30" customHeight="1">
      <c r="A12" s="172">
        <f t="shared" si="0"/>
        <v>8</v>
      </c>
      <c r="B12" s="172">
        <f>'תקציב החברה לפיתוח 2021 '!B12</f>
        <v>1298</v>
      </c>
      <c r="C12" s="326" t="str">
        <f>'תקציב החברה לפיתוח 2021 '!C12</f>
        <v>תכנונים כלליים</v>
      </c>
      <c r="D12" s="173">
        <f>'תקציב החברה לפיתוח 2021 '!D12</f>
        <v>5100000</v>
      </c>
      <c r="E12" s="173">
        <f>'תקציב החברה לפיתוח 2021 '!E12</f>
        <v>4600000</v>
      </c>
      <c r="F12" s="173">
        <f>'תקציב החברה לפיתוח 2021 '!F12</f>
        <v>500000</v>
      </c>
      <c r="G12" s="173">
        <f>'תקציב החברה לפיתוח 2021 '!G12</f>
        <v>4600000</v>
      </c>
      <c r="H12" s="173">
        <f>'תקציב החברה לפיתוח 2021 '!H12</f>
        <v>4357584</v>
      </c>
      <c r="I12" s="173">
        <f>'תקציב החברה לפיתוח 2021 '!I12</f>
        <v>0</v>
      </c>
      <c r="J12" s="173">
        <f>'תקציב החברה לפיתוח 2021 '!J12</f>
        <v>241538</v>
      </c>
      <c r="K12" s="173">
        <f>'תקציב החברה לפיתוח 2021 '!K12</f>
        <v>241538</v>
      </c>
      <c r="L12" s="173">
        <f>'תקציב החברה לפיתוח 2021 '!L12</f>
        <v>4599122</v>
      </c>
      <c r="M12" s="173">
        <f>'תקציב החברה לפיתוח 2021 '!M12</f>
        <v>878</v>
      </c>
      <c r="N12" s="173">
        <f>'תקציב החברה לפיתוח 2021 '!N12</f>
        <v>500000</v>
      </c>
      <c r="O12" s="173">
        <f>'תקציב החברה לפיתוח 2021 '!O12</f>
        <v>0</v>
      </c>
      <c r="P12" s="173">
        <f>'תקציב החברה לפיתוח 2021 '!P12</f>
        <v>878</v>
      </c>
      <c r="Q12" s="173">
        <f>'תקציב החברה לפיתוח 2021 '!Q12</f>
        <v>0</v>
      </c>
      <c r="R12" s="173">
        <f>'תקציב החברה לפיתוח 2021 '!R12</f>
        <v>0</v>
      </c>
      <c r="S12" s="173">
        <f>'תקציב החברה לפיתוח 2021 '!S12</f>
        <v>0</v>
      </c>
      <c r="T12" s="173">
        <f>'תקציב החברה לפיתוח 2021 '!T12</f>
        <v>0</v>
      </c>
      <c r="U12" s="173">
        <f>'תקציב החברה לפיתוח 2021 '!U12</f>
        <v>500000</v>
      </c>
      <c r="V12" s="173">
        <f>'תקציב החברה לפיתוח 2021 '!V12</f>
        <v>500000</v>
      </c>
      <c r="W12" s="173">
        <f>'תקציב החברה לפיתוח 2021 '!W12</f>
        <v>0</v>
      </c>
      <c r="X12" s="173">
        <f>'תקציב החברה לפיתוח 2021 '!X12</f>
        <v>0</v>
      </c>
      <c r="Y12" s="173">
        <f>'תקציב החברה לפיתוח 2021 '!Y12</f>
        <v>0</v>
      </c>
      <c r="Z12" s="173">
        <f>'תקציב החברה לפיתוח 2021 '!Z12</f>
        <v>0</v>
      </c>
      <c r="AA12" s="173">
        <f>'תקציב החברה לפיתוח 2021 '!AA12</f>
        <v>0</v>
      </c>
      <c r="AB12" s="293" t="str">
        <f>'תקציב החברה לפיתוח 2021 '!AB12</f>
        <v>סל עבודות תכנון עפ"י דרישה.</v>
      </c>
      <c r="AC12" s="172">
        <f>'תקציב החברה לפיתוח 2021 '!AC12</f>
        <v>742000</v>
      </c>
      <c r="AD12" s="284"/>
      <c r="AE12" s="284"/>
      <c r="AF12" s="166"/>
      <c r="AG12" s="166"/>
      <c r="AH12" s="166"/>
      <c r="AI12" s="166"/>
      <c r="AJ12" s="166"/>
    </row>
    <row r="13" spans="1:36" s="176" customFormat="1" ht="30" customHeight="1">
      <c r="A13" s="172">
        <f t="shared" si="0"/>
        <v>9</v>
      </c>
      <c r="B13" s="172">
        <f>'תקציב החברה לפיתוח 2021 '!B13</f>
        <v>1312</v>
      </c>
      <c r="C13" s="326" t="str">
        <f>'תקציב החברה לפיתוח 2021 '!C13</f>
        <v>השלמת מבנה העיריה החדש</v>
      </c>
      <c r="D13" s="173">
        <f>'תקציב החברה לפיתוח 2021 '!D13</f>
        <v>107231000</v>
      </c>
      <c r="E13" s="173">
        <f>'תקציב החברה לפיתוח 2021 '!E13</f>
        <v>109500000</v>
      </c>
      <c r="F13" s="173">
        <f>'תקציב החברה לפיתוח 2021 '!F13</f>
        <v>-2269000</v>
      </c>
      <c r="G13" s="173">
        <f>'תקציב החברה לפיתוח 2021 '!G13</f>
        <v>107980000</v>
      </c>
      <c r="H13" s="173">
        <f>'תקציב החברה לפיתוח 2021 '!H13</f>
        <v>104133024</v>
      </c>
      <c r="I13" s="173">
        <f>'תקציב החברה לפיתוח 2021 '!I13</f>
        <v>0</v>
      </c>
      <c r="J13" s="173">
        <f>'תקציב החברה לפיתוח 2021 '!J13</f>
        <v>97843</v>
      </c>
      <c r="K13" s="173">
        <f>'תקציב החברה לפיתוח 2021 '!K13</f>
        <v>97843</v>
      </c>
      <c r="L13" s="173">
        <f>'תקציב החברה לפיתוח 2021 '!L13</f>
        <v>104230867</v>
      </c>
      <c r="M13" s="173">
        <f>'תקציב החברה לפיתוח 2021 '!M13</f>
        <v>133</v>
      </c>
      <c r="N13" s="173">
        <f>'תקציב החברה לפיתוח 2021 '!N13</f>
        <v>3000000</v>
      </c>
      <c r="O13" s="173">
        <f>'תקציב החברה לפיתוח 2021 '!O13</f>
        <v>0</v>
      </c>
      <c r="P13" s="173">
        <f>'תקציב החברה לפיתוח 2021 '!P13</f>
        <v>3749133</v>
      </c>
      <c r="Q13" s="173">
        <f>'תקציב החברה לפיתוח 2021 '!Q13</f>
        <v>0</v>
      </c>
      <c r="R13" s="173">
        <f>'תקציב החברה לפיתוח 2021 '!R13</f>
        <v>0</v>
      </c>
      <c r="S13" s="173">
        <f>'תקציב החברה לפיתוח 2021 '!S13</f>
        <v>0</v>
      </c>
      <c r="T13" s="173">
        <f>'תקציב החברה לפיתוח 2021 '!T13</f>
        <v>3749000</v>
      </c>
      <c r="U13" s="173">
        <f>'תקציב החברה לפיתוח 2021 '!U13</f>
        <v>-749000</v>
      </c>
      <c r="V13" s="173">
        <f>'תקציב החברה לפיתוח 2021 '!V13</f>
        <v>-749000</v>
      </c>
      <c r="W13" s="173">
        <f>'תקציב החברה לפיתוח 2021 '!W13</f>
        <v>0</v>
      </c>
      <c r="X13" s="173">
        <f>'תקציב החברה לפיתוח 2021 '!X13</f>
        <v>0</v>
      </c>
      <c r="Y13" s="173">
        <f>'תקציב החברה לפיתוח 2021 '!Y13</f>
        <v>0</v>
      </c>
      <c r="Z13" s="173">
        <f>'תקציב החברה לפיתוח 2021 '!Z13</f>
        <v>0</v>
      </c>
      <c r="AA13" s="173">
        <f>'תקציב החברה לפיתוח 2021 '!AA13</f>
        <v>0</v>
      </c>
      <c r="AB13" s="293" t="str">
        <f>'תקציב החברה לפיתוח 2021 '!AB13</f>
        <v>בנין העיריה החדש.  שידרוג קומה 3 ו 4 מינהל הנדסה.</v>
      </c>
      <c r="AC13" s="172">
        <f>'תקציב החברה לפיתוח 2021 '!AC13</f>
        <v>930000</v>
      </c>
      <c r="AD13" s="284"/>
      <c r="AE13" s="284"/>
      <c r="AF13" s="166"/>
      <c r="AG13" s="166"/>
      <c r="AH13" s="166"/>
      <c r="AI13" s="166"/>
      <c r="AJ13" s="166"/>
    </row>
    <row r="14" spans="1:36" s="5" customFormat="1" ht="42.65" customHeight="1">
      <c r="A14" s="172">
        <f t="shared" si="0"/>
        <v>10</v>
      </c>
      <c r="B14" s="172">
        <f>'תקציב החברה לפיתוח 2021 '!B14</f>
        <v>1314</v>
      </c>
      <c r="C14" s="326" t="str">
        <f>'תקציב החברה לפיתוח 2021 '!C14</f>
        <v>רח' גבעת החלומות פיתוח</v>
      </c>
      <c r="D14" s="173">
        <f>'תקציב החברה לפיתוח 2021 '!D14</f>
        <v>3200000</v>
      </c>
      <c r="E14" s="173">
        <f>'תקציב החברה לפיתוח 2021 '!E14</f>
        <v>3200000</v>
      </c>
      <c r="F14" s="173">
        <f>'תקציב החברה לפיתוח 2021 '!F14</f>
        <v>0</v>
      </c>
      <c r="G14" s="173">
        <f>'תקציב החברה לפיתוח 2021 '!G14</f>
        <v>660000</v>
      </c>
      <c r="H14" s="173">
        <f>'תקציב החברה לפיתוח 2021 '!H14</f>
        <v>400766</v>
      </c>
      <c r="I14" s="173">
        <f>'תקציב החברה לפיתוח 2021 '!I14</f>
        <v>0</v>
      </c>
      <c r="J14" s="173">
        <f>'תקציב החברה לפיתוח 2021 '!J14</f>
        <v>0</v>
      </c>
      <c r="K14" s="173">
        <f>'תקציב החברה לפיתוח 2021 '!K14</f>
        <v>0</v>
      </c>
      <c r="L14" s="173">
        <f>'תקציב החברה לפיתוח 2021 '!L14</f>
        <v>400766</v>
      </c>
      <c r="M14" s="173">
        <f>'תקציב החברה לפיתוח 2021 '!M14</f>
        <v>259234</v>
      </c>
      <c r="N14" s="173">
        <f>'תקציב החברה לפיתוח 2021 '!N14</f>
        <v>0</v>
      </c>
      <c r="O14" s="173">
        <f>'תקציב החברה לפיתוח 2021 '!O14</f>
        <v>2540000</v>
      </c>
      <c r="P14" s="173">
        <f>'תקציב החברה לפיתוח 2021 '!P14</f>
        <v>259234</v>
      </c>
      <c r="Q14" s="173">
        <f>'תקציב החברה לפיתוח 2021 '!Q14</f>
        <v>0</v>
      </c>
      <c r="R14" s="173">
        <f>'תקציב החברה לפיתוח 2021 '!R14</f>
        <v>0</v>
      </c>
      <c r="S14" s="173">
        <f>'תקציב החברה לפיתוח 2021 '!S14</f>
        <v>0</v>
      </c>
      <c r="T14" s="173">
        <f>'תקציב החברה לפיתוח 2021 '!T14</f>
        <v>0</v>
      </c>
      <c r="U14" s="173">
        <f>'תקציב החברה לפיתוח 2021 '!U14</f>
        <v>0</v>
      </c>
      <c r="V14" s="173">
        <f>'תקציב החברה לפיתוח 2021 '!V14</f>
        <v>0</v>
      </c>
      <c r="W14" s="173">
        <f>'תקציב החברה לפיתוח 2021 '!W14</f>
        <v>0</v>
      </c>
      <c r="X14" s="173">
        <f>'תקציב החברה לפיתוח 2021 '!X14</f>
        <v>0</v>
      </c>
      <c r="Y14" s="173">
        <f>'תקציב החברה לפיתוח 2021 '!Y14</f>
        <v>0</v>
      </c>
      <c r="Z14" s="173">
        <f>'תקציב החברה לפיתוח 2021 '!Z14</f>
        <v>0</v>
      </c>
      <c r="AA14" s="173">
        <f>'תקציב החברה לפיתוח 2021 '!AA14</f>
        <v>0</v>
      </c>
      <c r="AB14" s="293" t="str">
        <f>'תקציב החברה לפיתוח 2021 '!AB14</f>
        <v xml:space="preserve">פיתוח רחוב גבעת החלומות לרבות עבודות ניקוז ותאורה. עדכון תכנון וביצוע . </v>
      </c>
      <c r="AC14" s="172">
        <f>'תקציב החברה לפיתוח 2021 '!AC14</f>
        <v>742000</v>
      </c>
      <c r="AD14" s="284"/>
      <c r="AE14" s="284"/>
      <c r="AF14" s="166"/>
      <c r="AG14" s="166"/>
      <c r="AH14" s="166"/>
      <c r="AI14" s="166"/>
      <c r="AJ14" s="166"/>
    </row>
    <row r="15" spans="1:36" s="5" customFormat="1" ht="42">
      <c r="A15" s="172">
        <f t="shared" si="0"/>
        <v>11</v>
      </c>
      <c r="B15" s="172">
        <f>'תקציב החברה לפיתוח 2021 '!B15</f>
        <v>1322</v>
      </c>
      <c r="C15" s="326" t="str">
        <f>'תקציב החברה לפיתוח 2021 '!C15</f>
        <v>מתחם נוף ים פיתוח</v>
      </c>
      <c r="D15" s="173">
        <f>'תקציב החברה לפיתוח 2021 '!D15</f>
        <v>18500000</v>
      </c>
      <c r="E15" s="173">
        <f>'תקציב החברה לפיתוח 2021 '!E15</f>
        <v>18500000</v>
      </c>
      <c r="F15" s="173">
        <f>'תקציב החברה לפיתוח 2021 '!F15</f>
        <v>0</v>
      </c>
      <c r="G15" s="173">
        <f>'תקציב החברה לפיתוח 2021 '!G15</f>
        <v>10850000</v>
      </c>
      <c r="H15" s="173">
        <f>'תקציב החברה לפיתוח 2021 '!H15</f>
        <v>9625169</v>
      </c>
      <c r="I15" s="173">
        <f>'תקציב החברה לפיתוח 2021 '!I15</f>
        <v>82865</v>
      </c>
      <c r="J15" s="173">
        <f>'תקציב החברה לפיתוח 2021 '!J15</f>
        <v>0</v>
      </c>
      <c r="K15" s="173">
        <f>'תקציב החברה לפיתוח 2021 '!K15</f>
        <v>82865</v>
      </c>
      <c r="L15" s="173">
        <f>'תקציב החברה לפיתוח 2021 '!L15</f>
        <v>9708034</v>
      </c>
      <c r="M15" s="173">
        <f>'תקציב החברה לפיתוח 2021 '!M15</f>
        <v>1141966</v>
      </c>
      <c r="N15" s="173">
        <f>'תקציב החברה לפיתוח 2021 '!N15</f>
        <v>0</v>
      </c>
      <c r="O15" s="173">
        <f>'תקציב החברה לפיתוח 2021 '!O15</f>
        <v>7650000</v>
      </c>
      <c r="P15" s="173">
        <f>'תקציב החברה לפיתוח 2021 '!P15</f>
        <v>1141966</v>
      </c>
      <c r="Q15" s="173">
        <f>'תקציב החברה לפיתוח 2021 '!Q15</f>
        <v>0</v>
      </c>
      <c r="R15" s="173">
        <f>'תקציב החברה לפיתוח 2021 '!R15</f>
        <v>0</v>
      </c>
      <c r="S15" s="173">
        <f>'תקציב החברה לפיתוח 2021 '!S15</f>
        <v>0</v>
      </c>
      <c r="T15" s="173">
        <f>'תקציב החברה לפיתוח 2021 '!T15</f>
        <v>0</v>
      </c>
      <c r="U15" s="173">
        <f>'תקציב החברה לפיתוח 2021 '!U15</f>
        <v>0</v>
      </c>
      <c r="V15" s="173">
        <f>'תקציב החברה לפיתוח 2021 '!V15</f>
        <v>0</v>
      </c>
      <c r="W15" s="173">
        <f>'תקציב החברה לפיתוח 2021 '!W15</f>
        <v>0</v>
      </c>
      <c r="X15" s="173">
        <f>'תקציב החברה לפיתוח 2021 '!X15</f>
        <v>0</v>
      </c>
      <c r="Y15" s="173">
        <f>'תקציב החברה לפיתוח 2021 '!Y15</f>
        <v>0</v>
      </c>
      <c r="Z15" s="173">
        <f>'תקציב החברה לפיתוח 2021 '!Z15</f>
        <v>0</v>
      </c>
      <c r="AA15" s="173">
        <f>'תקציב החברה לפיתוח 2021 '!AA15</f>
        <v>0</v>
      </c>
      <c r="AB15" s="293" t="str">
        <f>'תקציב החברה לפיתוח 2021 '!AB15</f>
        <v>ביצוע תשתיות רח' הנשיא מחיבורו לשער הים עד הצומת רח' הפועל התאנה כולל הטמנת רשת חשמל.</v>
      </c>
      <c r="AC15" s="172">
        <f>'תקציב החברה לפיתוח 2021 '!AC15</f>
        <v>742000</v>
      </c>
      <c r="AD15" s="284"/>
      <c r="AE15" s="284"/>
      <c r="AF15" s="166"/>
      <c r="AG15" s="166"/>
      <c r="AH15" s="166"/>
      <c r="AI15" s="166"/>
      <c r="AJ15" s="166"/>
    </row>
    <row r="16" spans="1:36" s="5" customFormat="1" ht="42">
      <c r="A16" s="172">
        <f t="shared" si="0"/>
        <v>12</v>
      </c>
      <c r="B16" s="172">
        <f>'תקציב החברה לפיתוח 2021 '!B16</f>
        <v>1357</v>
      </c>
      <c r="C16" s="326" t="str">
        <f>'תקציב החברה לפיתוח 2021 '!C16</f>
        <v>ספורטק שלב ג'</v>
      </c>
      <c r="D16" s="173">
        <f>'תקציב החברה לפיתוח 2021 '!D16</f>
        <v>25000000</v>
      </c>
      <c r="E16" s="173">
        <f>'תקציב החברה לפיתוח 2021 '!E16</f>
        <v>25000000</v>
      </c>
      <c r="F16" s="173">
        <f>'תקציב החברה לפיתוח 2021 '!F16</f>
        <v>0</v>
      </c>
      <c r="G16" s="173">
        <f>'תקציב החברה לפיתוח 2021 '!G16</f>
        <v>14612000</v>
      </c>
      <c r="H16" s="173">
        <f>'תקציב החברה לפיתוח 2021 '!H16</f>
        <v>12621360</v>
      </c>
      <c r="I16" s="173">
        <f>'תקציב החברה לפיתוח 2021 '!I16</f>
        <v>0</v>
      </c>
      <c r="J16" s="173">
        <f>'תקציב החברה לפיתוח 2021 '!J16</f>
        <v>190113</v>
      </c>
      <c r="K16" s="173">
        <f>'תקציב החברה לפיתוח 2021 '!K16</f>
        <v>190113</v>
      </c>
      <c r="L16" s="173">
        <f>'תקציב החברה לפיתוח 2021 '!L16</f>
        <v>12811473</v>
      </c>
      <c r="M16" s="173">
        <f>'תקציב החברה לפיתוח 2021 '!M16</f>
        <v>1800527</v>
      </c>
      <c r="N16" s="173">
        <f>'תקציב החברה לפיתוח 2021 '!N16</f>
        <v>3500000</v>
      </c>
      <c r="O16" s="173">
        <f>'תקציב החברה לפיתוח 2021 '!O16</f>
        <v>6888000</v>
      </c>
      <c r="P16" s="173">
        <f>'תקציב החברה לפיתוח 2021 '!P16</f>
        <v>1800527</v>
      </c>
      <c r="Q16" s="173">
        <f>'תקציב החברה לפיתוח 2021 '!Q16</f>
        <v>0</v>
      </c>
      <c r="R16" s="173">
        <f>'תקציב החברה לפיתוח 2021 '!R16</f>
        <v>0</v>
      </c>
      <c r="S16" s="173">
        <f>'תקציב החברה לפיתוח 2021 '!S16</f>
        <v>0</v>
      </c>
      <c r="T16" s="173">
        <f>'תקציב החברה לפיתוח 2021 '!T16</f>
        <v>0</v>
      </c>
      <c r="U16" s="173">
        <f>'תקציב החברה לפיתוח 2021 '!U16</f>
        <v>3500000</v>
      </c>
      <c r="V16" s="173">
        <f>'תקציב החברה לפיתוח 2021 '!V16</f>
        <v>3500000</v>
      </c>
      <c r="W16" s="173">
        <f>'תקציב החברה לפיתוח 2021 '!W16</f>
        <v>0</v>
      </c>
      <c r="X16" s="173">
        <f>'תקציב החברה לפיתוח 2021 '!X16</f>
        <v>0</v>
      </c>
      <c r="Y16" s="173">
        <f>'תקציב החברה לפיתוח 2021 '!Y16</f>
        <v>0</v>
      </c>
      <c r="Z16" s="173">
        <f>'תקציב החברה לפיתוח 2021 '!Z16</f>
        <v>0</v>
      </c>
      <c r="AA16" s="173">
        <f>'תקציב החברה לפיתוח 2021 '!AA16</f>
        <v>0</v>
      </c>
      <c r="AB16" s="293" t="str">
        <f>'תקציב החברה לפיתוח 2021 '!AB16</f>
        <v>עבודות מבנה קט רגל והשלמת פיתוח בשטחים "ריקים" הגובלים בפטנק ומגרשי קטרגל.</v>
      </c>
      <c r="AC16" s="172">
        <f>'תקציב החברה לפיתוח 2021 '!AC16</f>
        <v>829000</v>
      </c>
      <c r="AD16" s="284"/>
      <c r="AE16" s="284"/>
      <c r="AF16" s="166"/>
      <c r="AG16" s="166"/>
      <c r="AH16" s="166"/>
      <c r="AI16" s="166"/>
      <c r="AJ16" s="166"/>
    </row>
    <row r="17" spans="1:36" s="176" customFormat="1" ht="30" customHeight="1">
      <c r="A17" s="172">
        <f t="shared" si="0"/>
        <v>13</v>
      </c>
      <c r="B17" s="172">
        <f>'תקציב החברה לפיתוח 2021 '!B17</f>
        <v>1375</v>
      </c>
      <c r="C17" s="326" t="str">
        <f>'תקציב החברה לפיתוח 2021 '!C17</f>
        <v>הקמת בריכה ומרכז לאומנויות לחימה</v>
      </c>
      <c r="D17" s="173">
        <f>'תקציב החברה לפיתוח 2021 '!D17</f>
        <v>40150000</v>
      </c>
      <c r="E17" s="173">
        <f>'תקציב החברה לפיתוח 2021 '!E17</f>
        <v>40150000</v>
      </c>
      <c r="F17" s="173">
        <f>'תקציב החברה לפיתוח 2021 '!F17</f>
        <v>0</v>
      </c>
      <c r="G17" s="173">
        <f>'תקציב החברה לפיתוח 2021 '!G17</f>
        <v>30150000</v>
      </c>
      <c r="H17" s="173">
        <f>'תקציב החברה לפיתוח 2021 '!H17</f>
        <v>29163485</v>
      </c>
      <c r="I17" s="173">
        <f>'תקציב החברה לפיתוח 2021 '!I17</f>
        <v>0</v>
      </c>
      <c r="J17" s="173">
        <f>'תקציב החברה לפיתוח 2021 '!J17</f>
        <v>735246</v>
      </c>
      <c r="K17" s="173">
        <f>'תקציב החברה לפיתוח 2021 '!K17</f>
        <v>735246</v>
      </c>
      <c r="L17" s="173">
        <f>'תקציב החברה לפיתוח 2021 '!L17</f>
        <v>29898731</v>
      </c>
      <c r="M17" s="173">
        <f>'תקציב החברה לפיתוח 2021 '!M17</f>
        <v>251269</v>
      </c>
      <c r="N17" s="173">
        <f>'תקציב החברה לפיתוח 2021 '!N17</f>
        <v>0</v>
      </c>
      <c r="O17" s="173">
        <f>'תקציב החברה לפיתוח 2021 '!O17</f>
        <v>10000000</v>
      </c>
      <c r="P17" s="173">
        <f>'תקציב החברה לפיתוח 2021 '!P17</f>
        <v>251269</v>
      </c>
      <c r="Q17" s="173">
        <f>'תקציב החברה לפיתוח 2021 '!Q17</f>
        <v>0</v>
      </c>
      <c r="R17" s="173">
        <f>'תקציב החברה לפיתוח 2021 '!R17</f>
        <v>0</v>
      </c>
      <c r="S17" s="173">
        <f>'תקציב החברה לפיתוח 2021 '!S17</f>
        <v>0</v>
      </c>
      <c r="T17" s="173">
        <f>'תקציב החברה לפיתוח 2021 '!T17</f>
        <v>0</v>
      </c>
      <c r="U17" s="173">
        <f>'תקציב החברה לפיתוח 2021 '!U17</f>
        <v>0</v>
      </c>
      <c r="V17" s="173">
        <f>'תקציב החברה לפיתוח 2021 '!V17</f>
        <v>0</v>
      </c>
      <c r="W17" s="173">
        <f>'תקציב החברה לפיתוח 2021 '!W17</f>
        <v>0</v>
      </c>
      <c r="X17" s="173">
        <f>'תקציב החברה לפיתוח 2021 '!X17</f>
        <v>0</v>
      </c>
      <c r="Y17" s="173">
        <f>'תקציב החברה לפיתוח 2021 '!Y17</f>
        <v>0</v>
      </c>
      <c r="Z17" s="173">
        <f>'תקציב החברה לפיתוח 2021 '!Z17</f>
        <v>0</v>
      </c>
      <c r="AA17" s="173">
        <f>'תקציב החברה לפיתוח 2021 '!AA17</f>
        <v>0</v>
      </c>
      <c r="AB17" s="293" t="str">
        <f>'תקציב החברה לפיתוח 2021 '!AB17</f>
        <v>תוספת קומה והקמת חדרי פעילויות .</v>
      </c>
      <c r="AC17" s="172">
        <f>'תקציב החברה לפיתוח 2021 '!AC17</f>
        <v>747000</v>
      </c>
      <c r="AD17" s="284"/>
      <c r="AE17" s="284"/>
      <c r="AF17" s="166"/>
      <c r="AG17" s="166"/>
      <c r="AH17" s="166"/>
      <c r="AI17" s="166"/>
      <c r="AJ17" s="166"/>
    </row>
    <row r="18" spans="1:36" s="176" customFormat="1" ht="42">
      <c r="A18" s="172">
        <f t="shared" si="0"/>
        <v>14</v>
      </c>
      <c r="B18" s="172">
        <f>'תקציב החברה לפיתוח 2021 '!B18</f>
        <v>1403</v>
      </c>
      <c r="C18" s="326" t="str">
        <f>'תקציב החברה לפיתוח 2021 '!C18</f>
        <v>מרכז פיס לתרבות מוסיקה קהילה</v>
      </c>
      <c r="D18" s="173">
        <f>'תקציב החברה לפיתוח 2021 '!D18</f>
        <v>37550000</v>
      </c>
      <c r="E18" s="173">
        <f>'תקציב החברה לפיתוח 2021 '!E18</f>
        <v>37550000</v>
      </c>
      <c r="F18" s="173">
        <f>'תקציב החברה לפיתוח 2021 '!F18</f>
        <v>0</v>
      </c>
      <c r="G18" s="173">
        <f>'תקציב החברה לפיתוח 2021 '!G18</f>
        <v>37513260</v>
      </c>
      <c r="H18" s="173">
        <f>'תקציב החברה לפיתוח 2021 '!H18</f>
        <v>37268741</v>
      </c>
      <c r="I18" s="173">
        <f>'תקציב החברה לפיתוח 2021 '!I18</f>
        <v>0</v>
      </c>
      <c r="J18" s="173">
        <f>'תקציב החברה לפיתוח 2021 '!J18</f>
        <v>21167</v>
      </c>
      <c r="K18" s="173">
        <f>'תקציב החברה לפיתוח 2021 '!K18</f>
        <v>21167</v>
      </c>
      <c r="L18" s="173">
        <f>'תקציב החברה לפיתוח 2021 '!L18</f>
        <v>37289908</v>
      </c>
      <c r="M18" s="173">
        <f>'תקציב החברה לפיתוח 2021 '!M18</f>
        <v>223352</v>
      </c>
      <c r="N18" s="173">
        <f>'תקציב החברה לפיתוח 2021 '!N18</f>
        <v>0</v>
      </c>
      <c r="O18" s="173">
        <f>'תקציב החברה לפיתוח 2021 '!O18</f>
        <v>36740</v>
      </c>
      <c r="P18" s="173">
        <f>'תקציב החברה לפיתוח 2021 '!P18</f>
        <v>223352</v>
      </c>
      <c r="Q18" s="173">
        <f>'תקציב החברה לפיתוח 2021 '!Q18</f>
        <v>0</v>
      </c>
      <c r="R18" s="173">
        <f>'תקציב החברה לפיתוח 2021 '!R18</f>
        <v>0</v>
      </c>
      <c r="S18" s="173">
        <f>'תקציב החברה לפיתוח 2021 '!S18</f>
        <v>0</v>
      </c>
      <c r="T18" s="173">
        <f>'תקציב החברה לפיתוח 2021 '!T18</f>
        <v>0</v>
      </c>
      <c r="U18" s="173">
        <f>'תקציב החברה לפיתוח 2021 '!U18</f>
        <v>0</v>
      </c>
      <c r="V18" s="173">
        <f>'תקציב החברה לפיתוח 2021 '!V18</f>
        <v>0</v>
      </c>
      <c r="W18" s="173">
        <f>'תקציב החברה לפיתוח 2021 '!W18</f>
        <v>0</v>
      </c>
      <c r="X18" s="173">
        <f>'תקציב החברה לפיתוח 2021 '!X18</f>
        <v>0</v>
      </c>
      <c r="Y18" s="173">
        <f>'תקציב החברה לפיתוח 2021 '!Y18</f>
        <v>0</v>
      </c>
      <c r="Z18" s="173">
        <f>'תקציב החברה לפיתוח 2021 '!Z18</f>
        <v>0</v>
      </c>
      <c r="AA18" s="173">
        <f>'תקציב החברה לפיתוח 2021 '!AA18</f>
        <v>0</v>
      </c>
      <c r="AB18" s="293" t="str">
        <f>'תקציב החברה לפיתוח 2021 '!AB18</f>
        <v xml:space="preserve">הקמת מבנה תרבות כולל חדרי מחול וקונסבטוריון . ממתין לתקבול סופי מ.הפיס. </v>
      </c>
      <c r="AC18" s="172">
        <f>'תקציב החברה לפיתוח 2021 '!AC18</f>
        <v>826000</v>
      </c>
      <c r="AD18" s="284"/>
      <c r="AE18" s="284"/>
      <c r="AF18" s="166"/>
      <c r="AG18" s="166"/>
      <c r="AH18" s="166"/>
      <c r="AI18" s="166"/>
      <c r="AJ18" s="166"/>
    </row>
    <row r="19" spans="1:36" s="176" customFormat="1" ht="30" customHeight="1">
      <c r="A19" s="172">
        <f t="shared" si="0"/>
        <v>15</v>
      </c>
      <c r="B19" s="172">
        <f>'תקציב החברה לפיתוח 2021 '!B19</f>
        <v>1443</v>
      </c>
      <c r="C19" s="326" t="str">
        <f>'תקציב החברה לפיתוח 2021 '!C19</f>
        <v>עבודות פינוי ומיחזור הר' 1903</v>
      </c>
      <c r="D19" s="173">
        <f>'תקציב החברה לפיתוח 2021 '!D19</f>
        <v>78500000</v>
      </c>
      <c r="E19" s="173">
        <f>'תקציב החברה לפיתוח 2021 '!E19</f>
        <v>78500000</v>
      </c>
      <c r="F19" s="173">
        <f>'תקציב החברה לפיתוח 2021 '!F19</f>
        <v>0</v>
      </c>
      <c r="G19" s="173">
        <f>'תקציב החברה לפיתוח 2021 '!G19</f>
        <v>53840000</v>
      </c>
      <c r="H19" s="173">
        <f>'תקציב החברה לפיתוח 2021 '!H19</f>
        <v>50824299</v>
      </c>
      <c r="I19" s="173">
        <f>'תקציב החברה לפיתוח 2021 '!I19</f>
        <v>0</v>
      </c>
      <c r="J19" s="173">
        <f>'תקציב החברה לפיתוח 2021 '!J19</f>
        <v>0</v>
      </c>
      <c r="K19" s="173">
        <f>'תקציב החברה לפיתוח 2021 '!K19</f>
        <v>0</v>
      </c>
      <c r="L19" s="173">
        <f>'תקציב החברה לפיתוח 2021 '!L19</f>
        <v>50824299</v>
      </c>
      <c r="M19" s="173">
        <f>'תקציב החברה לפיתוח 2021 '!M19</f>
        <v>3015701</v>
      </c>
      <c r="N19" s="173">
        <f>'תקציב החברה לפיתוח 2021 '!N19</f>
        <v>0</v>
      </c>
      <c r="O19" s="173">
        <f>'תקציב החברה לפיתוח 2021 '!O19</f>
        <v>24660000</v>
      </c>
      <c r="P19" s="173">
        <f>'תקציב החברה לפיתוח 2021 '!P19</f>
        <v>3015701</v>
      </c>
      <c r="Q19" s="173">
        <f>'תקציב החברה לפיתוח 2021 '!Q19</f>
        <v>0</v>
      </c>
      <c r="R19" s="173">
        <f>'תקציב החברה לפיתוח 2021 '!R19</f>
        <v>0</v>
      </c>
      <c r="S19" s="173">
        <f>'תקציב החברה לפיתוח 2021 '!S19</f>
        <v>0</v>
      </c>
      <c r="T19" s="173">
        <f>'תקציב החברה לפיתוח 2021 '!T19</f>
        <v>0</v>
      </c>
      <c r="U19" s="173">
        <f>'תקציב החברה לפיתוח 2021 '!U19</f>
        <v>0</v>
      </c>
      <c r="V19" s="173">
        <f>'תקציב החברה לפיתוח 2021 '!V19</f>
        <v>0</v>
      </c>
      <c r="W19" s="173">
        <f>'תקציב החברה לפיתוח 2021 '!W19</f>
        <v>0</v>
      </c>
      <c r="X19" s="173">
        <f>'תקציב החברה לפיתוח 2021 '!X19</f>
        <v>0</v>
      </c>
      <c r="Y19" s="173">
        <f>'תקציב החברה לפיתוח 2021 '!Y19</f>
        <v>0</v>
      </c>
      <c r="Z19" s="173">
        <f>'תקציב החברה לפיתוח 2021 '!Z19</f>
        <v>0</v>
      </c>
      <c r="AA19" s="173">
        <f>'תקציב החברה לפיתוח 2021 '!AA19</f>
        <v>0</v>
      </c>
      <c r="AB19" s="293">
        <f>'תקציב החברה לפיתוח 2021 '!AB19</f>
        <v>0</v>
      </c>
      <c r="AC19" s="172">
        <f>'תקציב החברה לפיתוח 2021 '!AC19</f>
        <v>749000</v>
      </c>
      <c r="AD19" s="284"/>
      <c r="AE19" s="284"/>
      <c r="AF19" s="166"/>
      <c r="AG19" s="166"/>
      <c r="AH19" s="166"/>
      <c r="AI19" s="166"/>
      <c r="AJ19" s="166"/>
    </row>
    <row r="20" spans="1:36" s="176" customFormat="1" ht="42">
      <c r="A20" s="172">
        <f t="shared" si="0"/>
        <v>16</v>
      </c>
      <c r="B20" s="172">
        <f>'תקציב החברה לפיתוח 2021 '!B20</f>
        <v>1446</v>
      </c>
      <c r="C20" s="326" t="str">
        <f>'תקציב החברה לפיתוח 2021 '!C20</f>
        <v xml:space="preserve">מתחם נוריות  </v>
      </c>
      <c r="D20" s="173">
        <f>'תקציב החברה לפיתוח 2021 '!D20</f>
        <v>14250000</v>
      </c>
      <c r="E20" s="173">
        <f>'תקציב החברה לפיתוח 2021 '!E20</f>
        <v>14250000</v>
      </c>
      <c r="F20" s="173">
        <f>'תקציב החברה לפיתוח 2021 '!F20</f>
        <v>0</v>
      </c>
      <c r="G20" s="173">
        <f>'תקציב החברה לפיתוח 2021 '!G20</f>
        <v>14250000</v>
      </c>
      <c r="H20" s="173">
        <f>'תקציב החברה לפיתוח 2021 '!H20</f>
        <v>7360717</v>
      </c>
      <c r="I20" s="173">
        <f>'תקציב החברה לפיתוח 2021 '!I20</f>
        <v>0</v>
      </c>
      <c r="J20" s="173">
        <f>'תקציב החברה לפיתוח 2021 '!J20</f>
        <v>2593903</v>
      </c>
      <c r="K20" s="173">
        <f>'תקציב החברה לפיתוח 2021 '!K20</f>
        <v>2593903</v>
      </c>
      <c r="L20" s="173">
        <f>'תקציב החברה לפיתוח 2021 '!L20</f>
        <v>9954620</v>
      </c>
      <c r="M20" s="173">
        <f>'תקציב החברה לפיתוח 2021 '!M20</f>
        <v>4295380</v>
      </c>
      <c r="N20" s="173">
        <f>'תקציב החברה לפיתוח 2021 '!N20</f>
        <v>0</v>
      </c>
      <c r="O20" s="173">
        <f>'תקציב החברה לפיתוח 2021 '!O20</f>
        <v>0</v>
      </c>
      <c r="P20" s="173">
        <f>'תקציב החברה לפיתוח 2021 '!P20</f>
        <v>4295380</v>
      </c>
      <c r="Q20" s="173">
        <f>'תקציב החברה לפיתוח 2021 '!Q20</f>
        <v>0</v>
      </c>
      <c r="R20" s="173">
        <f>'תקציב החברה לפיתוח 2021 '!R20</f>
        <v>0</v>
      </c>
      <c r="S20" s="173">
        <f>'תקציב החברה לפיתוח 2021 '!S20</f>
        <v>0</v>
      </c>
      <c r="T20" s="173">
        <f>'תקציב החברה לפיתוח 2021 '!T20</f>
        <v>0</v>
      </c>
      <c r="U20" s="173">
        <f>'תקציב החברה לפיתוח 2021 '!U20</f>
        <v>0</v>
      </c>
      <c r="V20" s="173">
        <f>'תקציב החברה לפיתוח 2021 '!V20</f>
        <v>0</v>
      </c>
      <c r="W20" s="173">
        <f>'תקציב החברה לפיתוח 2021 '!W20</f>
        <v>0</v>
      </c>
      <c r="X20" s="173">
        <f>'תקציב החברה לפיתוח 2021 '!X20</f>
        <v>0</v>
      </c>
      <c r="Y20" s="173">
        <f>'תקציב החברה לפיתוח 2021 '!Y20</f>
        <v>0</v>
      </c>
      <c r="Z20" s="173">
        <f>'תקציב החברה לפיתוח 2021 '!Z20</f>
        <v>0</v>
      </c>
      <c r="AA20" s="173">
        <f>'תקציב החברה לפיתוח 2021 '!AA20</f>
        <v>0</v>
      </c>
      <c r="AB20" s="293" t="str">
        <f>'תקציב החברה לפיתוח 2021 '!AB20</f>
        <v>המשך עבודות פיתוח במתחם הרחובות הנוריות, אנצו סירני , דב גרונר , שלמה בן יוסף , חביבה רייך.</v>
      </c>
      <c r="AC20" s="172">
        <f>'תקציב החברה לפיתוח 2021 '!AC20</f>
        <v>742000</v>
      </c>
      <c r="AD20" s="284"/>
      <c r="AE20" s="284"/>
      <c r="AF20" s="166"/>
      <c r="AG20" s="166"/>
      <c r="AH20" s="166"/>
      <c r="AI20" s="166"/>
      <c r="AJ20" s="166"/>
    </row>
    <row r="21" spans="1:36" s="176" customFormat="1" ht="30" customHeight="1">
      <c r="A21" s="172">
        <f t="shared" si="0"/>
        <v>17</v>
      </c>
      <c r="B21" s="172">
        <f>'תקציב החברה לפיתוח 2021 '!B21</f>
        <v>1539</v>
      </c>
      <c r="C21" s="326" t="str">
        <f>'תקציב החברה לפיתוח 2021 '!C21</f>
        <v>רחוב בר כוכבא</v>
      </c>
      <c r="D21" s="173">
        <f>'תקציב החברה לפיתוח 2021 '!D21</f>
        <v>16300000</v>
      </c>
      <c r="E21" s="173">
        <f>'תקציב החברה לפיתוח 2021 '!E21</f>
        <v>16300000</v>
      </c>
      <c r="F21" s="173">
        <f>'תקציב החברה לפיתוח 2021 '!F21</f>
        <v>0</v>
      </c>
      <c r="G21" s="173">
        <f>'תקציב החברה לפיתוח 2021 '!G21</f>
        <v>15180000</v>
      </c>
      <c r="H21" s="173">
        <f>'תקציב החברה לפיתוח 2021 '!H21</f>
        <v>14337038</v>
      </c>
      <c r="I21" s="173">
        <f>'תקציב החברה לפיתוח 2021 '!I21</f>
        <v>54264</v>
      </c>
      <c r="J21" s="173">
        <f>'תקציב החברה לפיתוח 2021 '!J21</f>
        <v>147547</v>
      </c>
      <c r="K21" s="173">
        <f>'תקציב החברה לפיתוח 2021 '!K21</f>
        <v>201811</v>
      </c>
      <c r="L21" s="173">
        <f>'תקציב החברה לפיתוח 2021 '!L21</f>
        <v>14538849</v>
      </c>
      <c r="M21" s="173">
        <f>'תקציב החברה לפיתוח 2021 '!M21</f>
        <v>641151</v>
      </c>
      <c r="N21" s="173">
        <f>'תקציב החברה לפיתוח 2021 '!N21</f>
        <v>120000</v>
      </c>
      <c r="O21" s="173">
        <f>'תקציב החברה לפיתוח 2021 '!O21</f>
        <v>1000000</v>
      </c>
      <c r="P21" s="173">
        <f>'תקציב החברה לפיתוח 2021 '!P21</f>
        <v>641151</v>
      </c>
      <c r="Q21" s="173">
        <f>'תקציב החברה לפיתוח 2021 '!Q21</f>
        <v>0</v>
      </c>
      <c r="R21" s="173">
        <f>'תקציב החברה לפיתוח 2021 '!R21</f>
        <v>0</v>
      </c>
      <c r="S21" s="173">
        <f>'תקציב החברה לפיתוח 2021 '!S21</f>
        <v>0</v>
      </c>
      <c r="T21" s="173">
        <f>'תקציב החברה לפיתוח 2021 '!T21</f>
        <v>0</v>
      </c>
      <c r="U21" s="173">
        <f>'תקציב החברה לפיתוח 2021 '!U21</f>
        <v>120000</v>
      </c>
      <c r="V21" s="173">
        <f>'תקציב החברה לפיתוח 2021 '!V21</f>
        <v>120000</v>
      </c>
      <c r="W21" s="173">
        <f>'תקציב החברה לפיתוח 2021 '!W21</f>
        <v>0</v>
      </c>
      <c r="X21" s="173">
        <f>'תקציב החברה לפיתוח 2021 '!X21</f>
        <v>0</v>
      </c>
      <c r="Y21" s="173">
        <f>'תקציב החברה לפיתוח 2021 '!Y21</f>
        <v>0</v>
      </c>
      <c r="Z21" s="173">
        <f>'תקציב החברה לפיתוח 2021 '!Z21</f>
        <v>0</v>
      </c>
      <c r="AA21" s="173">
        <f>'תקציב החברה לפיתוח 2021 '!AA21</f>
        <v>0</v>
      </c>
      <c r="AB21" s="293" t="str">
        <f>'תקציב החברה לפיתוח 2021 '!AB21</f>
        <v>פיתוח תשתיות. בשלבי סיום.</v>
      </c>
      <c r="AC21" s="172">
        <f>'תקציב החברה לפיתוח 2021 '!AC21</f>
        <v>742000</v>
      </c>
      <c r="AD21" s="284"/>
      <c r="AE21" s="284"/>
      <c r="AF21" s="166"/>
      <c r="AG21" s="166"/>
      <c r="AH21" s="166"/>
      <c r="AI21" s="166"/>
      <c r="AJ21" s="166"/>
    </row>
    <row r="22" spans="1:36" s="176" customFormat="1" ht="30" customHeight="1">
      <c r="A22" s="172">
        <f t="shared" si="0"/>
        <v>18</v>
      </c>
      <c r="B22" s="172">
        <f>'תקציב החברה לפיתוח 2021 '!B22</f>
        <v>1588</v>
      </c>
      <c r="C22" s="326" t="str">
        <f>'תקציב החברה לפיתוח 2021 '!C22</f>
        <v>פיתוח מתחם אלוני ים הר' 2030</v>
      </c>
      <c r="D22" s="173">
        <f>'תקציב החברה לפיתוח 2021 '!D22</f>
        <v>50500000</v>
      </c>
      <c r="E22" s="173">
        <f>'תקציב החברה לפיתוח 2021 '!E22</f>
        <v>50500000</v>
      </c>
      <c r="F22" s="173">
        <f>'תקציב החברה לפיתוח 2021 '!F22</f>
        <v>0</v>
      </c>
      <c r="G22" s="173">
        <f>'תקציב החברה לפיתוח 2021 '!G22</f>
        <v>45500000</v>
      </c>
      <c r="H22" s="173">
        <f>'תקציב החברה לפיתוח 2021 '!H22</f>
        <v>34848963</v>
      </c>
      <c r="I22" s="173">
        <f>'תקציב החברה לפיתוח 2021 '!I22</f>
        <v>682147</v>
      </c>
      <c r="J22" s="173">
        <f>'תקציב החברה לפיתוח 2021 '!J22</f>
        <v>291006</v>
      </c>
      <c r="K22" s="173">
        <f>'תקציב החברה לפיתוח 2021 '!K22</f>
        <v>973153</v>
      </c>
      <c r="L22" s="173">
        <f>'תקציב החברה לפיתוח 2021 '!L22</f>
        <v>35822116</v>
      </c>
      <c r="M22" s="173">
        <f>'תקציב החברה לפיתוח 2021 '!M22</f>
        <v>9677884</v>
      </c>
      <c r="N22" s="173">
        <f>'תקציב החברה לפיתוח 2021 '!N22</f>
        <v>0</v>
      </c>
      <c r="O22" s="173">
        <f>'תקציב החברה לפיתוח 2021 '!O22</f>
        <v>5000000</v>
      </c>
      <c r="P22" s="173">
        <f>'תקציב החברה לפיתוח 2021 '!P22</f>
        <v>9677884</v>
      </c>
      <c r="Q22" s="173">
        <f>'תקציב החברה לפיתוח 2021 '!Q22</f>
        <v>0</v>
      </c>
      <c r="R22" s="173">
        <f>'תקציב החברה לפיתוח 2021 '!R22</f>
        <v>0</v>
      </c>
      <c r="S22" s="173">
        <f>'תקציב החברה לפיתוח 2021 '!S22</f>
        <v>0</v>
      </c>
      <c r="T22" s="173">
        <f>'תקציב החברה לפיתוח 2021 '!T22</f>
        <v>0</v>
      </c>
      <c r="U22" s="173">
        <f>'תקציב החברה לפיתוח 2021 '!U22</f>
        <v>0</v>
      </c>
      <c r="V22" s="173">
        <f>'תקציב החברה לפיתוח 2021 '!V22</f>
        <v>0</v>
      </c>
      <c r="W22" s="173">
        <f>'תקציב החברה לפיתוח 2021 '!W22</f>
        <v>0</v>
      </c>
      <c r="X22" s="173">
        <f>'תקציב החברה לפיתוח 2021 '!X22</f>
        <v>0</v>
      </c>
      <c r="Y22" s="173">
        <f>'תקציב החברה לפיתוח 2021 '!Y22</f>
        <v>0</v>
      </c>
      <c r="Z22" s="173">
        <f>'תקציב החברה לפיתוח 2021 '!Z22</f>
        <v>0</v>
      </c>
      <c r="AA22" s="173">
        <f>'תקציב החברה לפיתוח 2021 '!AA22</f>
        <v>0</v>
      </c>
      <c r="AB22" s="293" t="str">
        <f>'תקציב החברה לפיתוח 2021 '!AB22</f>
        <v>המשך עבודות פיתוח במתחם אלוני ים הר' 2030.</v>
      </c>
      <c r="AC22" s="172">
        <f>'תקציב החברה לפיתוח 2021 '!AC22</f>
        <v>742000</v>
      </c>
      <c r="AD22" s="284"/>
      <c r="AE22" s="284"/>
      <c r="AF22" s="166"/>
      <c r="AG22" s="166"/>
      <c r="AH22" s="166"/>
      <c r="AI22" s="166"/>
      <c r="AJ22" s="166"/>
    </row>
    <row r="23" spans="1:36" s="176" customFormat="1" ht="30" customHeight="1">
      <c r="A23" s="172">
        <f t="shared" si="0"/>
        <v>19</v>
      </c>
      <c r="B23" s="172">
        <f>'תקציב החברה לפיתוח 2021 '!B23</f>
        <v>1614</v>
      </c>
      <c r="C23" s="326" t="str">
        <f>'תקציב החברה לפיתוח 2021 '!C23</f>
        <v>שצ"פ רבי עקיבא דרומה (השביל הירוק)</v>
      </c>
      <c r="D23" s="173">
        <f>'תקציב החברה לפיתוח 2021 '!D23</f>
        <v>7200000</v>
      </c>
      <c r="E23" s="173">
        <f>'תקציב החברה לפיתוח 2021 '!E23</f>
        <v>7200000</v>
      </c>
      <c r="F23" s="173">
        <f>'תקציב החברה לפיתוח 2021 '!F23</f>
        <v>0</v>
      </c>
      <c r="G23" s="173">
        <f>'תקציב החברה לפיתוח 2021 '!G23</f>
        <v>5680000</v>
      </c>
      <c r="H23" s="173">
        <f>'תקציב החברה לפיתוח 2021 '!H23</f>
        <v>4991030</v>
      </c>
      <c r="I23" s="173">
        <f>'תקציב החברה לפיתוח 2021 '!I23</f>
        <v>0</v>
      </c>
      <c r="J23" s="173">
        <f>'תקציב החברה לפיתוח 2021 '!J23</f>
        <v>104013</v>
      </c>
      <c r="K23" s="173">
        <f>'תקציב החברה לפיתוח 2021 '!K23</f>
        <v>104013</v>
      </c>
      <c r="L23" s="173">
        <f>'תקציב החברה לפיתוח 2021 '!L23</f>
        <v>5095043</v>
      </c>
      <c r="M23" s="173">
        <f>'תקציב החברה לפיתוח 2021 '!M23</f>
        <v>584957</v>
      </c>
      <c r="N23" s="173">
        <f>'תקציב החברה לפיתוח 2021 '!N23</f>
        <v>0</v>
      </c>
      <c r="O23" s="173">
        <f>'תקציב החברה לפיתוח 2021 '!O23</f>
        <v>1520000</v>
      </c>
      <c r="P23" s="173">
        <f>'תקציב החברה לפיתוח 2021 '!P23</f>
        <v>584957</v>
      </c>
      <c r="Q23" s="173">
        <f>'תקציב החברה לפיתוח 2021 '!Q23</f>
        <v>0</v>
      </c>
      <c r="R23" s="173">
        <f>'תקציב החברה לפיתוח 2021 '!R23</f>
        <v>0</v>
      </c>
      <c r="S23" s="173">
        <f>'תקציב החברה לפיתוח 2021 '!S23</f>
        <v>0</v>
      </c>
      <c r="T23" s="173">
        <f>'תקציב החברה לפיתוח 2021 '!T23</f>
        <v>0</v>
      </c>
      <c r="U23" s="173">
        <f>'תקציב החברה לפיתוח 2021 '!U23</f>
        <v>0</v>
      </c>
      <c r="V23" s="173">
        <f>'תקציב החברה לפיתוח 2021 '!V23</f>
        <v>0</v>
      </c>
      <c r="W23" s="173">
        <f>'תקציב החברה לפיתוח 2021 '!W23</f>
        <v>0</v>
      </c>
      <c r="X23" s="173">
        <f>'תקציב החברה לפיתוח 2021 '!X23</f>
        <v>0</v>
      </c>
      <c r="Y23" s="173">
        <f>'תקציב החברה לפיתוח 2021 '!Y23</f>
        <v>0</v>
      </c>
      <c r="Z23" s="173">
        <f>'תקציב החברה לפיתוח 2021 '!Z23</f>
        <v>0</v>
      </c>
      <c r="AA23" s="173">
        <f>'תקציב החברה לפיתוח 2021 '!AA23</f>
        <v>0</v>
      </c>
      <c r="AB23" s="293" t="str">
        <f>'תקציב החברה לפיתוח 2021 '!AB23</f>
        <v>המשך עבודות פיתוח שצ"פ בשכונת צמרות והשלמת עבודות ליד המשתלה.</v>
      </c>
      <c r="AC23" s="172">
        <f>'תקציב החברה לפיתוח 2021 '!AC23</f>
        <v>742000</v>
      </c>
      <c r="AD23" s="284"/>
      <c r="AE23" s="284"/>
      <c r="AF23" s="166"/>
      <c r="AG23" s="166"/>
      <c r="AH23" s="166"/>
      <c r="AI23" s="166"/>
      <c r="AJ23" s="166"/>
    </row>
    <row r="24" spans="1:36" s="176" customFormat="1" ht="30" customHeight="1">
      <c r="A24" s="172">
        <f t="shared" si="0"/>
        <v>20</v>
      </c>
      <c r="B24" s="172">
        <f>'תקציב החברה לפיתוח 2021 '!B24</f>
        <v>1615</v>
      </c>
      <c r="C24" s="326" t="str">
        <f>'תקציב החברה לפיתוח 2021 '!C24</f>
        <v>פיתוח מתחם הר' 1903</v>
      </c>
      <c r="D24" s="173">
        <f>'תקציב החברה לפיתוח 2021 '!D24</f>
        <v>27700000</v>
      </c>
      <c r="E24" s="173">
        <f>'תקציב החברה לפיתוח 2021 '!E24</f>
        <v>27700000</v>
      </c>
      <c r="F24" s="173">
        <f>'תקציב החברה לפיתוח 2021 '!F24</f>
        <v>0</v>
      </c>
      <c r="G24" s="173">
        <f>'תקציב החברה לפיתוח 2021 '!G24</f>
        <v>21700000</v>
      </c>
      <c r="H24" s="173">
        <f>'תקציב החברה לפיתוח 2021 '!H24</f>
        <v>16804922</v>
      </c>
      <c r="I24" s="173">
        <f>'תקציב החברה לפיתוח 2021 '!I24</f>
        <v>0</v>
      </c>
      <c r="J24" s="173">
        <f>'תקציב החברה לפיתוח 2021 '!J24</f>
        <v>1207126</v>
      </c>
      <c r="K24" s="173">
        <f>'תקציב החברה לפיתוח 2021 '!K24</f>
        <v>1207126</v>
      </c>
      <c r="L24" s="173">
        <f>'תקציב החברה לפיתוח 2021 '!L24</f>
        <v>18012048</v>
      </c>
      <c r="M24" s="173">
        <f>'תקציב החברה לפיתוח 2021 '!M24</f>
        <v>3687952</v>
      </c>
      <c r="N24" s="173">
        <f>'תקציב החברה לפיתוח 2021 '!N24</f>
        <v>2000000</v>
      </c>
      <c r="O24" s="173">
        <f>'תקציב החברה לפיתוח 2021 '!O24</f>
        <v>4000000</v>
      </c>
      <c r="P24" s="173">
        <f>'תקציב החברה לפיתוח 2021 '!P24</f>
        <v>3687952</v>
      </c>
      <c r="Q24" s="173">
        <f>'תקציב החברה לפיתוח 2021 '!Q24</f>
        <v>0</v>
      </c>
      <c r="R24" s="173">
        <f>'תקציב החברה לפיתוח 2021 '!R24</f>
        <v>0</v>
      </c>
      <c r="S24" s="173">
        <f>'תקציב החברה לפיתוח 2021 '!S24</f>
        <v>0</v>
      </c>
      <c r="T24" s="173">
        <f>'תקציב החברה לפיתוח 2021 '!T24</f>
        <v>0</v>
      </c>
      <c r="U24" s="173">
        <f>'תקציב החברה לפיתוח 2021 '!U24</f>
        <v>2000000</v>
      </c>
      <c r="V24" s="173">
        <f>'תקציב החברה לפיתוח 2021 '!V24</f>
        <v>2000000</v>
      </c>
      <c r="W24" s="173">
        <f>'תקציב החברה לפיתוח 2021 '!W24</f>
        <v>0</v>
      </c>
      <c r="X24" s="173">
        <f>'תקציב החברה לפיתוח 2021 '!X24</f>
        <v>0</v>
      </c>
      <c r="Y24" s="173">
        <f>'תקציב החברה לפיתוח 2021 '!Y24</f>
        <v>0</v>
      </c>
      <c r="Z24" s="173">
        <f>'תקציב החברה לפיתוח 2021 '!Z24</f>
        <v>0</v>
      </c>
      <c r="AA24" s="173">
        <f>'תקציב החברה לפיתוח 2021 '!AA24</f>
        <v>0</v>
      </c>
      <c r="AB24" s="293" t="str">
        <f>'תקציב החברה לפיתוח 2021 '!AB24</f>
        <v>המשך עבודות פיתוח במתחם הר' 1903 הרצליה הילס. פיתוח שצ"פ מערבי.</v>
      </c>
      <c r="AC24" s="172">
        <f>'תקציב החברה לפיתוח 2021 '!AC24</f>
        <v>742000</v>
      </c>
      <c r="AD24" s="284"/>
      <c r="AE24" s="284"/>
      <c r="AF24" s="166"/>
      <c r="AG24" s="166"/>
      <c r="AH24" s="166"/>
      <c r="AI24" s="166"/>
      <c r="AJ24" s="166"/>
    </row>
    <row r="25" spans="1:36" s="176" customFormat="1" ht="30" customHeight="1">
      <c r="A25" s="172">
        <f t="shared" si="0"/>
        <v>21</v>
      </c>
      <c r="B25" s="172">
        <f>'תקציב החברה לפיתוח 2021 '!B25</f>
        <v>1657</v>
      </c>
      <c r="C25" s="326" t="str">
        <f>'תקציב החברה לפיתוח 2021 '!C25</f>
        <v>פיתוח מתחם "מרינה לי"</v>
      </c>
      <c r="D25" s="173">
        <f>'תקציב החברה לפיתוח 2021 '!D25</f>
        <v>60000000</v>
      </c>
      <c r="E25" s="173">
        <f>'תקציב החברה לפיתוח 2021 '!E25</f>
        <v>60000000</v>
      </c>
      <c r="F25" s="173">
        <f>'תקציב החברה לפיתוח 2021 '!F25</f>
        <v>0</v>
      </c>
      <c r="G25" s="173">
        <f>'תקציב החברה לפיתוח 2021 '!G25</f>
        <v>21200000</v>
      </c>
      <c r="H25" s="173">
        <f>'תקציב החברה לפיתוח 2021 '!H25</f>
        <v>16505191</v>
      </c>
      <c r="I25" s="173">
        <f>'תקציב החברה לפיתוח 2021 '!I25</f>
        <v>0</v>
      </c>
      <c r="J25" s="173">
        <f>'תקציב החברה לפיתוח 2021 '!J25</f>
        <v>1238291</v>
      </c>
      <c r="K25" s="173">
        <f>'תקציב החברה לפיתוח 2021 '!K25</f>
        <v>1238291</v>
      </c>
      <c r="L25" s="173">
        <f>'תקציב החברה לפיתוח 2021 '!L25</f>
        <v>17743482</v>
      </c>
      <c r="M25" s="173">
        <f>'תקציב החברה לפיתוח 2021 '!M25</f>
        <v>3456518</v>
      </c>
      <c r="N25" s="173">
        <f>'תקציב החברה לפיתוח 2021 '!N25</f>
        <v>15000000</v>
      </c>
      <c r="O25" s="173">
        <f>'תקציב החברה לפיתוח 2021 '!O25</f>
        <v>23800000</v>
      </c>
      <c r="P25" s="173">
        <f>'תקציב החברה לפיתוח 2021 '!P25</f>
        <v>3456518</v>
      </c>
      <c r="Q25" s="173">
        <f>'תקציב החברה לפיתוח 2021 '!Q25</f>
        <v>0</v>
      </c>
      <c r="R25" s="173">
        <f>'תקציב החברה לפיתוח 2021 '!R25</f>
        <v>0</v>
      </c>
      <c r="S25" s="173">
        <f>'תקציב החברה לפיתוח 2021 '!S25</f>
        <v>0</v>
      </c>
      <c r="T25" s="173">
        <f>'תקציב החברה לפיתוח 2021 '!T25</f>
        <v>0</v>
      </c>
      <c r="U25" s="173">
        <f>'תקציב החברה לפיתוח 2021 '!U25</f>
        <v>15000000</v>
      </c>
      <c r="V25" s="173">
        <f>'תקציב החברה לפיתוח 2021 '!V25</f>
        <v>15000000</v>
      </c>
      <c r="W25" s="173">
        <f>'תקציב החברה לפיתוח 2021 '!W25</f>
        <v>0</v>
      </c>
      <c r="X25" s="173">
        <f>'תקציב החברה לפיתוח 2021 '!X25</f>
        <v>0</v>
      </c>
      <c r="Y25" s="173">
        <f>'תקציב החברה לפיתוח 2021 '!Y25</f>
        <v>0</v>
      </c>
      <c r="Z25" s="173">
        <f>'תקציב החברה לפיתוח 2021 '!Z25</f>
        <v>0</v>
      </c>
      <c r="AA25" s="173">
        <f>'תקציב החברה לפיתוח 2021 '!AA25</f>
        <v>0</v>
      </c>
      <c r="AB25" s="293" t="str">
        <f>'תקציב החברה לפיתוח 2021 '!AB25</f>
        <v>ביצוע פיתוח ותשתית במתחם "מרינה לי". התחלת ביצוע שלב ב'.</v>
      </c>
      <c r="AC25" s="172">
        <f>'תקציב החברה לפיתוח 2021 '!AC25</f>
        <v>742000</v>
      </c>
      <c r="AD25" s="284"/>
      <c r="AE25" s="284"/>
      <c r="AF25" s="166"/>
      <c r="AG25" s="166"/>
      <c r="AH25" s="166"/>
      <c r="AI25" s="166"/>
      <c r="AJ25" s="166"/>
    </row>
    <row r="26" spans="1:36" s="176" customFormat="1" ht="30" customHeight="1">
      <c r="A26" s="172">
        <f t="shared" si="0"/>
        <v>22</v>
      </c>
      <c r="B26" s="172">
        <f>'תקציב החברה לפיתוח 2021 '!B26</f>
        <v>1723</v>
      </c>
      <c r="C26" s="326" t="str">
        <f>'תקציב החברה לפיתוח 2021 '!C26</f>
        <v>מרכז תחבורה חדש</v>
      </c>
      <c r="D26" s="173">
        <f>'תקציב החברה לפיתוח 2021 '!D26</f>
        <v>2442857</v>
      </c>
      <c r="E26" s="173">
        <f>'תקציב החברה לפיתוח 2021 '!E26</f>
        <v>17500000</v>
      </c>
      <c r="F26" s="173">
        <f>'תקציב החברה לפיתוח 2021 '!F26</f>
        <v>-15057143</v>
      </c>
      <c r="G26" s="173">
        <f>'תקציב החברה לפיתוח 2021 '!G26</f>
        <v>2442857</v>
      </c>
      <c r="H26" s="173">
        <f>'תקציב החברה לפיתוח 2021 '!H26</f>
        <v>1535456</v>
      </c>
      <c r="I26" s="173">
        <f>'תקציב החברה לפיתוח 2021 '!I26</f>
        <v>0</v>
      </c>
      <c r="J26" s="173">
        <f>'תקציב החברה לפיתוח 2021 '!J26</f>
        <v>136858</v>
      </c>
      <c r="K26" s="173">
        <f>'תקציב החברה לפיתוח 2021 '!K26</f>
        <v>136858</v>
      </c>
      <c r="L26" s="173">
        <f>'תקציב החברה לפיתוח 2021 '!L26</f>
        <v>1672314</v>
      </c>
      <c r="M26" s="173">
        <f>'תקציב החברה לפיתוח 2021 '!M26</f>
        <v>770543</v>
      </c>
      <c r="N26" s="173">
        <f>'תקציב החברה לפיתוח 2021 '!N26</f>
        <v>0</v>
      </c>
      <c r="O26" s="173">
        <f>'תקציב החברה לפיתוח 2021 '!O26</f>
        <v>0</v>
      </c>
      <c r="P26" s="173">
        <f>'תקציב החברה לפיתוח 2021 '!P26</f>
        <v>770543</v>
      </c>
      <c r="Q26" s="173">
        <f>'תקציב החברה לפיתוח 2021 '!Q26</f>
        <v>0</v>
      </c>
      <c r="R26" s="173">
        <f>'תקציב החברה לפיתוח 2021 '!R26</f>
        <v>0</v>
      </c>
      <c r="S26" s="173">
        <f>'תקציב החברה לפיתוח 2021 '!S26</f>
        <v>0</v>
      </c>
      <c r="T26" s="173">
        <f>'תקציב החברה לפיתוח 2021 '!T26</f>
        <v>0</v>
      </c>
      <c r="U26" s="173">
        <f>'תקציב החברה לפיתוח 2021 '!U26</f>
        <v>0</v>
      </c>
      <c r="V26" s="173">
        <f>'תקציב החברה לפיתוח 2021 '!V26</f>
        <v>0</v>
      </c>
      <c r="W26" s="173">
        <f>'תקציב החברה לפיתוח 2021 '!W26</f>
        <v>0</v>
      </c>
      <c r="X26" s="173">
        <f>'תקציב החברה לפיתוח 2021 '!X26</f>
        <v>0</v>
      </c>
      <c r="Y26" s="173">
        <f>'תקציב החברה לפיתוח 2021 '!Y26</f>
        <v>0</v>
      </c>
      <c r="Z26" s="173">
        <f>'תקציב החברה לפיתוח 2021 '!Z26</f>
        <v>0</v>
      </c>
      <c r="AA26" s="173">
        <f>'תקציב החברה לפיתוח 2021 '!AA26</f>
        <v>0</v>
      </c>
      <c r="AB26" s="293" t="str">
        <f>'תקציב החברה לפיתוח 2021 '!AB26</f>
        <v>השלמת תכנון עד להיתר לחניון אוטובוסים.</v>
      </c>
      <c r="AC26" s="172">
        <f>'תקציב החברה לפיתוח 2021 '!AC26</f>
        <v>732000</v>
      </c>
      <c r="AD26" s="284"/>
      <c r="AE26" s="284"/>
      <c r="AF26" s="166"/>
      <c r="AG26" s="166"/>
      <c r="AH26" s="166"/>
      <c r="AI26" s="166"/>
      <c r="AJ26" s="166"/>
    </row>
    <row r="27" spans="1:36" s="176" customFormat="1" ht="30" customHeight="1">
      <c r="A27" s="172">
        <f t="shared" si="0"/>
        <v>23</v>
      </c>
      <c r="B27" s="172">
        <f>'תקציב החברה לפיתוח 2021 '!B27</f>
        <v>1751</v>
      </c>
      <c r="C27" s="326" t="str">
        <f>'תקציב החברה לפיתוח 2021 '!C27</f>
        <v>תכנון מבנה מעונות הסטודנטים</v>
      </c>
      <c r="D27" s="173">
        <f>'תקציב החברה לפיתוח 2021 '!D27</f>
        <v>4800000</v>
      </c>
      <c r="E27" s="173">
        <f>'תקציב החברה לפיתוח 2021 '!E27</f>
        <v>4800000</v>
      </c>
      <c r="F27" s="173">
        <f>'תקציב החברה לפיתוח 2021 '!F27</f>
        <v>0</v>
      </c>
      <c r="G27" s="173">
        <f>'תקציב החברה לפיתוח 2021 '!G27</f>
        <v>2720000</v>
      </c>
      <c r="H27" s="173">
        <f>'תקציב החברה לפיתוח 2021 '!H27</f>
        <v>2602335</v>
      </c>
      <c r="I27" s="173">
        <f>'תקציב החברה לפיתוח 2021 '!I27</f>
        <v>0</v>
      </c>
      <c r="J27" s="173">
        <f>'תקציב החברה לפיתוח 2021 '!J27</f>
        <v>59452</v>
      </c>
      <c r="K27" s="173">
        <f>'תקציב החברה לפיתוח 2021 '!K27</f>
        <v>59452</v>
      </c>
      <c r="L27" s="173">
        <f>'תקציב החברה לפיתוח 2021 '!L27</f>
        <v>2661787</v>
      </c>
      <c r="M27" s="173">
        <f>'תקציב החברה לפיתוח 2021 '!M27</f>
        <v>58213</v>
      </c>
      <c r="N27" s="173">
        <f>'תקציב החברה לפיתוח 2021 '!N27</f>
        <v>0</v>
      </c>
      <c r="O27" s="173">
        <f>'תקציב החברה לפיתוח 2021 '!O27</f>
        <v>2080000</v>
      </c>
      <c r="P27" s="173">
        <f>'תקציב החברה לפיתוח 2021 '!P27</f>
        <v>58213</v>
      </c>
      <c r="Q27" s="173">
        <f>'תקציב החברה לפיתוח 2021 '!Q27</f>
        <v>0</v>
      </c>
      <c r="R27" s="173">
        <f>'תקציב החברה לפיתוח 2021 '!R27</f>
        <v>0</v>
      </c>
      <c r="S27" s="173">
        <f>'תקציב החברה לפיתוח 2021 '!S27</f>
        <v>0</v>
      </c>
      <c r="T27" s="173">
        <f>'תקציב החברה לפיתוח 2021 '!T27</f>
        <v>0</v>
      </c>
      <c r="U27" s="173">
        <f>'תקציב החברה לפיתוח 2021 '!U27</f>
        <v>0</v>
      </c>
      <c r="V27" s="173">
        <f>'תקציב החברה לפיתוח 2021 '!V27</f>
        <v>0</v>
      </c>
      <c r="W27" s="173">
        <f>'תקציב החברה לפיתוח 2021 '!W27</f>
        <v>0</v>
      </c>
      <c r="X27" s="173">
        <f>'תקציב החברה לפיתוח 2021 '!X27</f>
        <v>0</v>
      </c>
      <c r="Y27" s="173">
        <f>'תקציב החברה לפיתוח 2021 '!Y27</f>
        <v>0</v>
      </c>
      <c r="Z27" s="173">
        <f>'תקציב החברה לפיתוח 2021 '!Z27</f>
        <v>0</v>
      </c>
      <c r="AA27" s="173">
        <f>'תקציב החברה לפיתוח 2021 '!AA27</f>
        <v>0</v>
      </c>
      <c r="AB27" s="293" t="str">
        <f>'תקציב החברה לפיתוח 2021 '!AB27</f>
        <v>תכנון מבנה מעונות לסטודנטים ברח' בן שפרוט.</v>
      </c>
      <c r="AC27" s="172">
        <f>'תקציב החברה לפיתוח 2021 '!AC27</f>
        <v>810000</v>
      </c>
      <c r="AD27" s="284"/>
      <c r="AE27" s="284"/>
      <c r="AF27" s="166"/>
      <c r="AG27" s="166"/>
      <c r="AH27" s="166"/>
      <c r="AI27" s="166"/>
      <c r="AJ27" s="166"/>
    </row>
    <row r="28" spans="1:36" ht="30" customHeight="1">
      <c r="A28" s="172">
        <f t="shared" si="0"/>
        <v>24</v>
      </c>
      <c r="B28" s="172">
        <f>'תקציב החברה לפיתוח 2021 '!B28</f>
        <v>1806</v>
      </c>
      <c r="C28" s="326" t="str">
        <f>'תקציב החברה לפיתוח 2021 '!C28</f>
        <v>תכנון רכבת עילית איזור תעשיה</v>
      </c>
      <c r="D28" s="173">
        <f>'תקציב החברה לפיתוח 2021 '!D28</f>
        <v>500000</v>
      </c>
      <c r="E28" s="173">
        <f>'תקציב החברה לפיתוח 2021 '!E28</f>
        <v>500000</v>
      </c>
      <c r="F28" s="173">
        <f>'תקציב החברה לפיתוח 2021 '!F28</f>
        <v>0</v>
      </c>
      <c r="G28" s="173">
        <f>'תקציב החברה לפיתוח 2021 '!G28</f>
        <v>350000</v>
      </c>
      <c r="H28" s="173">
        <f>'תקציב החברה לפיתוח 2021 '!H28</f>
        <v>209714</v>
      </c>
      <c r="I28" s="173">
        <f>'תקציב החברה לפיתוח 2021 '!I28</f>
        <v>0</v>
      </c>
      <c r="J28" s="173">
        <f>'תקציב החברה לפיתוח 2021 '!J28</f>
        <v>140284</v>
      </c>
      <c r="K28" s="173">
        <f>'תקציב החברה לפיתוח 2021 '!K28</f>
        <v>140284</v>
      </c>
      <c r="L28" s="173">
        <f>'תקציב החברה לפיתוח 2021 '!L28</f>
        <v>349998</v>
      </c>
      <c r="M28" s="173">
        <f>'תקציב החברה לפיתוח 2021 '!M28</f>
        <v>2</v>
      </c>
      <c r="N28" s="173">
        <f>'תקציב החברה לפיתוח 2021 '!N28</f>
        <v>0</v>
      </c>
      <c r="O28" s="173">
        <f>'תקציב החברה לפיתוח 2021 '!O28</f>
        <v>150000</v>
      </c>
      <c r="P28" s="173">
        <f>'תקציב החברה לפיתוח 2021 '!P28</f>
        <v>2</v>
      </c>
      <c r="Q28" s="173">
        <f>'תקציב החברה לפיתוח 2021 '!Q28</f>
        <v>0</v>
      </c>
      <c r="R28" s="173">
        <f>'תקציב החברה לפיתוח 2021 '!R28</f>
        <v>0</v>
      </c>
      <c r="S28" s="173">
        <f>'תקציב החברה לפיתוח 2021 '!S28</f>
        <v>0</v>
      </c>
      <c r="T28" s="173">
        <f>'תקציב החברה לפיתוח 2021 '!T28</f>
        <v>0</v>
      </c>
      <c r="U28" s="173">
        <f>'תקציב החברה לפיתוח 2021 '!U28</f>
        <v>0</v>
      </c>
      <c r="V28" s="173">
        <f>'תקציב החברה לפיתוח 2021 '!V28</f>
        <v>0</v>
      </c>
      <c r="W28" s="173">
        <f>'תקציב החברה לפיתוח 2021 '!W28</f>
        <v>0</v>
      </c>
      <c r="X28" s="173">
        <f>'תקציב החברה לפיתוח 2021 '!X28</f>
        <v>0</v>
      </c>
      <c r="Y28" s="173">
        <f>'תקציב החברה לפיתוח 2021 '!Y28</f>
        <v>0</v>
      </c>
      <c r="Z28" s="173">
        <f>'תקציב החברה לפיתוח 2021 '!Z28</f>
        <v>0</v>
      </c>
      <c r="AA28" s="173">
        <f>'תקציב החברה לפיתוח 2021 '!AA28</f>
        <v>0</v>
      </c>
      <c r="AB28" s="293" t="str">
        <f>'תקציב החברה לפיתוח 2021 '!AB28</f>
        <v>תכנון להקמת רכבת עילית מתחנת הרכבת לאיזור התעשיה.</v>
      </c>
      <c r="AC28" s="172">
        <f>'תקציב החברה לפיתוח 2021 '!AC28</f>
        <v>732000</v>
      </c>
    </row>
    <row r="29" spans="1:36" ht="30" customHeight="1">
      <c r="A29" s="172">
        <f t="shared" si="0"/>
        <v>25</v>
      </c>
      <c r="B29" s="172">
        <f>'תקציב החברה לפיתוח 2021 '!B29</f>
        <v>1819</v>
      </c>
      <c r="C29" s="326" t="str">
        <f>'תקציב החברה לפיתוח 2021 '!C29</f>
        <v>פיתוח רח' צ.ה.ל</v>
      </c>
      <c r="D29" s="173">
        <f>'תקציב החברה לפיתוח 2021 '!D29</f>
        <v>18000000</v>
      </c>
      <c r="E29" s="173">
        <f>'תקציב החברה לפיתוח 2021 '!E29</f>
        <v>18000000</v>
      </c>
      <c r="F29" s="173">
        <f>'תקציב החברה לפיתוח 2021 '!F29</f>
        <v>0</v>
      </c>
      <c r="G29" s="173">
        <f>'תקציב החברה לפיתוח 2021 '!G29</f>
        <v>16000000</v>
      </c>
      <c r="H29" s="173">
        <f>'תקציב החברה לפיתוח 2021 '!H29</f>
        <v>2505332</v>
      </c>
      <c r="I29" s="173">
        <f>'תקציב החברה לפיתוח 2021 '!I29</f>
        <v>0</v>
      </c>
      <c r="J29" s="173">
        <f>'תקציב החברה לפיתוח 2021 '!J29</f>
        <v>622623</v>
      </c>
      <c r="K29" s="173">
        <f>'תקציב החברה לפיתוח 2021 '!K29</f>
        <v>622623</v>
      </c>
      <c r="L29" s="173">
        <f>'תקציב החברה לפיתוח 2021 '!L29</f>
        <v>3127955</v>
      </c>
      <c r="M29" s="173">
        <f>'תקציב החברה לפיתוח 2021 '!M29</f>
        <v>12872045</v>
      </c>
      <c r="N29" s="173">
        <f>'תקציב החברה לפיתוח 2021 '!N29</f>
        <v>2000000</v>
      </c>
      <c r="O29" s="173">
        <f>'תקציב החברה לפיתוח 2021 '!O29</f>
        <v>0</v>
      </c>
      <c r="P29" s="173">
        <f>'תקציב החברה לפיתוח 2021 '!P29</f>
        <v>12872045</v>
      </c>
      <c r="Q29" s="173">
        <f>'תקציב החברה לפיתוח 2021 '!Q29</f>
        <v>0</v>
      </c>
      <c r="R29" s="173">
        <f>'תקציב החברה לפיתוח 2021 '!R29</f>
        <v>0</v>
      </c>
      <c r="S29" s="173">
        <f>'תקציב החברה לפיתוח 2021 '!S29</f>
        <v>0</v>
      </c>
      <c r="T29" s="173">
        <f>'תקציב החברה לפיתוח 2021 '!T29</f>
        <v>0</v>
      </c>
      <c r="U29" s="173">
        <f>'תקציב החברה לפיתוח 2021 '!U29</f>
        <v>2000000</v>
      </c>
      <c r="V29" s="173">
        <f>'תקציב החברה לפיתוח 2021 '!V29</f>
        <v>2000000</v>
      </c>
      <c r="W29" s="173">
        <f>'תקציב החברה לפיתוח 2021 '!W29</f>
        <v>0</v>
      </c>
      <c r="X29" s="173">
        <f>'תקציב החברה לפיתוח 2021 '!X29</f>
        <v>0</v>
      </c>
      <c r="Y29" s="173">
        <f>'תקציב החברה לפיתוח 2021 '!Y29</f>
        <v>0</v>
      </c>
      <c r="Z29" s="173">
        <f>'תקציב החברה לפיתוח 2021 '!Z29</f>
        <v>0</v>
      </c>
      <c r="AA29" s="173">
        <f>'תקציב החברה לפיתוח 2021 '!AA29</f>
        <v>0</v>
      </c>
      <c r="AB29" s="293" t="str">
        <f>'תקציב החברה לפיתוח 2021 '!AB29</f>
        <v>המשך פיתוח רחוב צ.ה.ל .</v>
      </c>
      <c r="AC29" s="172">
        <f>'תקציב החברה לפיתוח 2021 '!AC29</f>
        <v>742000</v>
      </c>
    </row>
    <row r="30" spans="1:36" ht="30" customHeight="1">
      <c r="A30" s="172">
        <f t="shared" si="0"/>
        <v>26</v>
      </c>
      <c r="B30" s="172">
        <f>'תקציב החברה לפיתוח 2021 '!B30</f>
        <v>1833</v>
      </c>
      <c r="C30" s="326" t="str">
        <f>'תקציב החברה לפיתוח 2021 '!C30</f>
        <v>אולם ספורט חטיבת זאב</v>
      </c>
      <c r="D30" s="173">
        <f>'תקציב החברה לפיתוח 2021 '!D30</f>
        <v>29000000</v>
      </c>
      <c r="E30" s="173">
        <f>'תקציב החברה לפיתוח 2021 '!E30</f>
        <v>29000000</v>
      </c>
      <c r="F30" s="173">
        <f>'תקציב החברה לפיתוח 2021 '!F30</f>
        <v>0</v>
      </c>
      <c r="G30" s="173">
        <f>'תקציב החברה לפיתוח 2021 '!G30</f>
        <v>18768840</v>
      </c>
      <c r="H30" s="173">
        <f>'תקציב החברה לפיתוח 2021 '!H30</f>
        <v>7351535</v>
      </c>
      <c r="I30" s="173">
        <f>'תקציב החברה לפיתוח 2021 '!I30</f>
        <v>0</v>
      </c>
      <c r="J30" s="173">
        <f>'תקציב החברה לפיתוח 2021 '!J30</f>
        <v>1053050</v>
      </c>
      <c r="K30" s="173">
        <f>'תקציב החברה לפיתוח 2021 '!K30</f>
        <v>1053050</v>
      </c>
      <c r="L30" s="173">
        <f>'תקציב החברה לפיתוח 2021 '!L30</f>
        <v>8404585</v>
      </c>
      <c r="M30" s="173">
        <f>'תקציב החברה לפיתוח 2021 '!M30</f>
        <v>10364255</v>
      </c>
      <c r="N30" s="173">
        <f>'תקציב החברה לפיתוח 2021 '!N30</f>
        <v>10231160</v>
      </c>
      <c r="O30" s="173">
        <f>'תקציב החברה לפיתוח 2021 '!O30</f>
        <v>0</v>
      </c>
      <c r="P30" s="173">
        <f>'תקציב החברה לפיתוח 2021 '!P30</f>
        <v>10364255</v>
      </c>
      <c r="Q30" s="173">
        <f>'תקציב החברה לפיתוח 2021 '!Q30</f>
        <v>0</v>
      </c>
      <c r="R30" s="173">
        <f>'תקציב החברה לפיתוח 2021 '!R30</f>
        <v>0</v>
      </c>
      <c r="S30" s="173">
        <f>'תקציב החברה לפיתוח 2021 '!S30</f>
        <v>0</v>
      </c>
      <c r="T30" s="173">
        <f>'תקציב החברה לפיתוח 2021 '!T30</f>
        <v>0</v>
      </c>
      <c r="U30" s="173">
        <f>'תקציב החברה לפיתוח 2021 '!U30</f>
        <v>10231160</v>
      </c>
      <c r="V30" s="173">
        <f>'תקציב החברה לפיתוח 2021 '!V30</f>
        <v>10231160</v>
      </c>
      <c r="W30" s="173">
        <f>'תקציב החברה לפיתוח 2021 '!W30</f>
        <v>0</v>
      </c>
      <c r="X30" s="173">
        <f>'תקציב החברה לפיתוח 2021 '!X30</f>
        <v>0</v>
      </c>
      <c r="Y30" s="173">
        <f>'תקציב החברה לפיתוח 2021 '!Y30</f>
        <v>0</v>
      </c>
      <c r="Z30" s="173">
        <f>'תקציב החברה לפיתוח 2021 '!Z30</f>
        <v>0</v>
      </c>
      <c r="AA30" s="173">
        <f>'תקציב החברה לפיתוח 2021 '!AA30</f>
        <v>0</v>
      </c>
      <c r="AB30" s="293" t="str">
        <f>'תקציב החברה לפיתוח 2021 '!AB30</f>
        <v xml:space="preserve">בניית אולם ספורט חדש בחטיבה. </v>
      </c>
      <c r="AC30" s="172">
        <f>'תקציב החברה לפיתוח 2021 '!AC30</f>
        <v>829000</v>
      </c>
    </row>
    <row r="31" spans="1:36" s="176" customFormat="1" ht="42">
      <c r="A31" s="172">
        <f t="shared" si="0"/>
        <v>27</v>
      </c>
      <c r="B31" s="172">
        <f>'תקציב החברה לפיתוח 2021 '!B31</f>
        <v>1834</v>
      </c>
      <c r="C31" s="326" t="str">
        <f>'תקציב החברה לפיתוח 2021 '!C31</f>
        <v>מתנ"ס נווה ישראל</v>
      </c>
      <c r="D31" s="173">
        <f>'תקציב החברה לפיתוח 2021 '!D31</f>
        <v>60000000</v>
      </c>
      <c r="E31" s="173">
        <f>'תקציב החברה לפיתוח 2021 '!E31</f>
        <v>60000000</v>
      </c>
      <c r="F31" s="173">
        <f>'תקציב החברה לפיתוח 2021 '!F31</f>
        <v>0</v>
      </c>
      <c r="G31" s="173">
        <f>'תקציב החברה לפיתוח 2021 '!G31</f>
        <v>18900000</v>
      </c>
      <c r="H31" s="173">
        <f>'תקציב החברה לפיתוח 2021 '!H31</f>
        <v>3218215</v>
      </c>
      <c r="I31" s="173">
        <f>'תקציב החברה לפיתוח 2021 '!I31</f>
        <v>0</v>
      </c>
      <c r="J31" s="173">
        <f>'תקציב החברה לפיתוח 2021 '!J31</f>
        <v>601707</v>
      </c>
      <c r="K31" s="173">
        <f>'תקציב החברה לפיתוח 2021 '!K31</f>
        <v>601707</v>
      </c>
      <c r="L31" s="173">
        <f>'תקציב החברה לפיתוח 2021 '!L31</f>
        <v>3819922</v>
      </c>
      <c r="M31" s="173">
        <f>'תקציב החברה לפיתוח 2021 '!M31</f>
        <v>15080078</v>
      </c>
      <c r="N31" s="173">
        <f>'תקציב החברה לפיתוח 2021 '!N31</f>
        <v>25000000</v>
      </c>
      <c r="O31" s="173">
        <f>'תקציב החברה לפיתוח 2021 '!O31</f>
        <v>16100000</v>
      </c>
      <c r="P31" s="173">
        <f>'תקציב החברה לפיתוח 2021 '!P31</f>
        <v>15080078</v>
      </c>
      <c r="Q31" s="173">
        <f>'תקציב החברה לפיתוח 2021 '!Q31</f>
        <v>0</v>
      </c>
      <c r="R31" s="173">
        <f>'תקציב החברה לפיתוח 2021 '!R31</f>
        <v>0</v>
      </c>
      <c r="S31" s="173">
        <f>'תקציב החברה לפיתוח 2021 '!S31</f>
        <v>0</v>
      </c>
      <c r="T31" s="173">
        <f>'תקציב החברה לפיתוח 2021 '!T31</f>
        <v>0</v>
      </c>
      <c r="U31" s="173">
        <f>'תקציב החברה לפיתוח 2021 '!U31</f>
        <v>25000000</v>
      </c>
      <c r="V31" s="173">
        <f>'תקציב החברה לפיתוח 2021 '!V31</f>
        <v>25000000</v>
      </c>
      <c r="W31" s="173">
        <f>'תקציב החברה לפיתוח 2021 '!W31</f>
        <v>0</v>
      </c>
      <c r="X31" s="173">
        <f>'תקציב החברה לפיתוח 2021 '!X31</f>
        <v>0</v>
      </c>
      <c r="Y31" s="173">
        <f>'תקציב החברה לפיתוח 2021 '!Y31</f>
        <v>0</v>
      </c>
      <c r="Z31" s="173">
        <f>'תקציב החברה לפיתוח 2021 '!Z31</f>
        <v>0</v>
      </c>
      <c r="AA31" s="173">
        <f>'תקציב החברה לפיתוח 2021 '!AA31</f>
        <v>0</v>
      </c>
      <c r="AB31" s="293" t="str">
        <f>'תקציב החברה לפיתוח 2021 '!AB31</f>
        <v>מתנ"ס קהילתי  בשטח של כ-4000 מ"ר הכולל גלריה מקומית, ספרייה חדשה,  חדרי חוגים, מועדון לגמלאים ובית קפה.</v>
      </c>
      <c r="AC31" s="172">
        <f>'תקציב החברה לפיתוח 2021 '!AC31</f>
        <v>824000</v>
      </c>
      <c r="AD31" s="284"/>
      <c r="AE31" s="284"/>
      <c r="AF31" s="166"/>
      <c r="AG31" s="166"/>
      <c r="AH31" s="166"/>
      <c r="AI31" s="166"/>
      <c r="AJ31" s="166"/>
    </row>
    <row r="32" spans="1:36" s="176" customFormat="1" ht="30" customHeight="1">
      <c r="A32" s="172">
        <f t="shared" si="0"/>
        <v>28</v>
      </c>
      <c r="B32" s="172">
        <f>'תקציב החברה לפיתוח 2021 '!B32</f>
        <v>1835</v>
      </c>
      <c r="C32" s="326" t="str">
        <f>'תקציב החברה לפיתוח 2021 '!C32</f>
        <v>פיתוח מתחם מתנ"ס נווה עמל ומגרשי טניס</v>
      </c>
      <c r="D32" s="173">
        <f>'תקציב החברה לפיתוח 2021 '!D32</f>
        <v>70000000</v>
      </c>
      <c r="E32" s="173">
        <f>'תקציב החברה לפיתוח 2021 '!E32</f>
        <v>70000000</v>
      </c>
      <c r="F32" s="173">
        <f>'תקציב החברה לפיתוח 2021 '!F32</f>
        <v>0</v>
      </c>
      <c r="G32" s="173">
        <f>'תקציב החברה לפיתוח 2021 '!G32</f>
        <v>20900000</v>
      </c>
      <c r="H32" s="173">
        <f>'תקציב החברה לפיתוח 2021 '!H32</f>
        <v>11366140</v>
      </c>
      <c r="I32" s="173">
        <f>'תקציב החברה לפיתוח 2021 '!I32</f>
        <v>0</v>
      </c>
      <c r="J32" s="173">
        <f>'תקציב החברה לפיתוח 2021 '!J32</f>
        <v>1144610</v>
      </c>
      <c r="K32" s="173">
        <f>'תקציב החברה לפיתוח 2021 '!K32</f>
        <v>1144610</v>
      </c>
      <c r="L32" s="173">
        <f>'תקציב החברה לפיתוח 2021 '!L32</f>
        <v>12510750</v>
      </c>
      <c r="M32" s="173">
        <f>'תקציב החברה לפיתוח 2021 '!M32</f>
        <v>8389250</v>
      </c>
      <c r="N32" s="173">
        <f>'תקציב החברה לפיתוח 2021 '!N32</f>
        <v>1000000</v>
      </c>
      <c r="O32" s="173">
        <f>'תקציב החברה לפיתוח 2021 '!O32</f>
        <v>48100000</v>
      </c>
      <c r="P32" s="173">
        <f>'תקציב החברה לפיתוח 2021 '!P32</f>
        <v>8389250</v>
      </c>
      <c r="Q32" s="173">
        <f>'תקציב החברה לפיתוח 2021 '!Q32</f>
        <v>0</v>
      </c>
      <c r="R32" s="173">
        <f>'תקציב החברה לפיתוח 2021 '!R32</f>
        <v>0</v>
      </c>
      <c r="S32" s="173">
        <f>'תקציב החברה לפיתוח 2021 '!S32</f>
        <v>0</v>
      </c>
      <c r="T32" s="173">
        <f>'תקציב החברה לפיתוח 2021 '!T32</f>
        <v>0</v>
      </c>
      <c r="U32" s="173">
        <f>'תקציב החברה לפיתוח 2021 '!U32</f>
        <v>1000000</v>
      </c>
      <c r="V32" s="173">
        <f>'תקציב החברה לפיתוח 2021 '!V32</f>
        <v>1000000</v>
      </c>
      <c r="W32" s="173">
        <f>'תקציב החברה לפיתוח 2021 '!W32</f>
        <v>0</v>
      </c>
      <c r="X32" s="173">
        <f>'תקציב החברה לפיתוח 2021 '!X32</f>
        <v>0</v>
      </c>
      <c r="Y32" s="173">
        <f>'תקציב החברה לפיתוח 2021 '!Y32</f>
        <v>0</v>
      </c>
      <c r="Z32" s="173">
        <f>'תקציב החברה לפיתוח 2021 '!Z32</f>
        <v>0</v>
      </c>
      <c r="AA32" s="173">
        <f>'תקציב החברה לפיתוח 2021 '!AA32</f>
        <v>0</v>
      </c>
      <c r="AB32" s="293" t="str">
        <f>'תקציב החברה לפיתוח 2021 '!AB32</f>
        <v xml:space="preserve"> הקמת מבנה טניס חדש, קירוי 2 מגרשי טניס ופיתוח סביבתי לכל המתתחם.</v>
      </c>
      <c r="AC32" s="172">
        <f>'תקציב החברה לפיתוח 2021 '!AC32</f>
        <v>824000</v>
      </c>
      <c r="AD32" s="284"/>
      <c r="AE32" s="284"/>
      <c r="AF32" s="166"/>
      <c r="AG32" s="166"/>
      <c r="AH32" s="166"/>
      <c r="AI32" s="166"/>
      <c r="AJ32" s="166"/>
    </row>
    <row r="33" spans="1:36" ht="42">
      <c r="A33" s="172">
        <f t="shared" si="0"/>
        <v>29</v>
      </c>
      <c r="B33" s="172">
        <f>'תקציב החברה לפיתוח 2021 '!B33</f>
        <v>1845</v>
      </c>
      <c r="C33" s="326" t="str">
        <f>'תקציב החברה לפיתוח 2021 '!C33</f>
        <v>חניונים הר'1900 -שינוי תב"ע</v>
      </c>
      <c r="D33" s="173">
        <f>'תקציב החברה לפיתוח 2021 '!D33</f>
        <v>6000000</v>
      </c>
      <c r="E33" s="173">
        <f>'תקציב החברה לפיתוח 2021 '!E33</f>
        <v>6000000</v>
      </c>
      <c r="F33" s="173">
        <f>'תקציב החברה לפיתוח 2021 '!F33</f>
        <v>0</v>
      </c>
      <c r="G33" s="173">
        <f>'תקציב החברה לפיתוח 2021 '!G33</f>
        <v>740000</v>
      </c>
      <c r="H33" s="173">
        <f>'תקציב החברה לפיתוח 2021 '!H33</f>
        <v>736454</v>
      </c>
      <c r="I33" s="173">
        <f>'תקציב החברה לפיתוח 2021 '!I33</f>
        <v>0</v>
      </c>
      <c r="J33" s="173">
        <f>'תקציב החברה לפיתוח 2021 '!J33</f>
        <v>3544</v>
      </c>
      <c r="K33" s="173">
        <f>'תקציב החברה לפיתוח 2021 '!K33</f>
        <v>3544</v>
      </c>
      <c r="L33" s="173">
        <f>'תקציב החברה לפיתוח 2021 '!L33</f>
        <v>739998</v>
      </c>
      <c r="M33" s="173">
        <f>'תקציב החברה לפיתוח 2021 '!M33</f>
        <v>2</v>
      </c>
      <c r="N33" s="173">
        <f>'תקציב החברה לפיתוח 2021 '!N33</f>
        <v>1000000</v>
      </c>
      <c r="O33" s="173">
        <f>'תקציב החברה לפיתוח 2021 '!O33</f>
        <v>4260000</v>
      </c>
      <c r="P33" s="173">
        <f>'תקציב החברה לפיתוח 2021 '!P33</f>
        <v>2</v>
      </c>
      <c r="Q33" s="173">
        <f>'תקציב החברה לפיתוח 2021 '!Q33</f>
        <v>0</v>
      </c>
      <c r="R33" s="173">
        <f>'תקציב החברה לפיתוח 2021 '!R33</f>
        <v>0</v>
      </c>
      <c r="S33" s="173">
        <f>'תקציב החברה לפיתוח 2021 '!S33</f>
        <v>0</v>
      </c>
      <c r="T33" s="173">
        <f>'תקציב החברה לפיתוח 2021 '!T33</f>
        <v>0</v>
      </c>
      <c r="U33" s="173">
        <f>'תקציב החברה לפיתוח 2021 '!U33</f>
        <v>1000000</v>
      </c>
      <c r="V33" s="173">
        <f>'תקציב החברה לפיתוח 2021 '!V33</f>
        <v>1000000</v>
      </c>
      <c r="W33" s="173">
        <f>'תקציב החברה לפיתוח 2021 '!W33</f>
        <v>0</v>
      </c>
      <c r="X33" s="173">
        <f>'תקציב החברה לפיתוח 2021 '!X33</f>
        <v>0</v>
      </c>
      <c r="Y33" s="173">
        <f>'תקציב החברה לפיתוח 2021 '!Y33</f>
        <v>0</v>
      </c>
      <c r="Z33" s="173">
        <f>'תקציב החברה לפיתוח 2021 '!Z33</f>
        <v>0</v>
      </c>
      <c r="AA33" s="173">
        <f>'תקציב החברה לפיתוח 2021 '!AA33</f>
        <v>0</v>
      </c>
      <c r="AB33" s="293" t="str">
        <f>'תקציב החברה לפיתוח 2021 '!AB33</f>
        <v>תכנון במסגרת שינוי תב"ע חניונים הר' 1900. חניונים: משכית (תכנון מפורט), גלגלי הפלדה.</v>
      </c>
      <c r="AC33" s="172">
        <f>'תקציב החברה לפיתוח 2021 '!AC33</f>
        <v>742000</v>
      </c>
    </row>
    <row r="34" spans="1:36" s="5" customFormat="1" ht="30" customHeight="1">
      <c r="A34" s="172">
        <f t="shared" si="0"/>
        <v>30</v>
      </c>
      <c r="B34" s="172">
        <f>'תקציב החברה לפיתוח 2021 '!B34</f>
        <v>1872</v>
      </c>
      <c r="C34" s="326" t="str">
        <f>'תקציב החברה לפיתוח 2021 '!C34</f>
        <v>הסדרת צומת ברנר בר כוכבא בן גוריון</v>
      </c>
      <c r="D34" s="173">
        <f>'תקציב החברה לפיתוח 2021 '!D34</f>
        <v>1160000</v>
      </c>
      <c r="E34" s="173">
        <f>'תקציב החברה לפיתוח 2021 '!E34</f>
        <v>1160000</v>
      </c>
      <c r="F34" s="173">
        <f>'תקציב החברה לפיתוח 2021 '!F34</f>
        <v>0</v>
      </c>
      <c r="G34" s="173">
        <f>'תקציב החברה לפיתוח 2021 '!G34</f>
        <v>1160000</v>
      </c>
      <c r="H34" s="173">
        <f>'תקציב החברה לפיתוח 2021 '!H34</f>
        <v>711356</v>
      </c>
      <c r="I34" s="173">
        <f>'תקציב החברה לפיתוח 2021 '!I34</f>
        <v>0</v>
      </c>
      <c r="J34" s="173">
        <f>'תקציב החברה לפיתוח 2021 '!J34</f>
        <v>448330</v>
      </c>
      <c r="K34" s="173">
        <f>'תקציב החברה לפיתוח 2021 '!K34</f>
        <v>448330</v>
      </c>
      <c r="L34" s="173">
        <f>'תקציב החברה לפיתוח 2021 '!L34</f>
        <v>1159686</v>
      </c>
      <c r="M34" s="173">
        <f>'תקציב החברה לפיתוח 2021 '!M34</f>
        <v>314</v>
      </c>
      <c r="N34" s="173">
        <f>'תקציב החברה לפיתוח 2021 '!N34</f>
        <v>0</v>
      </c>
      <c r="O34" s="173">
        <f>'תקציב החברה לפיתוח 2021 '!O34</f>
        <v>0</v>
      </c>
      <c r="P34" s="173">
        <f>'תקציב החברה לפיתוח 2021 '!P34</f>
        <v>314</v>
      </c>
      <c r="Q34" s="173">
        <f>'תקציב החברה לפיתוח 2021 '!Q34</f>
        <v>0</v>
      </c>
      <c r="R34" s="173">
        <f>'תקציב החברה לפיתוח 2021 '!R34</f>
        <v>0</v>
      </c>
      <c r="S34" s="173">
        <f>'תקציב החברה לפיתוח 2021 '!S34</f>
        <v>0</v>
      </c>
      <c r="T34" s="173">
        <f>'תקציב החברה לפיתוח 2021 '!T34</f>
        <v>0</v>
      </c>
      <c r="U34" s="173">
        <f>'תקציב החברה לפיתוח 2021 '!U34</f>
        <v>0</v>
      </c>
      <c r="V34" s="173">
        <f>'תקציב החברה לפיתוח 2021 '!V34</f>
        <v>0</v>
      </c>
      <c r="W34" s="173">
        <f>'תקציב החברה לפיתוח 2021 '!W34</f>
        <v>0</v>
      </c>
      <c r="X34" s="173">
        <f>'תקציב החברה לפיתוח 2021 '!X34</f>
        <v>0</v>
      </c>
      <c r="Y34" s="173">
        <f>'תקציב החברה לפיתוח 2021 '!Y34</f>
        <v>0</v>
      </c>
      <c r="Z34" s="173">
        <f>'תקציב החברה לפיתוח 2021 '!Z34</f>
        <v>0</v>
      </c>
      <c r="AA34" s="173">
        <f>'תקציב החברה לפיתוח 2021 '!AA34</f>
        <v>0</v>
      </c>
      <c r="AB34" s="293" t="str">
        <f>'תקציב החברה לפיתוח 2021 '!AB34</f>
        <v>הסדרת ניקוז בצומת הרחובות. מימון מ. התחבורה. ח-ן סופיים.</v>
      </c>
      <c r="AC34" s="172">
        <f>'תקציב החברה לפיתוח 2021 '!AC34</f>
        <v>742000</v>
      </c>
      <c r="AD34" s="284"/>
      <c r="AE34" s="284"/>
      <c r="AF34" s="166"/>
      <c r="AG34" s="166"/>
      <c r="AH34" s="166"/>
      <c r="AI34" s="166"/>
      <c r="AJ34" s="166"/>
    </row>
    <row r="35" spans="1:36" ht="30" customHeight="1">
      <c r="A35" s="172">
        <f t="shared" si="0"/>
        <v>31</v>
      </c>
      <c r="B35" s="172">
        <f>'תקציב החברה לפיתוח 2021 '!B35</f>
        <v>1896</v>
      </c>
      <c r="C35" s="326" t="str">
        <f>'תקציב החברה לפיתוח 2021 '!C35</f>
        <v>קירוי והצללה מגרשי ספורט עירוניים</v>
      </c>
      <c r="D35" s="173">
        <f>'תקציב החברה לפיתוח 2021 '!D35</f>
        <v>18560000</v>
      </c>
      <c r="E35" s="173">
        <f>'תקציב החברה לפיתוח 2021 '!E35</f>
        <v>18560000</v>
      </c>
      <c r="F35" s="173">
        <f>'תקציב החברה לפיתוח 2021 '!F35</f>
        <v>0</v>
      </c>
      <c r="G35" s="173">
        <f>'תקציב החברה לפיתוח 2021 '!G35</f>
        <v>11600000</v>
      </c>
      <c r="H35" s="173">
        <f>'תקציב החברה לפיתוח 2021 '!H35</f>
        <v>1133671</v>
      </c>
      <c r="I35" s="173">
        <f>'תקציב החברה לפיתוח 2021 '!I35</f>
        <v>1737223</v>
      </c>
      <c r="J35" s="173">
        <f>'תקציב החברה לפיתוח 2021 '!J35</f>
        <v>471836</v>
      </c>
      <c r="K35" s="173">
        <f>'תקציב החברה לפיתוח 2021 '!K35</f>
        <v>2209059</v>
      </c>
      <c r="L35" s="173">
        <f>'תקציב החברה לפיתוח 2021 '!L35</f>
        <v>3342730</v>
      </c>
      <c r="M35" s="173">
        <f>'תקציב החברה לפיתוח 2021 '!M35</f>
        <v>4457270</v>
      </c>
      <c r="N35" s="173">
        <f>'תקציב החברה לפיתוח 2021 '!N35</f>
        <v>0</v>
      </c>
      <c r="O35" s="173">
        <f>'תקציב החברה לפיתוח 2021 '!O35</f>
        <v>10760000</v>
      </c>
      <c r="P35" s="173">
        <f>'תקציב החברה לפיתוח 2021 '!P35</f>
        <v>8257270</v>
      </c>
      <c r="Q35" s="173">
        <f>'תקציב החברה לפיתוח 2021 '!Q35</f>
        <v>0</v>
      </c>
      <c r="R35" s="173">
        <f>'תקציב החברה לפיתוח 2021 '!R35</f>
        <v>0</v>
      </c>
      <c r="S35" s="173">
        <f>'תקציב החברה לפיתוח 2021 '!S35</f>
        <v>0</v>
      </c>
      <c r="T35" s="173">
        <f>'תקציב החברה לפיתוח 2021 '!T35</f>
        <v>3800000</v>
      </c>
      <c r="U35" s="173">
        <f>'תקציב החברה לפיתוח 2021 '!U35</f>
        <v>-3800000</v>
      </c>
      <c r="V35" s="173">
        <f>'תקציב החברה לפיתוח 2021 '!V35</f>
        <v>-3800000</v>
      </c>
      <c r="W35" s="173">
        <f>'תקציב החברה לפיתוח 2021 '!W35</f>
        <v>0</v>
      </c>
      <c r="X35" s="173">
        <f>'תקציב החברה לפיתוח 2021 '!X35</f>
        <v>0</v>
      </c>
      <c r="Y35" s="173">
        <f>'תקציב החברה לפיתוח 2021 '!Y35</f>
        <v>0</v>
      </c>
      <c r="Z35" s="173">
        <f>'תקציב החברה לפיתוח 2021 '!Z35</f>
        <v>0</v>
      </c>
      <c r="AA35" s="173">
        <f>'תקציב החברה לפיתוח 2021 '!AA35</f>
        <v>0</v>
      </c>
      <c r="AB35" s="293" t="str">
        <f>'תקציב החברה לפיתוח 2021 '!AB35</f>
        <v xml:space="preserve">התקנת קירוי קשיח במגרשי ספורט 2020: דור, תיכון חדש. </v>
      </c>
      <c r="AC35" s="172">
        <f>'תקציב החברה לפיתוח 2021 '!AC35</f>
        <v>829000</v>
      </c>
    </row>
    <row r="36" spans="1:36" s="176" customFormat="1" ht="30" customHeight="1">
      <c r="A36" s="172">
        <f t="shared" si="0"/>
        <v>32</v>
      </c>
      <c r="B36" s="172">
        <f>'תקציב החברה לפיתוח 2021 '!B36</f>
        <v>1904</v>
      </c>
      <c r="C36" s="326" t="str">
        <f>'תקציב החברה לפיתוח 2021 '!C36</f>
        <v>קו ניקוז שער הים</v>
      </c>
      <c r="D36" s="173">
        <f>'תקציב החברה לפיתוח 2021 '!D36</f>
        <v>5700000</v>
      </c>
      <c r="E36" s="173">
        <f>'תקציב החברה לפיתוח 2021 '!E36</f>
        <v>5700000</v>
      </c>
      <c r="F36" s="173">
        <f>'תקציב החברה לפיתוח 2021 '!F36</f>
        <v>0</v>
      </c>
      <c r="G36" s="173">
        <f>'תקציב החברה לפיתוח 2021 '!G36</f>
        <v>4800000</v>
      </c>
      <c r="H36" s="173">
        <f>'תקציב החברה לפיתוח 2021 '!H36</f>
        <v>4143323</v>
      </c>
      <c r="I36" s="173">
        <f>'תקציב החברה לפיתוח 2021 '!I36</f>
        <v>0</v>
      </c>
      <c r="J36" s="173">
        <f>'תקציב החברה לפיתוח 2021 '!J36</f>
        <v>492020</v>
      </c>
      <c r="K36" s="173">
        <f>'תקציב החברה לפיתוח 2021 '!K36</f>
        <v>492020</v>
      </c>
      <c r="L36" s="173">
        <f>'תקציב החברה לפיתוח 2021 '!L36</f>
        <v>4635343</v>
      </c>
      <c r="M36" s="173">
        <f>'תקציב החברה לפיתוח 2021 '!M36</f>
        <v>164657</v>
      </c>
      <c r="N36" s="173">
        <f>'תקציב החברה לפיתוח 2021 '!N36</f>
        <v>0</v>
      </c>
      <c r="O36" s="173">
        <f>'תקציב החברה לפיתוח 2021 '!O36</f>
        <v>900000</v>
      </c>
      <c r="P36" s="173">
        <f>'תקציב החברה לפיתוח 2021 '!P36</f>
        <v>164657</v>
      </c>
      <c r="Q36" s="173">
        <f>'תקציב החברה לפיתוח 2021 '!Q36</f>
        <v>0</v>
      </c>
      <c r="R36" s="173">
        <f>'תקציב החברה לפיתוח 2021 '!R36</f>
        <v>0</v>
      </c>
      <c r="S36" s="173">
        <f>'תקציב החברה לפיתוח 2021 '!S36</f>
        <v>0</v>
      </c>
      <c r="T36" s="173">
        <f>'תקציב החברה לפיתוח 2021 '!T36</f>
        <v>0</v>
      </c>
      <c r="U36" s="173">
        <f>'תקציב החברה לפיתוח 2021 '!U36</f>
        <v>0</v>
      </c>
      <c r="V36" s="173">
        <f>'תקציב החברה לפיתוח 2021 '!V36</f>
        <v>0</v>
      </c>
      <c r="W36" s="173">
        <f>'תקציב החברה לפיתוח 2021 '!W36</f>
        <v>0</v>
      </c>
      <c r="X36" s="173">
        <f>'תקציב החברה לפיתוח 2021 '!X36</f>
        <v>0</v>
      </c>
      <c r="Y36" s="173">
        <f>'תקציב החברה לפיתוח 2021 '!Y36</f>
        <v>0</v>
      </c>
      <c r="Z36" s="173">
        <f>'תקציב החברה לפיתוח 2021 '!Z36</f>
        <v>0</v>
      </c>
      <c r="AA36" s="173">
        <f>'תקציב החברה לפיתוח 2021 '!AA36</f>
        <v>0</v>
      </c>
      <c r="AB36" s="293" t="str">
        <f>'תקציב החברה לפיתוח 2021 '!AB36</f>
        <v xml:space="preserve">עבודות פיתוח כולל קו ניקוז רחוב שער הים. </v>
      </c>
      <c r="AC36" s="172">
        <f>'תקציב החברה לפיתוח 2021 '!AC36</f>
        <v>742000</v>
      </c>
      <c r="AD36" s="284"/>
      <c r="AE36" s="284"/>
      <c r="AF36" s="166"/>
      <c r="AG36" s="166"/>
      <c r="AH36" s="166"/>
      <c r="AI36" s="166"/>
      <c r="AJ36" s="166"/>
    </row>
    <row r="37" spans="1:36" ht="30" customHeight="1">
      <c r="A37" s="172">
        <f t="shared" si="0"/>
        <v>33</v>
      </c>
      <c r="B37" s="172">
        <f>'תקציב החברה לפיתוח 2021 '!B37</f>
        <v>1921</v>
      </c>
      <c r="C37" s="326" t="str">
        <f>'תקציב החברה לפיתוח 2021 '!C37</f>
        <v>עבודות הרחבה התאמה איצטדיון</v>
      </c>
      <c r="D37" s="173">
        <f>'תקציב החברה לפיתוח 2021 '!D37</f>
        <v>9716000</v>
      </c>
      <c r="E37" s="173">
        <f>'תקציב החברה לפיתוח 2021 '!E37</f>
        <v>9716000</v>
      </c>
      <c r="F37" s="173">
        <f>'תקציב החברה לפיתוח 2021 '!F37</f>
        <v>0</v>
      </c>
      <c r="G37" s="173">
        <f>'תקציב החברה לפיתוח 2021 '!G37</f>
        <v>9716000</v>
      </c>
      <c r="H37" s="173">
        <f>'תקציב החברה לפיתוח 2021 '!H37</f>
        <v>4648902</v>
      </c>
      <c r="I37" s="173">
        <f>'תקציב החברה לפיתוח 2021 '!I37</f>
        <v>0</v>
      </c>
      <c r="J37" s="173">
        <f>'תקציב החברה לפיתוח 2021 '!J37</f>
        <v>692685</v>
      </c>
      <c r="K37" s="173">
        <f>'תקציב החברה לפיתוח 2021 '!K37</f>
        <v>692685</v>
      </c>
      <c r="L37" s="173">
        <f>'תקציב החברה לפיתוח 2021 '!L37</f>
        <v>5341587</v>
      </c>
      <c r="M37" s="173">
        <f>'תקציב החברה לפיתוח 2021 '!M37</f>
        <v>4374413</v>
      </c>
      <c r="N37" s="173">
        <f>'תקציב החברה לפיתוח 2021 '!N37</f>
        <v>0</v>
      </c>
      <c r="O37" s="173">
        <f>'תקציב החברה לפיתוח 2021 '!O37</f>
        <v>0</v>
      </c>
      <c r="P37" s="173">
        <f>'תקציב החברה לפיתוח 2021 '!P37</f>
        <v>4374413</v>
      </c>
      <c r="Q37" s="173">
        <f>'תקציב החברה לפיתוח 2021 '!Q37</f>
        <v>0</v>
      </c>
      <c r="R37" s="173">
        <f>'תקציב החברה לפיתוח 2021 '!R37</f>
        <v>0</v>
      </c>
      <c r="S37" s="173">
        <f>'תקציב החברה לפיתוח 2021 '!S37</f>
        <v>0</v>
      </c>
      <c r="T37" s="173">
        <f>'תקציב החברה לפיתוח 2021 '!T37</f>
        <v>0</v>
      </c>
      <c r="U37" s="173">
        <f>'תקציב החברה לפיתוח 2021 '!U37</f>
        <v>0</v>
      </c>
      <c r="V37" s="173">
        <f>'תקציב החברה לפיתוח 2021 '!V37</f>
        <v>0</v>
      </c>
      <c r="W37" s="173">
        <f>'תקציב החברה לפיתוח 2021 '!W37</f>
        <v>0</v>
      </c>
      <c r="X37" s="173">
        <f>'תקציב החברה לפיתוח 2021 '!X37</f>
        <v>0</v>
      </c>
      <c r="Y37" s="173">
        <f>'תקציב החברה לפיתוח 2021 '!Y37</f>
        <v>0</v>
      </c>
      <c r="Z37" s="173">
        <f>'תקציב החברה לפיתוח 2021 '!Z37</f>
        <v>0</v>
      </c>
      <c r="AA37" s="173">
        <f>'תקציב החברה לפיתוח 2021 '!AA37</f>
        <v>0</v>
      </c>
      <c r="AB37" s="293" t="str">
        <f>'תקציב החברה לפיתוח 2021 '!AB37</f>
        <v xml:space="preserve">העבודות:מבנים יבילים, טריבונות, ארונות שחקנים, עבודות בטיחות. </v>
      </c>
      <c r="AC37" s="172">
        <f>'תקציב החברה לפיתוח 2021 '!AC37</f>
        <v>829000</v>
      </c>
    </row>
    <row r="38" spans="1:36" ht="30" customHeight="1">
      <c r="A38" s="172">
        <f t="shared" si="0"/>
        <v>34</v>
      </c>
      <c r="B38" s="172">
        <f>'תקציב החברה לפיתוח 2021 '!B38</f>
        <v>1936</v>
      </c>
      <c r="C38" s="326" t="str">
        <f>'תקציב החברה לפיתוח 2021 '!C38</f>
        <v xml:space="preserve">תכנון מתחם אפולוניה </v>
      </c>
      <c r="D38" s="173">
        <f>'תקציב החברה לפיתוח 2021 '!D38</f>
        <v>6082795</v>
      </c>
      <c r="E38" s="173">
        <f>'תקציב החברה לפיתוח 2021 '!E38</f>
        <v>6082795</v>
      </c>
      <c r="F38" s="173">
        <f>'תקציב החברה לפיתוח 2021 '!F38</f>
        <v>0</v>
      </c>
      <c r="G38" s="173">
        <f>'תקציב החברה לפיתוח 2021 '!G38</f>
        <v>700000</v>
      </c>
      <c r="H38" s="173">
        <f>'תקציב החברה לפיתוח 2021 '!H38</f>
        <v>313933</v>
      </c>
      <c r="I38" s="173">
        <f>'תקציב החברה לפיתוח 2021 '!I38</f>
        <v>0</v>
      </c>
      <c r="J38" s="173">
        <f>'תקציב החברה לפיתוח 2021 '!J38</f>
        <v>0</v>
      </c>
      <c r="K38" s="173">
        <f>'תקציב החברה לפיתוח 2021 '!K38</f>
        <v>0</v>
      </c>
      <c r="L38" s="173">
        <f>'תקציב החברה לפיתוח 2021 '!L38</f>
        <v>313933</v>
      </c>
      <c r="M38" s="173">
        <f>'תקציב החברה לפיתוח 2021 '!M38</f>
        <v>386067</v>
      </c>
      <c r="N38" s="173">
        <f>'תקציב החברה לפיתוח 2021 '!N38</f>
        <v>0</v>
      </c>
      <c r="O38" s="173">
        <f>'תקציב החברה לפיתוח 2021 '!O38</f>
        <v>5382795</v>
      </c>
      <c r="P38" s="173">
        <f>'תקציב החברה לפיתוח 2021 '!P38</f>
        <v>386067</v>
      </c>
      <c r="Q38" s="173">
        <f>'תקציב החברה לפיתוח 2021 '!Q38</f>
        <v>0</v>
      </c>
      <c r="R38" s="173">
        <f>'תקציב החברה לפיתוח 2021 '!R38</f>
        <v>0</v>
      </c>
      <c r="S38" s="173">
        <f>'תקציב החברה לפיתוח 2021 '!S38</f>
        <v>0</v>
      </c>
      <c r="T38" s="173">
        <f>'תקציב החברה לפיתוח 2021 '!T38</f>
        <v>0</v>
      </c>
      <c r="U38" s="173">
        <f>'תקציב החברה לפיתוח 2021 '!U38</f>
        <v>0</v>
      </c>
      <c r="V38" s="173">
        <f>'תקציב החברה לפיתוח 2021 '!V38</f>
        <v>0</v>
      </c>
      <c r="W38" s="173">
        <f>'תקציב החברה לפיתוח 2021 '!W38</f>
        <v>0</v>
      </c>
      <c r="X38" s="173">
        <f>'תקציב החברה לפיתוח 2021 '!X38</f>
        <v>0</v>
      </c>
      <c r="Y38" s="173">
        <f>'תקציב החברה לפיתוח 2021 '!Y38</f>
        <v>0</v>
      </c>
      <c r="Z38" s="173">
        <f>'תקציב החברה לפיתוח 2021 '!Z38</f>
        <v>0</v>
      </c>
      <c r="AA38" s="173">
        <f>'תקציב החברה לפיתוח 2021 '!AA38</f>
        <v>0</v>
      </c>
      <c r="AB38" s="293" t="str">
        <f>'תקציב החברה לפיתוח 2021 '!AB38</f>
        <v xml:space="preserve">מימון רמ"י. </v>
      </c>
      <c r="AC38" s="172">
        <f>'תקציב החברה לפיתוח 2021 '!AC38</f>
        <v>732000</v>
      </c>
    </row>
    <row r="39" spans="1:36" ht="30" customHeight="1">
      <c r="A39" s="172">
        <f t="shared" si="0"/>
        <v>35</v>
      </c>
      <c r="B39" s="172">
        <f>'תקציב החברה לפיתוח 2021 '!B39</f>
        <v>1953</v>
      </c>
      <c r="C39" s="326" t="str">
        <f>'תקציב החברה לפיתוח 2021 '!C39</f>
        <v>השקעה בתשתיות והרחבת  חניונים</v>
      </c>
      <c r="D39" s="173">
        <f>'תקציב החברה לפיתוח 2021 '!D39</f>
        <v>5300000</v>
      </c>
      <c r="E39" s="173">
        <f>'תקציב החברה לפיתוח 2021 '!E39</f>
        <v>5300000</v>
      </c>
      <c r="F39" s="173">
        <f>'תקציב החברה לפיתוח 2021 '!F39</f>
        <v>0</v>
      </c>
      <c r="G39" s="173">
        <f>'תקציב החברה לפיתוח 2021 '!G39</f>
        <v>5300000</v>
      </c>
      <c r="H39" s="173">
        <f>'תקציב החברה לפיתוח 2021 '!H39</f>
        <v>3138324</v>
      </c>
      <c r="I39" s="173">
        <f>'תקציב החברה לפיתוח 2021 '!I39</f>
        <v>0</v>
      </c>
      <c r="J39" s="173">
        <f>'תקציב החברה לפיתוח 2021 '!J39</f>
        <v>273206</v>
      </c>
      <c r="K39" s="173">
        <f>'תקציב החברה לפיתוח 2021 '!K39</f>
        <v>273206</v>
      </c>
      <c r="L39" s="173">
        <f>'תקציב החברה לפיתוח 2021 '!L39</f>
        <v>3411530</v>
      </c>
      <c r="M39" s="173">
        <f>'תקציב החברה לפיתוח 2021 '!M39</f>
        <v>1888470</v>
      </c>
      <c r="N39" s="173">
        <f>'תקציב החברה לפיתוח 2021 '!N39</f>
        <v>0</v>
      </c>
      <c r="O39" s="173">
        <f>'תקציב החברה לפיתוח 2021 '!O39</f>
        <v>0</v>
      </c>
      <c r="P39" s="173">
        <f>'תקציב החברה לפיתוח 2021 '!P39</f>
        <v>1888470</v>
      </c>
      <c r="Q39" s="173">
        <f>'תקציב החברה לפיתוח 2021 '!Q39</f>
        <v>0</v>
      </c>
      <c r="R39" s="173">
        <f>'תקציב החברה לפיתוח 2021 '!R39</f>
        <v>0</v>
      </c>
      <c r="S39" s="173">
        <f>'תקציב החברה לפיתוח 2021 '!S39</f>
        <v>0</v>
      </c>
      <c r="T39" s="173">
        <f>'תקציב החברה לפיתוח 2021 '!T39</f>
        <v>0</v>
      </c>
      <c r="U39" s="173">
        <f>'תקציב החברה לפיתוח 2021 '!U39</f>
        <v>0</v>
      </c>
      <c r="V39" s="173">
        <f>'תקציב החברה לפיתוח 2021 '!V39</f>
        <v>0</v>
      </c>
      <c r="W39" s="173">
        <f>'תקציב החברה לפיתוח 2021 '!W39</f>
        <v>0</v>
      </c>
      <c r="X39" s="173">
        <f>'תקציב החברה לפיתוח 2021 '!X39</f>
        <v>0</v>
      </c>
      <c r="Y39" s="173">
        <f>'תקציב החברה לפיתוח 2021 '!Y39</f>
        <v>0</v>
      </c>
      <c r="Z39" s="173">
        <f>'תקציב החברה לפיתוח 2021 '!Z39</f>
        <v>0</v>
      </c>
      <c r="AA39" s="173">
        <f>'תקציב החברה לפיתוח 2021 '!AA39</f>
        <v>0</v>
      </c>
      <c r="AB39" s="293" t="str">
        <f>'תקציב החברה לפיתוח 2021 '!AB39</f>
        <v>השקעה בתשתיות ובמערכות מיכון בחניונים ברחבי העיר.</v>
      </c>
      <c r="AC39" s="172">
        <f>'תקציב החברה לפיתוח 2021 '!AC39</f>
        <v>742000</v>
      </c>
    </row>
    <row r="40" spans="1:36" s="176" customFormat="1" ht="30" customHeight="1">
      <c r="A40" s="172">
        <f t="shared" si="0"/>
        <v>36</v>
      </c>
      <c r="B40" s="172">
        <f>'תקציב החברה לפיתוח 2021 '!B40</f>
        <v>1954</v>
      </c>
      <c r="C40" s="326" t="str">
        <f>'תקציב החברה לפיתוח 2021 '!C40</f>
        <v xml:space="preserve">חניון המוסכים-תכנון </v>
      </c>
      <c r="D40" s="173">
        <f>'תקציב החברה לפיתוח 2021 '!D40</f>
        <v>2000000</v>
      </c>
      <c r="E40" s="173">
        <f>'תקציב החברה לפיתוח 2021 '!E40</f>
        <v>2000000</v>
      </c>
      <c r="F40" s="173">
        <f>'תקציב החברה לפיתוח 2021 '!F40</f>
        <v>0</v>
      </c>
      <c r="G40" s="173">
        <f>'תקציב החברה לפיתוח 2021 '!G40</f>
        <v>2000000</v>
      </c>
      <c r="H40" s="173">
        <f>'תקציב החברה לפיתוח 2021 '!H40</f>
        <v>1238534</v>
      </c>
      <c r="I40" s="173">
        <f>'תקציב החברה לפיתוח 2021 '!I40</f>
        <v>0</v>
      </c>
      <c r="J40" s="173">
        <f>'תקציב החברה לפיתוח 2021 '!J40</f>
        <v>754385</v>
      </c>
      <c r="K40" s="173">
        <f>'תקציב החברה לפיתוח 2021 '!K40</f>
        <v>754385</v>
      </c>
      <c r="L40" s="173">
        <f>'תקציב החברה לפיתוח 2021 '!L40</f>
        <v>1992919</v>
      </c>
      <c r="M40" s="173">
        <f>'תקציב החברה לפיתוח 2021 '!M40</f>
        <v>7081</v>
      </c>
      <c r="N40" s="173">
        <f>'תקציב החברה לפיתוח 2021 '!N40</f>
        <v>0</v>
      </c>
      <c r="O40" s="173">
        <f>'תקציב החברה לפיתוח 2021 '!O40</f>
        <v>0</v>
      </c>
      <c r="P40" s="173">
        <f>'תקציב החברה לפיתוח 2021 '!P40</f>
        <v>7081</v>
      </c>
      <c r="Q40" s="173">
        <f>'תקציב החברה לפיתוח 2021 '!Q40</f>
        <v>0</v>
      </c>
      <c r="R40" s="173">
        <f>'תקציב החברה לפיתוח 2021 '!R40</f>
        <v>0</v>
      </c>
      <c r="S40" s="173">
        <f>'תקציב החברה לפיתוח 2021 '!S40</f>
        <v>0</v>
      </c>
      <c r="T40" s="173">
        <f>'תקציב החברה לפיתוח 2021 '!T40</f>
        <v>0</v>
      </c>
      <c r="U40" s="173">
        <f>'תקציב החברה לפיתוח 2021 '!U40</f>
        <v>0</v>
      </c>
      <c r="V40" s="173">
        <f>'תקציב החברה לפיתוח 2021 '!V40</f>
        <v>0</v>
      </c>
      <c r="W40" s="173">
        <f>'תקציב החברה לפיתוח 2021 '!W40</f>
        <v>0</v>
      </c>
      <c r="X40" s="173">
        <f>'תקציב החברה לפיתוח 2021 '!X40</f>
        <v>0</v>
      </c>
      <c r="Y40" s="173">
        <f>'תקציב החברה לפיתוח 2021 '!Y40</f>
        <v>0</v>
      </c>
      <c r="Z40" s="173">
        <f>'תקציב החברה לפיתוח 2021 '!Z40</f>
        <v>0</v>
      </c>
      <c r="AA40" s="173">
        <f>'תקציב החברה לפיתוח 2021 '!AA40</f>
        <v>0</v>
      </c>
      <c r="AB40" s="293" t="str">
        <f>'תקציב החברה לפיתוח 2021 '!AB40</f>
        <v>המשך תכנון חניון ברח' מדינת היהודים.</v>
      </c>
      <c r="AC40" s="172">
        <f>'תקציב החברה לפיתוח 2021 '!AC40</f>
        <v>742000</v>
      </c>
      <c r="AD40" s="284"/>
      <c r="AE40" s="284"/>
      <c r="AF40" s="166"/>
      <c r="AG40" s="166"/>
      <c r="AH40" s="166"/>
      <c r="AI40" s="166"/>
      <c r="AJ40" s="166"/>
    </row>
    <row r="41" spans="1:36" ht="30" customHeight="1">
      <c r="A41" s="172">
        <f t="shared" si="0"/>
        <v>37</v>
      </c>
      <c r="B41" s="172">
        <f>'תקציב החברה לפיתוח 2021 '!B41</f>
        <v>1957</v>
      </c>
      <c r="C41" s="326" t="str">
        <f>'תקציב החברה לפיתוח 2021 '!C41</f>
        <v>מתחם קמפוס הרצליה (יד גיורא)</v>
      </c>
      <c r="D41" s="173">
        <f>'תקציב החברה לפיתוח 2021 '!D41</f>
        <v>60000000</v>
      </c>
      <c r="E41" s="173">
        <f>'תקציב החברה לפיתוח 2021 '!E41</f>
        <v>60000000</v>
      </c>
      <c r="F41" s="173">
        <f>'תקציב החברה לפיתוח 2021 '!F41</f>
        <v>0</v>
      </c>
      <c r="G41" s="173">
        <f>'תקציב החברה לפיתוח 2021 '!G41</f>
        <v>4420000</v>
      </c>
      <c r="H41" s="173">
        <f>'תקציב החברה לפיתוח 2021 '!H41</f>
        <v>2763611</v>
      </c>
      <c r="I41" s="173">
        <f>'תקציב החברה לפיתוח 2021 '!I41</f>
        <v>0</v>
      </c>
      <c r="J41" s="173">
        <f>'תקציב החברה לפיתוח 2021 '!J41</f>
        <v>82619</v>
      </c>
      <c r="K41" s="173">
        <f>'תקציב החברה לפיתוח 2021 '!K41</f>
        <v>82619</v>
      </c>
      <c r="L41" s="173">
        <f>'תקציב החברה לפיתוח 2021 '!L41</f>
        <v>2846230</v>
      </c>
      <c r="M41" s="173">
        <f>'תקציב החברה לפיתוח 2021 '!M41</f>
        <v>1573770</v>
      </c>
      <c r="N41" s="173">
        <f>'תקציב החברה לפיתוח 2021 '!N41</f>
        <v>1000000</v>
      </c>
      <c r="O41" s="173">
        <f>'תקציב החברה לפיתוח 2021 '!O41</f>
        <v>54580000</v>
      </c>
      <c r="P41" s="173">
        <f>'תקציב החברה לפיתוח 2021 '!P41</f>
        <v>1573770</v>
      </c>
      <c r="Q41" s="173">
        <f>'תקציב החברה לפיתוח 2021 '!Q41</f>
        <v>0</v>
      </c>
      <c r="R41" s="173">
        <f>'תקציב החברה לפיתוח 2021 '!R41</f>
        <v>0</v>
      </c>
      <c r="S41" s="173">
        <f>'תקציב החברה לפיתוח 2021 '!S41</f>
        <v>0</v>
      </c>
      <c r="T41" s="173">
        <f>'תקציב החברה לפיתוח 2021 '!T41</f>
        <v>0</v>
      </c>
      <c r="U41" s="173">
        <f>'תקציב החברה לפיתוח 2021 '!U41</f>
        <v>1000000</v>
      </c>
      <c r="V41" s="173">
        <f>'תקציב החברה לפיתוח 2021 '!V41</f>
        <v>1000000</v>
      </c>
      <c r="W41" s="173">
        <f>'תקציב החברה לפיתוח 2021 '!W41</f>
        <v>0</v>
      </c>
      <c r="X41" s="173">
        <f>'תקציב החברה לפיתוח 2021 '!X41</f>
        <v>0</v>
      </c>
      <c r="Y41" s="173">
        <f>'תקציב החברה לפיתוח 2021 '!Y41</f>
        <v>0</v>
      </c>
      <c r="Z41" s="173">
        <f>'תקציב החברה לפיתוח 2021 '!Z41</f>
        <v>0</v>
      </c>
      <c r="AA41" s="173">
        <f>'תקציב החברה לפיתוח 2021 '!AA41</f>
        <v>0</v>
      </c>
      <c r="AB41" s="293" t="str">
        <f>'תקציב החברה לפיתוח 2021 '!AB41</f>
        <v>הקמת קמפוס מדעים:בי"ס להנדסאים ותיכון חדש.</v>
      </c>
      <c r="AC41" s="172">
        <f>'תקציב החברה לפיתוח 2021 '!AC41</f>
        <v>810000</v>
      </c>
    </row>
    <row r="42" spans="1:36" ht="30" customHeight="1">
      <c r="A42" s="172">
        <f t="shared" si="0"/>
        <v>38</v>
      </c>
      <c r="B42" s="172">
        <f>'תקציב החברה לפיתוח 2021 '!B42</f>
        <v>1961</v>
      </c>
      <c r="C42" s="326" t="str">
        <f>'תקציב החברה לפיתוח 2021 '!C42</f>
        <v>גשר מעל כביש 20</v>
      </c>
      <c r="D42" s="173">
        <f>'תקציב החברה לפיתוח 2021 '!D42</f>
        <v>128000000</v>
      </c>
      <c r="E42" s="173">
        <f>'תקציב החברה לפיתוח 2021 '!E42</f>
        <v>128000000</v>
      </c>
      <c r="F42" s="173">
        <f>'תקציב החברה לפיתוח 2021 '!F42</f>
        <v>0</v>
      </c>
      <c r="G42" s="173">
        <f>'תקציב החברה לפיתוח 2021 '!G42</f>
        <v>1500000</v>
      </c>
      <c r="H42" s="173">
        <f>'תקציב החברה לפיתוח 2021 '!H42</f>
        <v>0</v>
      </c>
      <c r="I42" s="173">
        <f>'תקציב החברה לפיתוח 2021 '!I42</f>
        <v>0</v>
      </c>
      <c r="J42" s="173">
        <f>'תקציב החברה לפיתוח 2021 '!J42</f>
        <v>0</v>
      </c>
      <c r="K42" s="173">
        <f>'תקציב החברה לפיתוח 2021 '!K42</f>
        <v>0</v>
      </c>
      <c r="L42" s="173">
        <f>'תקציב החברה לפיתוח 2021 '!L42</f>
        <v>0</v>
      </c>
      <c r="M42" s="173">
        <f>'תקציב החברה לפיתוח 2021 '!M42</f>
        <v>500000</v>
      </c>
      <c r="N42" s="173">
        <f>'תקציב החברה לפיתוח 2021 '!N42</f>
        <v>0</v>
      </c>
      <c r="O42" s="173">
        <f>'תקציב החברה לפיתוח 2021 '!O42</f>
        <v>127500000</v>
      </c>
      <c r="P42" s="173">
        <f>'תקציב החברה לפיתוח 2021 '!P42</f>
        <v>1500000</v>
      </c>
      <c r="Q42" s="173">
        <f>'תקציב החברה לפיתוח 2021 '!Q42</f>
        <v>0</v>
      </c>
      <c r="R42" s="173">
        <f>'תקציב החברה לפיתוח 2021 '!R42</f>
        <v>0</v>
      </c>
      <c r="S42" s="173">
        <f>'תקציב החברה לפיתוח 2021 '!S42</f>
        <v>0</v>
      </c>
      <c r="T42" s="173">
        <f>'תקציב החברה לפיתוח 2021 '!T42</f>
        <v>1000000</v>
      </c>
      <c r="U42" s="173">
        <f>'תקציב החברה לפיתוח 2021 '!U42</f>
        <v>-1000000</v>
      </c>
      <c r="V42" s="173">
        <f>'תקציב החברה לפיתוח 2021 '!V42</f>
        <v>-1000000</v>
      </c>
      <c r="W42" s="173">
        <f>'תקציב החברה לפיתוח 2021 '!W42</f>
        <v>0</v>
      </c>
      <c r="X42" s="173">
        <f>'תקציב החברה לפיתוח 2021 '!X42</f>
        <v>0</v>
      </c>
      <c r="Y42" s="173">
        <f>'תקציב החברה לפיתוח 2021 '!Y42</f>
        <v>0</v>
      </c>
      <c r="Z42" s="173">
        <f>'תקציב החברה לפיתוח 2021 '!Z42</f>
        <v>0</v>
      </c>
      <c r="AA42" s="173">
        <f>'תקציב החברה לפיתוח 2021 '!AA42</f>
        <v>0</v>
      </c>
      <c r="AB42" s="293" t="str">
        <f>'תקציב החברה לפיתוח 2021 '!AB42</f>
        <v xml:space="preserve">פיתוח הגשר מעל כביש 20 איזור גליל ים.  </v>
      </c>
      <c r="AC42" s="172">
        <f>'תקציב החברה לפיתוח 2021 '!AC42</f>
        <v>742000</v>
      </c>
    </row>
    <row r="43" spans="1:36" ht="30" customHeight="1">
      <c r="A43" s="172">
        <f t="shared" si="0"/>
        <v>39</v>
      </c>
      <c r="B43" s="172">
        <f>'תקציב החברה לפיתוח 2021 '!B43</f>
        <v>1972</v>
      </c>
      <c r="C43" s="326" t="str">
        <f>'תקציב החברה לפיתוח 2021 '!C43</f>
        <v>פיתוח חורשת הפרחים</v>
      </c>
      <c r="D43" s="173">
        <f>'תקציב החברה לפיתוח 2021 '!D43</f>
        <v>4470000</v>
      </c>
      <c r="E43" s="173">
        <f>'תקציב החברה לפיתוח 2021 '!E43</f>
        <v>4470000</v>
      </c>
      <c r="F43" s="173">
        <f>'תקציב החברה לפיתוח 2021 '!F43</f>
        <v>0</v>
      </c>
      <c r="G43" s="173">
        <f>'תקציב החברה לפיתוח 2021 '!G43</f>
        <v>4470000</v>
      </c>
      <c r="H43" s="173">
        <f>'תקציב החברה לפיתוח 2021 '!H43</f>
        <v>3896210</v>
      </c>
      <c r="I43" s="173">
        <f>'תקציב החברה לפיתוח 2021 '!I43</f>
        <v>0</v>
      </c>
      <c r="J43" s="173">
        <f>'תקציב החברה לפיתוח 2021 '!J43</f>
        <v>91648</v>
      </c>
      <c r="K43" s="173">
        <f>'תקציב החברה לפיתוח 2021 '!K43</f>
        <v>91648</v>
      </c>
      <c r="L43" s="173">
        <f>'תקציב החברה לפיתוח 2021 '!L43</f>
        <v>3987858</v>
      </c>
      <c r="M43" s="173">
        <f>'תקציב החברה לפיתוח 2021 '!M43</f>
        <v>482142</v>
      </c>
      <c r="N43" s="173">
        <f>'תקציב החברה לפיתוח 2021 '!N43</f>
        <v>0</v>
      </c>
      <c r="O43" s="173">
        <f>'תקציב החברה לפיתוח 2021 '!O43</f>
        <v>0</v>
      </c>
      <c r="P43" s="173">
        <f>'תקציב החברה לפיתוח 2021 '!P43</f>
        <v>482142</v>
      </c>
      <c r="Q43" s="173">
        <f>'תקציב החברה לפיתוח 2021 '!Q43</f>
        <v>0</v>
      </c>
      <c r="R43" s="173">
        <f>'תקציב החברה לפיתוח 2021 '!R43</f>
        <v>0</v>
      </c>
      <c r="S43" s="173">
        <f>'תקציב החברה לפיתוח 2021 '!S43</f>
        <v>0</v>
      </c>
      <c r="T43" s="173">
        <f>'תקציב החברה לפיתוח 2021 '!T43</f>
        <v>0</v>
      </c>
      <c r="U43" s="173">
        <f>'תקציב החברה לפיתוח 2021 '!U43</f>
        <v>0</v>
      </c>
      <c r="V43" s="173">
        <f>'תקציב החברה לפיתוח 2021 '!V43</f>
        <v>0</v>
      </c>
      <c r="W43" s="173">
        <f>'תקציב החברה לפיתוח 2021 '!W43</f>
        <v>0</v>
      </c>
      <c r="X43" s="173">
        <f>'תקציב החברה לפיתוח 2021 '!X43</f>
        <v>0</v>
      </c>
      <c r="Y43" s="173">
        <f>'תקציב החברה לפיתוח 2021 '!Y43</f>
        <v>0</v>
      </c>
      <c r="Z43" s="173">
        <f>'תקציב החברה לפיתוח 2021 '!Z43</f>
        <v>0</v>
      </c>
      <c r="AA43" s="173">
        <f>'תקציב החברה לפיתוח 2021 '!AA43</f>
        <v>0</v>
      </c>
      <c r="AB43" s="293" t="str">
        <f>'תקציב החברה לפיתוח 2021 '!AB43</f>
        <v>פיתוח שצ"פ בגבעת הפרחים כולל הנגשה. ח-ן סופיים.</v>
      </c>
      <c r="AC43" s="172">
        <f>'תקציב החברה לפיתוח 2021 '!AC43</f>
        <v>746000</v>
      </c>
    </row>
    <row r="44" spans="1:36" s="183" customFormat="1" ht="56">
      <c r="A44" s="172">
        <f t="shared" si="0"/>
        <v>40</v>
      </c>
      <c r="B44" s="172">
        <f>'תקציב החברה לפיתוח 2021 '!B44</f>
        <v>1998</v>
      </c>
      <c r="C44" s="326" t="str">
        <f>'תקציב החברה לפיתוח 2021 '!C44</f>
        <v>פרויקט השכרת אופניים</v>
      </c>
      <c r="D44" s="173">
        <f>'תקציב החברה לפיתוח 2021 '!D44</f>
        <v>4630000</v>
      </c>
      <c r="E44" s="173">
        <f>'תקציב החברה לפיתוח 2021 '!E44</f>
        <v>4630000</v>
      </c>
      <c r="F44" s="173">
        <f>'תקציב החברה לפיתוח 2021 '!F44</f>
        <v>0</v>
      </c>
      <c r="G44" s="173">
        <f>'תקציב החברה לפיתוח 2021 '!G44</f>
        <v>150000</v>
      </c>
      <c r="H44" s="173">
        <f>'תקציב החברה לפיתוח 2021 '!H44</f>
        <v>12799</v>
      </c>
      <c r="I44" s="173">
        <f>'תקציב החברה לפיתוח 2021 '!I44</f>
        <v>0</v>
      </c>
      <c r="J44" s="173">
        <f>'תקציב החברה לפיתוח 2021 '!J44</f>
        <v>137200</v>
      </c>
      <c r="K44" s="173">
        <f>'תקציב החברה לפיתוח 2021 '!K44</f>
        <v>137200</v>
      </c>
      <c r="L44" s="173">
        <f>'תקציב החברה לפיתוח 2021 '!L44</f>
        <v>149999</v>
      </c>
      <c r="M44" s="173">
        <f>'תקציב החברה לפיתוח 2021 '!M44</f>
        <v>1</v>
      </c>
      <c r="N44" s="173">
        <f>'תקציב החברה לפיתוח 2021 '!N44</f>
        <v>2500000</v>
      </c>
      <c r="O44" s="173">
        <f>'תקציב החברה לפיתוח 2021 '!O44</f>
        <v>1980000</v>
      </c>
      <c r="P44" s="173">
        <f>'תקציב החברה לפיתוח 2021 '!P44</f>
        <v>1</v>
      </c>
      <c r="Q44" s="173">
        <f>'תקציב החברה לפיתוח 2021 '!Q44</f>
        <v>0</v>
      </c>
      <c r="R44" s="173">
        <f>'תקציב החברה לפיתוח 2021 '!R44</f>
        <v>0</v>
      </c>
      <c r="S44" s="173">
        <f>'תקציב החברה לפיתוח 2021 '!S44</f>
        <v>0</v>
      </c>
      <c r="T44" s="173">
        <f>'תקציב החברה לפיתוח 2021 '!T44</f>
        <v>0</v>
      </c>
      <c r="U44" s="173">
        <f>'תקציב החברה לפיתוח 2021 '!U44</f>
        <v>2500000</v>
      </c>
      <c r="V44" s="173">
        <f>'תקציב החברה לפיתוח 2021 '!V44</f>
        <v>1500000</v>
      </c>
      <c r="W44" s="173">
        <f>'תקציב החברה לפיתוח 2021 '!W44</f>
        <v>0</v>
      </c>
      <c r="X44" s="173">
        <f>'תקציב החברה לפיתוח 2021 '!X44</f>
        <v>0</v>
      </c>
      <c r="Y44" s="173">
        <f>'תקציב החברה לפיתוח 2021 '!Y44</f>
        <v>0</v>
      </c>
      <c r="Z44" s="173">
        <f>'תקציב החברה לפיתוח 2021 '!Z44</f>
        <v>0</v>
      </c>
      <c r="AA44" s="173">
        <f>'תקציב החברה לפיתוח 2021 '!AA44</f>
        <v>1000000</v>
      </c>
      <c r="AB44" s="293" t="str">
        <f>'תקציב החברה לפיתוח 2021 '!AB44</f>
        <v>הקמת מע.השכרת אופניים ברחבי העיר ובאיזור התעסוקה, חלק מתוכנית אב להפחתת פליטות גזי חממה. מימון מ.להגנת הסביבה.</v>
      </c>
      <c r="AC44" s="172">
        <f>'תקציב החברה לפיתוח 2021 '!AC44</f>
        <v>870000</v>
      </c>
      <c r="AD44" s="284"/>
      <c r="AE44" s="284"/>
      <c r="AF44" s="166"/>
      <c r="AG44" s="166"/>
      <c r="AH44" s="166"/>
      <c r="AI44" s="166"/>
      <c r="AJ44" s="166"/>
    </row>
    <row r="45" spans="1:36" s="183" customFormat="1" ht="30" customHeight="1">
      <c r="A45" s="172">
        <f t="shared" si="0"/>
        <v>41</v>
      </c>
      <c r="B45" s="172">
        <f>'תקציב החברה לפיתוח 2021 '!B45</f>
        <v>2002</v>
      </c>
      <c r="C45" s="326" t="str">
        <f>'תקציב החברה לפיתוח 2021 '!C45</f>
        <v>הכשרת חניון העוגן</v>
      </c>
      <c r="D45" s="173">
        <f>'תקציב החברה לפיתוח 2021 '!D45</f>
        <v>1500000</v>
      </c>
      <c r="E45" s="173">
        <f>'תקציב החברה לפיתוח 2021 '!E45</f>
        <v>1500000</v>
      </c>
      <c r="F45" s="173">
        <f>'תקציב החברה לפיתוח 2021 '!F45</f>
        <v>0</v>
      </c>
      <c r="G45" s="173">
        <f>'תקציב החברה לפיתוח 2021 '!G45</f>
        <v>700000</v>
      </c>
      <c r="H45" s="173">
        <f>'תקציב החברה לפיתוח 2021 '!H45</f>
        <v>133342</v>
      </c>
      <c r="I45" s="173">
        <f>'תקציב החברה לפיתוח 2021 '!I45</f>
        <v>0</v>
      </c>
      <c r="J45" s="173">
        <f>'תקציב החברה לפיתוח 2021 '!J45</f>
        <v>557724</v>
      </c>
      <c r="K45" s="173">
        <f>'תקציב החברה לפיתוח 2021 '!K45</f>
        <v>557724</v>
      </c>
      <c r="L45" s="173">
        <f>'תקציב החברה לפיתוח 2021 '!L45</f>
        <v>691066</v>
      </c>
      <c r="M45" s="173">
        <f>'תקציב החברה לפיתוח 2021 '!M45</f>
        <v>8934</v>
      </c>
      <c r="N45" s="173">
        <f>'תקציב החברה לפיתוח 2021 '!N45</f>
        <v>0</v>
      </c>
      <c r="O45" s="173">
        <f>'תקציב החברה לפיתוח 2021 '!O45</f>
        <v>800000</v>
      </c>
      <c r="P45" s="173">
        <f>'תקציב החברה לפיתוח 2021 '!P45</f>
        <v>8934</v>
      </c>
      <c r="Q45" s="173">
        <f>'תקציב החברה לפיתוח 2021 '!Q45</f>
        <v>0</v>
      </c>
      <c r="R45" s="173">
        <f>'תקציב החברה לפיתוח 2021 '!R45</f>
        <v>0</v>
      </c>
      <c r="S45" s="173">
        <f>'תקציב החברה לפיתוח 2021 '!S45</f>
        <v>0</v>
      </c>
      <c r="T45" s="173">
        <f>'תקציב החברה לפיתוח 2021 '!T45</f>
        <v>0</v>
      </c>
      <c r="U45" s="173">
        <f>'תקציב החברה לפיתוח 2021 '!U45</f>
        <v>0</v>
      </c>
      <c r="V45" s="173">
        <f>'תקציב החברה לפיתוח 2021 '!V45</f>
        <v>0</v>
      </c>
      <c r="W45" s="173">
        <f>'תקציב החברה לפיתוח 2021 '!W45</f>
        <v>0</v>
      </c>
      <c r="X45" s="173">
        <f>'תקציב החברה לפיתוח 2021 '!X45</f>
        <v>0</v>
      </c>
      <c r="Y45" s="173">
        <f>'תקציב החברה לפיתוח 2021 '!Y45</f>
        <v>0</v>
      </c>
      <c r="Z45" s="173">
        <f>'תקציב החברה לפיתוח 2021 '!Z45</f>
        <v>0</v>
      </c>
      <c r="AA45" s="173">
        <f>'תקציב החברה לפיתוח 2021 '!AA45</f>
        <v>0</v>
      </c>
      <c r="AB45" s="293" t="str">
        <f>'תקציב החברה לפיתוח 2021 '!AB45</f>
        <v>הכשרת חניון העוגן במרינה לחניון בתשלום. ממתין להיתר.</v>
      </c>
      <c r="AC45" s="172">
        <f>'תקציב החברה לפיתוח 2021 '!AC45</f>
        <v>742000</v>
      </c>
      <c r="AD45" s="284"/>
      <c r="AE45" s="284"/>
      <c r="AF45" s="166"/>
      <c r="AG45" s="166"/>
      <c r="AH45" s="166"/>
      <c r="AI45" s="166"/>
      <c r="AJ45" s="166"/>
    </row>
    <row r="46" spans="1:36" s="183" customFormat="1" ht="38.4" customHeight="1">
      <c r="A46" s="172">
        <f t="shared" si="0"/>
        <v>42</v>
      </c>
      <c r="B46" s="172">
        <f>'תקציב החברה לפיתוח 2021 '!B46</f>
        <v>2008</v>
      </c>
      <c r="C46" s="326" t="str">
        <f>'תקציב החברה לפיתוח 2021 '!C46</f>
        <v>שדרות ה - 93 הבאר</v>
      </c>
      <c r="D46" s="173">
        <f>'תקציב החברה לפיתוח 2021 '!D46</f>
        <v>2500000</v>
      </c>
      <c r="E46" s="173">
        <f>'תקציב החברה לפיתוח 2021 '!E46</f>
        <v>2500000</v>
      </c>
      <c r="F46" s="173">
        <f>'תקציב החברה לפיתוח 2021 '!F46</f>
        <v>0</v>
      </c>
      <c r="G46" s="173">
        <f>'תקציב החברה לפיתוח 2021 '!G46</f>
        <v>0</v>
      </c>
      <c r="H46" s="173">
        <f>'תקציב החברה לפיתוח 2021 '!H46</f>
        <v>0</v>
      </c>
      <c r="I46" s="173">
        <f>'תקציב החברה לפיתוח 2021 '!I46</f>
        <v>0</v>
      </c>
      <c r="J46" s="173">
        <f>'תקציב החברה לפיתוח 2021 '!J46</f>
        <v>0</v>
      </c>
      <c r="K46" s="173">
        <f>'תקציב החברה לפיתוח 2021 '!K46</f>
        <v>0</v>
      </c>
      <c r="L46" s="173">
        <f>'תקציב החברה לפיתוח 2021 '!L46</f>
        <v>0</v>
      </c>
      <c r="M46" s="173">
        <f>'תקציב החברה לפיתוח 2021 '!M46</f>
        <v>0</v>
      </c>
      <c r="N46" s="173">
        <f>'תקציב החברה לפיתוח 2021 '!N46</f>
        <v>0</v>
      </c>
      <c r="O46" s="173">
        <f>'תקציב החברה לפיתוח 2021 '!O46</f>
        <v>2500000</v>
      </c>
      <c r="P46" s="173">
        <f>'תקציב החברה לפיתוח 2021 '!P46</f>
        <v>0</v>
      </c>
      <c r="Q46" s="173">
        <f>'תקציב החברה לפיתוח 2021 '!Q46</f>
        <v>0</v>
      </c>
      <c r="R46" s="173">
        <f>'תקציב החברה לפיתוח 2021 '!R46</f>
        <v>0</v>
      </c>
      <c r="S46" s="173">
        <f>'תקציב החברה לפיתוח 2021 '!S46</f>
        <v>0</v>
      </c>
      <c r="T46" s="173">
        <f>'תקציב החברה לפיתוח 2021 '!T46</f>
        <v>0</v>
      </c>
      <c r="U46" s="173">
        <f>'תקציב החברה לפיתוח 2021 '!U46</f>
        <v>0</v>
      </c>
      <c r="V46" s="173">
        <f>'תקציב החברה לפיתוח 2021 '!V46</f>
        <v>0</v>
      </c>
      <c r="W46" s="173">
        <f>'תקציב החברה לפיתוח 2021 '!W46</f>
        <v>0</v>
      </c>
      <c r="X46" s="173">
        <f>'תקציב החברה לפיתוח 2021 '!X46</f>
        <v>0</v>
      </c>
      <c r="Y46" s="173">
        <f>'תקציב החברה לפיתוח 2021 '!Y46</f>
        <v>0</v>
      </c>
      <c r="Z46" s="173">
        <f>'תקציב החברה לפיתוח 2021 '!Z46</f>
        <v>0</v>
      </c>
      <c r="AA46" s="173">
        <f>'תקציב החברה לפיתוח 2021 '!AA46</f>
        <v>0</v>
      </c>
      <c r="AB46" s="293" t="str">
        <f>'תקציב החברה לפיתוח 2021 '!AB46</f>
        <v>הסדרת הסמטה  המקשרת בין רח' אליעזר קפלן במזרח לרח' וינגייט  במערב.</v>
      </c>
      <c r="AC46" s="172">
        <f>'תקציב החברה לפיתוח 2021 '!AC46</f>
        <v>742000</v>
      </c>
      <c r="AD46" s="284"/>
      <c r="AE46" s="284"/>
      <c r="AF46" s="166"/>
      <c r="AG46" s="166"/>
      <c r="AH46" s="166"/>
      <c r="AI46" s="166"/>
      <c r="AJ46" s="166"/>
    </row>
    <row r="47" spans="1:36" s="5" customFormat="1" ht="30" customHeight="1">
      <c r="A47" s="172">
        <f t="shared" si="0"/>
        <v>43</v>
      </c>
      <c r="B47" s="172">
        <f>'תקציב החברה לפיתוח 2021 '!B47</f>
        <v>2010</v>
      </c>
      <c r="C47" s="326" t="str">
        <f>'תקציב החברה לפיתוח 2021 '!C47</f>
        <v>יהודה הנשיא רבי עקיבא רזיאל</v>
      </c>
      <c r="D47" s="173">
        <f>'תקציב החברה לפיתוח 2021 '!D47</f>
        <v>8000000</v>
      </c>
      <c r="E47" s="173">
        <f>'תקציב החברה לפיתוח 2021 '!E47</f>
        <v>8000000</v>
      </c>
      <c r="F47" s="173">
        <f>'תקציב החברה לפיתוח 2021 '!F47</f>
        <v>0</v>
      </c>
      <c r="G47" s="173">
        <f>'תקציב החברה לפיתוח 2021 '!G47</f>
        <v>0</v>
      </c>
      <c r="H47" s="173">
        <f>'תקציב החברה לפיתוח 2021 '!H47</f>
        <v>0</v>
      </c>
      <c r="I47" s="173">
        <f>'תקציב החברה לפיתוח 2021 '!I47</f>
        <v>0</v>
      </c>
      <c r="J47" s="173">
        <f>'תקציב החברה לפיתוח 2021 '!J47</f>
        <v>0</v>
      </c>
      <c r="K47" s="173">
        <f>'תקציב החברה לפיתוח 2021 '!K47</f>
        <v>0</v>
      </c>
      <c r="L47" s="173">
        <f>'תקציב החברה לפיתוח 2021 '!L47</f>
        <v>0</v>
      </c>
      <c r="M47" s="173">
        <f>'תקציב החברה לפיתוח 2021 '!M47</f>
        <v>0</v>
      </c>
      <c r="N47" s="173">
        <f>'תקציב החברה לפיתוח 2021 '!N47</f>
        <v>0</v>
      </c>
      <c r="O47" s="173">
        <f>'תקציב החברה לפיתוח 2021 '!O47</f>
        <v>8000000</v>
      </c>
      <c r="P47" s="173">
        <f>'תקציב החברה לפיתוח 2021 '!P47</f>
        <v>0</v>
      </c>
      <c r="Q47" s="173">
        <f>'תקציב החברה לפיתוח 2021 '!Q47</f>
        <v>0</v>
      </c>
      <c r="R47" s="173">
        <f>'תקציב החברה לפיתוח 2021 '!R47</f>
        <v>0</v>
      </c>
      <c r="S47" s="173">
        <f>'תקציב החברה לפיתוח 2021 '!S47</f>
        <v>0</v>
      </c>
      <c r="T47" s="173">
        <f>'תקציב החברה לפיתוח 2021 '!T47</f>
        <v>0</v>
      </c>
      <c r="U47" s="173">
        <f>'תקציב החברה לפיתוח 2021 '!U47</f>
        <v>0</v>
      </c>
      <c r="V47" s="173">
        <f>'תקציב החברה לפיתוח 2021 '!V47</f>
        <v>0</v>
      </c>
      <c r="W47" s="173">
        <f>'תקציב החברה לפיתוח 2021 '!W47</f>
        <v>0</v>
      </c>
      <c r="X47" s="173">
        <f>'תקציב החברה לפיתוח 2021 '!X47</f>
        <v>0</v>
      </c>
      <c r="Y47" s="173">
        <f>'תקציב החברה לפיתוח 2021 '!Y47</f>
        <v>0</v>
      </c>
      <c r="Z47" s="173">
        <f>'תקציב החברה לפיתוח 2021 '!Z47</f>
        <v>0</v>
      </c>
      <c r="AA47" s="173">
        <f>'תקציב החברה לפיתוח 2021 '!AA47</f>
        <v>0</v>
      </c>
      <c r="AB47" s="293" t="str">
        <f>'תקציב החברה לפיתוח 2021 '!AB47</f>
        <v xml:space="preserve">השלמת תכנון וביצוע פיתוח קטע הרחוב מרבי עקיבא עד דוד רזיאל. </v>
      </c>
      <c r="AC47" s="172">
        <f>'תקציב החברה לפיתוח 2021 '!AC47</f>
        <v>742000</v>
      </c>
      <c r="AD47" s="284"/>
      <c r="AE47" s="284"/>
      <c r="AF47" s="166"/>
      <c r="AG47" s="166"/>
      <c r="AH47" s="166"/>
      <c r="AI47" s="166"/>
      <c r="AJ47" s="166"/>
    </row>
    <row r="48" spans="1:36" s="5" customFormat="1" ht="30" customHeight="1">
      <c r="A48" s="172">
        <f t="shared" si="0"/>
        <v>44</v>
      </c>
      <c r="B48" s="172">
        <f>'תקציב החברה לפיתוח 2021 '!B48</f>
        <v>2011</v>
      </c>
      <c r="C48" s="326" t="str">
        <f>'תקציב החברה לפיתוח 2021 '!C48</f>
        <v xml:space="preserve">תכנון הקמת חניון מרינה לי (*) עדכון שם </v>
      </c>
      <c r="D48" s="173">
        <f>'תקציב החברה לפיתוח 2021 '!D48</f>
        <v>80000000</v>
      </c>
      <c r="E48" s="173">
        <f>'תקציב החברה לפיתוח 2021 '!E48</f>
        <v>80000000</v>
      </c>
      <c r="F48" s="173">
        <f>'תקציב החברה לפיתוח 2021 '!F48</f>
        <v>0</v>
      </c>
      <c r="G48" s="173">
        <f>'תקציב החברה לפיתוח 2021 '!G48</f>
        <v>2000000</v>
      </c>
      <c r="H48" s="173">
        <f>'תקציב החברה לפיתוח 2021 '!H48</f>
        <v>1100424</v>
      </c>
      <c r="I48" s="173">
        <f>'תקציב החברה לפיתוח 2021 '!I48</f>
        <v>0</v>
      </c>
      <c r="J48" s="173">
        <f>'תקציב החברה לפיתוח 2021 '!J48</f>
        <v>23592</v>
      </c>
      <c r="K48" s="173">
        <f>'תקציב החברה לפיתוח 2021 '!K48</f>
        <v>23592</v>
      </c>
      <c r="L48" s="173">
        <f>'תקציב החברה לפיתוח 2021 '!L48</f>
        <v>1124016</v>
      </c>
      <c r="M48" s="173">
        <f>'תקציב החברה לפיתוח 2021 '!M48</f>
        <v>875984</v>
      </c>
      <c r="N48" s="173">
        <f>'תקציב החברה לפיתוח 2021 '!N48</f>
        <v>20000000</v>
      </c>
      <c r="O48" s="173">
        <f>'תקציב החברה לפיתוח 2021 '!O48</f>
        <v>58000000</v>
      </c>
      <c r="P48" s="173">
        <f>'תקציב החברה לפיתוח 2021 '!P48</f>
        <v>875984</v>
      </c>
      <c r="Q48" s="173">
        <f>'תקציב החברה לפיתוח 2021 '!Q48</f>
        <v>0</v>
      </c>
      <c r="R48" s="173">
        <f>'תקציב החברה לפיתוח 2021 '!R48</f>
        <v>0</v>
      </c>
      <c r="S48" s="173">
        <f>'תקציב החברה לפיתוח 2021 '!S48</f>
        <v>0</v>
      </c>
      <c r="T48" s="173">
        <f>'תקציב החברה לפיתוח 2021 '!T48</f>
        <v>0</v>
      </c>
      <c r="U48" s="173">
        <f>'תקציב החברה לפיתוח 2021 '!U48</f>
        <v>20000000</v>
      </c>
      <c r="V48" s="173">
        <f>'תקציב החברה לפיתוח 2021 '!V48</f>
        <v>20000000</v>
      </c>
      <c r="W48" s="173">
        <f>'תקציב החברה לפיתוח 2021 '!W48</f>
        <v>0</v>
      </c>
      <c r="X48" s="173">
        <f>'תקציב החברה לפיתוח 2021 '!X48</f>
        <v>0</v>
      </c>
      <c r="Y48" s="173">
        <f>'תקציב החברה לפיתוח 2021 '!Y48</f>
        <v>0</v>
      </c>
      <c r="Z48" s="173">
        <f>'תקציב החברה לפיתוח 2021 '!Z48</f>
        <v>0</v>
      </c>
      <c r="AA48" s="173">
        <f>'תקציב החברה לפיתוח 2021 '!AA48</f>
        <v>0</v>
      </c>
      <c r="AB48" s="293" t="str">
        <f>'תקציב החברה לפיתוח 2021 '!AB48</f>
        <v xml:space="preserve">הקמת החניון מתחת לשצ"פ במתחם המרינה לי. </v>
      </c>
      <c r="AC48" s="172">
        <f>'תקציב החברה לפיתוח 2021 '!AC48</f>
        <v>742000</v>
      </c>
      <c r="AD48" s="284"/>
      <c r="AE48" s="284"/>
      <c r="AF48" s="166"/>
      <c r="AG48" s="166"/>
      <c r="AH48" s="166"/>
      <c r="AI48" s="166"/>
      <c r="AJ48" s="166"/>
    </row>
    <row r="49" spans="1:36" s="183" customFormat="1" ht="42">
      <c r="A49" s="172">
        <f t="shared" si="0"/>
        <v>45</v>
      </c>
      <c r="B49" s="172">
        <f>'תקציב החברה לפיתוח 2021 '!B49</f>
        <v>2015</v>
      </c>
      <c r="C49" s="326" t="str">
        <f>'תקציב החברה לפיתוח 2021 '!C49</f>
        <v xml:space="preserve"> מרכז מדעים וקהילה (*) עדכון שם (3) גנ"י מדעיים באלתרמן</v>
      </c>
      <c r="D49" s="173">
        <f>'תקציב החברה לפיתוח 2021 '!D49</f>
        <v>54000000</v>
      </c>
      <c r="E49" s="173">
        <f>'תקציב החברה לפיתוח 2021 '!E49</f>
        <v>25000000</v>
      </c>
      <c r="F49" s="173">
        <f>'תקציב החברה לפיתוח 2021 '!F49</f>
        <v>29000000</v>
      </c>
      <c r="G49" s="173">
        <f>'תקציב החברה לפיתוח 2021 '!G49</f>
        <v>10500000</v>
      </c>
      <c r="H49" s="173">
        <f>'תקציב החברה לפיתוח 2021 '!H49</f>
        <v>347358</v>
      </c>
      <c r="I49" s="173">
        <f>'תקציב החברה לפיתוח 2021 '!I49</f>
        <v>0</v>
      </c>
      <c r="J49" s="173">
        <f>'תקציב החברה לפיתוח 2021 '!J49</f>
        <v>54169</v>
      </c>
      <c r="K49" s="173">
        <f>'תקציב החברה לפיתוח 2021 '!K49</f>
        <v>54169</v>
      </c>
      <c r="L49" s="173">
        <f>'תקציב החברה לפיתוח 2021 '!L49</f>
        <v>401527</v>
      </c>
      <c r="M49" s="173">
        <f>'תקציב החברה לפיתוח 2021 '!M49</f>
        <v>10098473</v>
      </c>
      <c r="N49" s="173">
        <f>'תקציב החברה לפיתוח 2021 '!N49</f>
        <v>20000000</v>
      </c>
      <c r="O49" s="173">
        <f>'תקציב החברה לפיתוח 2021 '!O49</f>
        <v>23500000</v>
      </c>
      <c r="P49" s="173">
        <f>'תקציב החברה לפיתוח 2021 '!P49</f>
        <v>10098473</v>
      </c>
      <c r="Q49" s="173">
        <f>'תקציב החברה לפיתוח 2021 '!Q49</f>
        <v>0</v>
      </c>
      <c r="R49" s="173">
        <f>'תקציב החברה לפיתוח 2021 '!R49</f>
        <v>0</v>
      </c>
      <c r="S49" s="173">
        <f>'תקציב החברה לפיתוח 2021 '!S49</f>
        <v>0</v>
      </c>
      <c r="T49" s="173">
        <f>'תקציב החברה לפיתוח 2021 '!T49</f>
        <v>0</v>
      </c>
      <c r="U49" s="173">
        <f>'תקציב החברה לפיתוח 2021 '!U49</f>
        <v>20000000</v>
      </c>
      <c r="V49" s="173">
        <f>'תקציב החברה לפיתוח 2021 '!V49</f>
        <v>20000000</v>
      </c>
      <c r="W49" s="173">
        <f>'תקציב החברה לפיתוח 2021 '!W49</f>
        <v>0</v>
      </c>
      <c r="X49" s="173">
        <f>'תקציב החברה לפיתוח 2021 '!X49</f>
        <v>0</v>
      </c>
      <c r="Y49" s="173">
        <f>'תקציב החברה לפיתוח 2021 '!Y49</f>
        <v>0</v>
      </c>
      <c r="Z49" s="173">
        <f>'תקציב החברה לפיתוח 2021 '!Z49</f>
        <v>0</v>
      </c>
      <c r="AA49" s="173">
        <f>'תקציב החברה לפיתוח 2021 '!AA49</f>
        <v>0</v>
      </c>
      <c r="AB49" s="293" t="str">
        <f>'תקציב החברה לפיתוח 2021 '!AB49</f>
        <v>עבודות בניה ופיתוח מרכז מדעיים וקהילה באלתרמן. מבנה 5 קומות ופיתוח.</v>
      </c>
      <c r="AC49" s="172">
        <f>'תקציב החברה לפיתוח 2021 '!AC49</f>
        <v>810000</v>
      </c>
      <c r="AD49" s="284"/>
      <c r="AE49" s="284"/>
      <c r="AF49" s="166"/>
      <c r="AG49" s="166"/>
      <c r="AH49" s="166"/>
      <c r="AI49" s="166"/>
      <c r="AJ49" s="166"/>
    </row>
    <row r="50" spans="1:36" ht="42">
      <c r="A50" s="172">
        <f t="shared" si="0"/>
        <v>46</v>
      </c>
      <c r="B50" s="172">
        <f>'תקציב החברה לפיתוח 2021 '!B50</f>
        <v>2017</v>
      </c>
      <c r="C50" s="326" t="str">
        <f>'תקציב החברה לפיתוח 2021 '!C50</f>
        <v>תכנון הקמת מתנ"ס רחוב המסילה (*) עדכון שם</v>
      </c>
      <c r="D50" s="173">
        <f>'תקציב החברה לפיתוח 2021 '!D50</f>
        <v>30000000</v>
      </c>
      <c r="E50" s="173">
        <f>'תקציב החברה לפיתוח 2021 '!E50</f>
        <v>30000000</v>
      </c>
      <c r="F50" s="173">
        <f>'תקציב החברה לפיתוח 2021 '!F50</f>
        <v>0</v>
      </c>
      <c r="G50" s="173">
        <f>'תקציב החברה לפיתוח 2021 '!G50</f>
        <v>2000000</v>
      </c>
      <c r="H50" s="173">
        <f>'תקציב החברה לפיתוח 2021 '!H50</f>
        <v>989653</v>
      </c>
      <c r="I50" s="173">
        <f>'תקציב החברה לפיתוח 2021 '!I50</f>
        <v>0</v>
      </c>
      <c r="J50" s="173">
        <f>'תקציב החברה לפיתוח 2021 '!J50</f>
        <v>53510</v>
      </c>
      <c r="K50" s="173">
        <f>'תקציב החברה לפיתוח 2021 '!K50</f>
        <v>53510</v>
      </c>
      <c r="L50" s="173">
        <f>'תקציב החברה לפיתוח 2021 '!L50</f>
        <v>1043163</v>
      </c>
      <c r="M50" s="173">
        <f>'תקציב החברה לפיתוח 2021 '!M50</f>
        <v>956837</v>
      </c>
      <c r="N50" s="173">
        <f>'תקציב החברה לפיתוח 2021 '!N50</f>
        <v>1000000</v>
      </c>
      <c r="O50" s="173">
        <f>'תקציב החברה לפיתוח 2021 '!O50</f>
        <v>27000000</v>
      </c>
      <c r="P50" s="173">
        <f>'תקציב החברה לפיתוח 2021 '!P50</f>
        <v>956837</v>
      </c>
      <c r="Q50" s="173">
        <f>'תקציב החברה לפיתוח 2021 '!Q50</f>
        <v>0</v>
      </c>
      <c r="R50" s="173">
        <f>'תקציב החברה לפיתוח 2021 '!R50</f>
        <v>0</v>
      </c>
      <c r="S50" s="173">
        <f>'תקציב החברה לפיתוח 2021 '!S50</f>
        <v>0</v>
      </c>
      <c r="T50" s="173">
        <f>'תקציב החברה לפיתוח 2021 '!T50</f>
        <v>0</v>
      </c>
      <c r="U50" s="173">
        <f>'תקציב החברה לפיתוח 2021 '!U50</f>
        <v>1000000</v>
      </c>
      <c r="V50" s="173">
        <f>'תקציב החברה לפיתוח 2021 '!V50</f>
        <v>1000000</v>
      </c>
      <c r="W50" s="173">
        <f>'תקציב החברה לפיתוח 2021 '!W50</f>
        <v>0</v>
      </c>
      <c r="X50" s="173">
        <f>'תקציב החברה לפיתוח 2021 '!X50</f>
        <v>0</v>
      </c>
      <c r="Y50" s="173">
        <f>'תקציב החברה לפיתוח 2021 '!Y50</f>
        <v>0</v>
      </c>
      <c r="Z50" s="173">
        <f>'תקציב החברה לפיתוח 2021 '!Z50</f>
        <v>0</v>
      </c>
      <c r="AA50" s="173">
        <f>'תקציב החברה לפיתוח 2021 '!AA50</f>
        <v>0</v>
      </c>
      <c r="AB50" s="293" t="str">
        <f>'תקציב החברה לפיתוח 2021 '!AB50</f>
        <v>הקמת מתנ"ס ברחוב המסילה.</v>
      </c>
      <c r="AC50" s="172">
        <f>'תקציב החברה לפיתוח 2021 '!AC50</f>
        <v>824000</v>
      </c>
    </row>
    <row r="51" spans="1:36" ht="30" customHeight="1">
      <c r="A51" s="172">
        <f t="shared" si="0"/>
        <v>47</v>
      </c>
      <c r="B51" s="172">
        <f>'תקציב החברה לפיתוח 2021 '!B51</f>
        <v>2018</v>
      </c>
      <c r="C51" s="326" t="str">
        <f>'תקציב החברה לפיתוח 2021 '!C51</f>
        <v>החלפת עמודי תאורה באיזור תעשיה</v>
      </c>
      <c r="D51" s="173">
        <f>'תקציב החברה לפיתוח 2021 '!D51</f>
        <v>6600000</v>
      </c>
      <c r="E51" s="173">
        <f>'תקציב החברה לפיתוח 2021 '!E51</f>
        <v>10000000</v>
      </c>
      <c r="F51" s="173">
        <f>'תקציב החברה לפיתוח 2021 '!F51</f>
        <v>-3400000</v>
      </c>
      <c r="G51" s="173">
        <f>'תקציב החברה לפיתוח 2021 '!G51</f>
        <v>6600000</v>
      </c>
      <c r="H51" s="173">
        <f>'תקציב החברה לפיתוח 2021 '!H51</f>
        <v>2120183</v>
      </c>
      <c r="I51" s="173">
        <f>'תקציב החברה לפיתוח 2021 '!I51</f>
        <v>0</v>
      </c>
      <c r="J51" s="173">
        <f>'תקציב החברה לפיתוח 2021 '!J51</f>
        <v>127092</v>
      </c>
      <c r="K51" s="173">
        <f>'תקציב החברה לפיתוח 2021 '!K51</f>
        <v>127092</v>
      </c>
      <c r="L51" s="173">
        <f>'תקציב החברה לפיתוח 2021 '!L51</f>
        <v>2247275</v>
      </c>
      <c r="M51" s="173">
        <f>'תקציב החברה לפיתוח 2021 '!M51</f>
        <v>4352725</v>
      </c>
      <c r="N51" s="173">
        <f>'תקציב החברה לפיתוח 2021 '!N51</f>
        <v>0</v>
      </c>
      <c r="O51" s="173">
        <f>'תקציב החברה לפיתוח 2021 '!O51</f>
        <v>0</v>
      </c>
      <c r="P51" s="173">
        <f>'תקציב החברה לפיתוח 2021 '!P51</f>
        <v>4352725</v>
      </c>
      <c r="Q51" s="173">
        <f>'תקציב החברה לפיתוח 2021 '!Q51</f>
        <v>0</v>
      </c>
      <c r="R51" s="173">
        <f>'תקציב החברה לפיתוח 2021 '!R51</f>
        <v>0</v>
      </c>
      <c r="S51" s="173">
        <f>'תקציב החברה לפיתוח 2021 '!S51</f>
        <v>0</v>
      </c>
      <c r="T51" s="173">
        <f>'תקציב החברה לפיתוח 2021 '!T51</f>
        <v>0</v>
      </c>
      <c r="U51" s="173">
        <f>'תקציב החברה לפיתוח 2021 '!U51</f>
        <v>0</v>
      </c>
      <c r="V51" s="173">
        <f>'תקציב החברה לפיתוח 2021 '!V51</f>
        <v>0</v>
      </c>
      <c r="W51" s="173">
        <f>'תקציב החברה לפיתוח 2021 '!W51</f>
        <v>0</v>
      </c>
      <c r="X51" s="173">
        <f>'תקציב החברה לפיתוח 2021 '!X51</f>
        <v>0</v>
      </c>
      <c r="Y51" s="173">
        <f>'תקציב החברה לפיתוח 2021 '!Y51</f>
        <v>0</v>
      </c>
      <c r="Z51" s="173">
        <f>'תקציב החברה לפיתוח 2021 '!Z51</f>
        <v>0</v>
      </c>
      <c r="AA51" s="173">
        <f>'תקציב החברה לפיתוח 2021 '!AA51</f>
        <v>0</v>
      </c>
      <c r="AB51" s="293" t="str">
        <f>'תקציב החברה לפיתוח 2021 '!AB51</f>
        <v>מסגרת עבודות של החלפת עמודי תאורה באיזור התעשיה.</v>
      </c>
      <c r="AC51" s="172">
        <f>'תקציב החברה לפיתוח 2021 '!AC51</f>
        <v>742000</v>
      </c>
    </row>
    <row r="52" spans="1:36" ht="30" customHeight="1">
      <c r="A52" s="172">
        <f t="shared" si="0"/>
        <v>48</v>
      </c>
      <c r="B52" s="172">
        <f>'תקציב החברה לפיתוח 2021 '!B52</f>
        <v>2019</v>
      </c>
      <c r="C52" s="326" t="str">
        <f>'תקציב החברה לפיתוח 2021 '!C52</f>
        <v>החלפת עמודי מחסום איזור תעשיה</v>
      </c>
      <c r="D52" s="173">
        <f>'תקציב החברה לפיתוח 2021 '!D52</f>
        <v>1200000</v>
      </c>
      <c r="E52" s="173">
        <f>'תקציב החברה לפיתוח 2021 '!E52</f>
        <v>1200000</v>
      </c>
      <c r="F52" s="173">
        <f>'תקציב החברה לפיתוח 2021 '!F52</f>
        <v>0</v>
      </c>
      <c r="G52" s="173">
        <f>'תקציב החברה לפיתוח 2021 '!G52</f>
        <v>1200000</v>
      </c>
      <c r="H52" s="173">
        <f>'תקציב החברה לפיתוח 2021 '!H52</f>
        <v>868488</v>
      </c>
      <c r="I52" s="173">
        <f>'תקציב החברה לפיתוח 2021 '!I52</f>
        <v>0</v>
      </c>
      <c r="J52" s="173">
        <f>'תקציב החברה לפיתוח 2021 '!J52</f>
        <v>331509</v>
      </c>
      <c r="K52" s="173">
        <f>'תקציב החברה לפיתוח 2021 '!K52</f>
        <v>331509</v>
      </c>
      <c r="L52" s="173">
        <f>'תקציב החברה לפיתוח 2021 '!L52</f>
        <v>1199997</v>
      </c>
      <c r="M52" s="173">
        <f>'תקציב החברה לפיתוח 2021 '!M52</f>
        <v>3</v>
      </c>
      <c r="N52" s="173">
        <f>'תקציב החברה לפיתוח 2021 '!N52</f>
        <v>0</v>
      </c>
      <c r="O52" s="173">
        <f>'תקציב החברה לפיתוח 2021 '!O52</f>
        <v>0</v>
      </c>
      <c r="P52" s="173">
        <f>'תקציב החברה לפיתוח 2021 '!P52</f>
        <v>3</v>
      </c>
      <c r="Q52" s="173">
        <f>'תקציב החברה לפיתוח 2021 '!Q52</f>
        <v>0</v>
      </c>
      <c r="R52" s="173">
        <f>'תקציב החברה לפיתוח 2021 '!R52</f>
        <v>0</v>
      </c>
      <c r="S52" s="173">
        <f>'תקציב החברה לפיתוח 2021 '!S52</f>
        <v>0</v>
      </c>
      <c r="T52" s="173">
        <f>'תקציב החברה לפיתוח 2021 '!T52</f>
        <v>0</v>
      </c>
      <c r="U52" s="173">
        <f>'תקציב החברה לפיתוח 2021 '!U52</f>
        <v>0</v>
      </c>
      <c r="V52" s="173">
        <f>'תקציב החברה לפיתוח 2021 '!V52</f>
        <v>0</v>
      </c>
      <c r="W52" s="173">
        <f>'תקציב החברה לפיתוח 2021 '!W52</f>
        <v>0</v>
      </c>
      <c r="X52" s="173">
        <f>'תקציב החברה לפיתוח 2021 '!X52</f>
        <v>0</v>
      </c>
      <c r="Y52" s="173">
        <f>'תקציב החברה לפיתוח 2021 '!Y52</f>
        <v>0</v>
      </c>
      <c r="Z52" s="173">
        <f>'תקציב החברה לפיתוח 2021 '!Z52</f>
        <v>0</v>
      </c>
      <c r="AA52" s="173">
        <f>'תקציב החברה לפיתוח 2021 '!AA52</f>
        <v>0</v>
      </c>
      <c r="AB52" s="293" t="str">
        <f>'תקציב החברה לפיתוח 2021 '!AB52</f>
        <v>מסגרת עבודות של החלפת עמודי מחסום באיזור התעשיה. ח-ן סופיים.</v>
      </c>
      <c r="AC52" s="172">
        <f>'תקציב החברה לפיתוח 2021 '!AC52</f>
        <v>742000</v>
      </c>
    </row>
    <row r="53" spans="1:36" s="176" customFormat="1" ht="30" customHeight="1">
      <c r="A53" s="172">
        <f t="shared" si="0"/>
        <v>49</v>
      </c>
      <c r="B53" s="172">
        <f>'תקציב החברה לפיתוח 2021 '!B53</f>
        <v>2021</v>
      </c>
      <c r="C53" s="326" t="str">
        <f>'תקציב החברה לפיתוח 2021 '!C53</f>
        <v>ביכנ"ס מקדש מלך</v>
      </c>
      <c r="D53" s="173">
        <f>'תקציב החברה לפיתוח 2021 '!D53</f>
        <v>8200000</v>
      </c>
      <c r="E53" s="173">
        <f>'תקציב החברה לפיתוח 2021 '!E53</f>
        <v>8200000</v>
      </c>
      <c r="F53" s="173">
        <f>'תקציב החברה לפיתוח 2021 '!F53</f>
        <v>0</v>
      </c>
      <c r="G53" s="173">
        <f>'תקציב החברה לפיתוח 2021 '!G53</f>
        <v>150000</v>
      </c>
      <c r="H53" s="173">
        <f>'תקציב החברה לפיתוח 2021 '!H53</f>
        <v>40865</v>
      </c>
      <c r="I53" s="173">
        <f>'תקציב החברה לפיתוח 2021 '!I53</f>
        <v>0</v>
      </c>
      <c r="J53" s="173">
        <f>'תקציב החברה לפיתוח 2021 '!J53</f>
        <v>0</v>
      </c>
      <c r="K53" s="173">
        <f>'תקציב החברה לפיתוח 2021 '!K53</f>
        <v>0</v>
      </c>
      <c r="L53" s="173">
        <f>'תקציב החברה לפיתוח 2021 '!L53</f>
        <v>40865</v>
      </c>
      <c r="M53" s="173">
        <f>'תקציב החברה לפיתוח 2021 '!M53</f>
        <v>109135</v>
      </c>
      <c r="N53" s="173">
        <f>'תקציב החברה לפיתוח 2021 '!N53</f>
        <v>0</v>
      </c>
      <c r="O53" s="173">
        <f>'תקציב החברה לפיתוח 2021 '!O53</f>
        <v>8050000</v>
      </c>
      <c r="P53" s="173">
        <f>'תקציב החברה לפיתוח 2021 '!P53</f>
        <v>109135</v>
      </c>
      <c r="Q53" s="173">
        <f>'תקציב החברה לפיתוח 2021 '!Q53</f>
        <v>0</v>
      </c>
      <c r="R53" s="173">
        <f>'תקציב החברה לפיתוח 2021 '!R53</f>
        <v>0</v>
      </c>
      <c r="S53" s="173">
        <f>'תקציב החברה לפיתוח 2021 '!S53</f>
        <v>0</v>
      </c>
      <c r="T53" s="173">
        <f>'תקציב החברה לפיתוח 2021 '!T53</f>
        <v>0</v>
      </c>
      <c r="U53" s="173">
        <f>'תקציב החברה לפיתוח 2021 '!U53</f>
        <v>0</v>
      </c>
      <c r="V53" s="173">
        <f>'תקציב החברה לפיתוח 2021 '!V53</f>
        <v>0</v>
      </c>
      <c r="W53" s="173">
        <f>'תקציב החברה לפיתוח 2021 '!W53</f>
        <v>0</v>
      </c>
      <c r="X53" s="173">
        <f>'תקציב החברה לפיתוח 2021 '!X53</f>
        <v>0</v>
      </c>
      <c r="Y53" s="173">
        <f>'תקציב החברה לפיתוח 2021 '!Y53</f>
        <v>0</v>
      </c>
      <c r="Z53" s="173">
        <f>'תקציב החברה לפיתוח 2021 '!Z53</f>
        <v>0</v>
      </c>
      <c r="AA53" s="173">
        <f>'תקציב החברה לפיתוח 2021 '!AA53</f>
        <v>0</v>
      </c>
      <c r="AB53" s="293" t="str">
        <f>'תקציב החברה לפיתוח 2021 '!AB53</f>
        <v xml:space="preserve">בניית ביכנ"ס ברח' מקדש מלך. תכנון.  </v>
      </c>
      <c r="AC53" s="172">
        <f>'תקציב החברה לפיתוח 2021 '!AC53</f>
        <v>850000</v>
      </c>
      <c r="AD53" s="284"/>
      <c r="AE53" s="284"/>
      <c r="AF53" s="166"/>
      <c r="AG53" s="166"/>
      <c r="AH53" s="166"/>
      <c r="AI53" s="166"/>
      <c r="AJ53" s="166"/>
    </row>
    <row r="54" spans="1:36" s="176" customFormat="1" ht="38.4" customHeight="1">
      <c r="A54" s="172">
        <f t="shared" si="0"/>
        <v>50</v>
      </c>
      <c r="B54" s="172">
        <f>'תקציב החברה לפיתוח 2021 '!B54</f>
        <v>2022</v>
      </c>
      <c r="C54" s="326" t="str">
        <f>'תקציב החברה לפיתוח 2021 '!C54</f>
        <v>הקמת אולם ספורט הנגיד (*) עדכון שם הנדיב</v>
      </c>
      <c r="D54" s="173">
        <f>'תקציב החברה לפיתוח 2021 '!D54</f>
        <v>14000000</v>
      </c>
      <c r="E54" s="173">
        <f>'תקציב החברה לפיתוח 2021 '!E54</f>
        <v>20000000</v>
      </c>
      <c r="F54" s="173">
        <f>'תקציב החברה לפיתוח 2021 '!F54</f>
        <v>-6000000</v>
      </c>
      <c r="G54" s="173">
        <f>'תקציב החברה לפיתוח 2021 '!G54</f>
        <v>12100000</v>
      </c>
      <c r="H54" s="173">
        <f>'תקציב החברה לפיתוח 2021 '!H54</f>
        <v>82941</v>
      </c>
      <c r="I54" s="173">
        <f>'תקציב החברה לפיתוח 2021 '!I54</f>
        <v>0</v>
      </c>
      <c r="J54" s="173">
        <f>'תקציב החברה לפיתוח 2021 '!J54</f>
        <v>72242</v>
      </c>
      <c r="K54" s="173">
        <f>'תקציב החברה לפיתוח 2021 '!K54</f>
        <v>72242</v>
      </c>
      <c r="L54" s="173">
        <f>'תקציב החברה לפיתוח 2021 '!L54</f>
        <v>155183</v>
      </c>
      <c r="M54" s="173">
        <f>'תקציב החברה לפיתוח 2021 '!M54</f>
        <v>11944817</v>
      </c>
      <c r="N54" s="173">
        <f>'תקציב החברה לפיתוח 2021 '!N54</f>
        <v>1900000</v>
      </c>
      <c r="O54" s="173">
        <f>'תקציב החברה לפיתוח 2021 '!O54</f>
        <v>0</v>
      </c>
      <c r="P54" s="173">
        <f>'תקציב החברה לפיתוח 2021 '!P54</f>
        <v>11944817</v>
      </c>
      <c r="Q54" s="173">
        <f>'תקציב החברה לפיתוח 2021 '!Q54</f>
        <v>0</v>
      </c>
      <c r="R54" s="173">
        <f>'תקציב החברה לפיתוח 2021 '!R54</f>
        <v>0</v>
      </c>
      <c r="S54" s="173">
        <f>'תקציב החברה לפיתוח 2021 '!S54</f>
        <v>0</v>
      </c>
      <c r="T54" s="173">
        <f>'תקציב החברה לפיתוח 2021 '!T54</f>
        <v>0</v>
      </c>
      <c r="U54" s="173">
        <f>'תקציב החברה לפיתוח 2021 '!U54</f>
        <v>1900000</v>
      </c>
      <c r="V54" s="173">
        <f>'תקציב החברה לפיתוח 2021 '!V54</f>
        <v>1900000</v>
      </c>
      <c r="W54" s="173">
        <f>'תקציב החברה לפיתוח 2021 '!W54</f>
        <v>0</v>
      </c>
      <c r="X54" s="173">
        <f>'תקציב החברה לפיתוח 2021 '!X54</f>
        <v>0</v>
      </c>
      <c r="Y54" s="173">
        <f>'תקציב החברה לפיתוח 2021 '!Y54</f>
        <v>0</v>
      </c>
      <c r="Z54" s="173">
        <f>'תקציב החברה לפיתוח 2021 '!Z54</f>
        <v>0</v>
      </c>
      <c r="AA54" s="173">
        <f>'תקציב החברה לפיתוח 2021 '!AA54</f>
        <v>0</v>
      </c>
      <c r="AB54" s="293" t="str">
        <f>'תקציב החברה לפיתוח 2021 '!AB54</f>
        <v xml:space="preserve">עבודות הקמת אולם ספורט בנגיד  כולל הריסת אולמות ומקלט קיימים. </v>
      </c>
      <c r="AC54" s="172">
        <f>'תקציב החברה לפיתוח 2021 '!AC54</f>
        <v>829000</v>
      </c>
      <c r="AD54" s="284"/>
      <c r="AE54" s="284"/>
      <c r="AF54" s="166"/>
      <c r="AG54" s="166"/>
      <c r="AH54" s="166"/>
      <c r="AI54" s="166"/>
      <c r="AJ54" s="166"/>
    </row>
    <row r="55" spans="1:36" s="176" customFormat="1" ht="42">
      <c r="A55" s="172">
        <f t="shared" si="0"/>
        <v>51</v>
      </c>
      <c r="B55" s="172">
        <f>'תקציב החברה לפיתוח 2021 '!B55</f>
        <v>2023</v>
      </c>
      <c r="C55" s="326" t="str">
        <f>'תקציב החברה לפיתוח 2021 '!C55</f>
        <v>גנ"י נווה עמל ציפורן מוריה</v>
      </c>
      <c r="D55" s="173">
        <f>'תקציב החברה לפיתוח 2021 '!D55</f>
        <v>7340000</v>
      </c>
      <c r="E55" s="173">
        <f>'תקציב החברה לפיתוח 2021 '!E55</f>
        <v>7340000</v>
      </c>
      <c r="F55" s="173">
        <f>'תקציב החברה לפיתוח 2021 '!F55</f>
        <v>0</v>
      </c>
      <c r="G55" s="173">
        <f>'תקציב החברה לפיתוח 2021 '!G55</f>
        <v>230000</v>
      </c>
      <c r="H55" s="173">
        <f>'תקציב החברה לפיתוח 2021 '!H55</f>
        <v>225703</v>
      </c>
      <c r="I55" s="173">
        <f>'תקציב החברה לפיתוח 2021 '!I55</f>
        <v>0</v>
      </c>
      <c r="J55" s="173">
        <f>'תקציב החברה לפיתוח 2021 '!J55</f>
        <v>0</v>
      </c>
      <c r="K55" s="173">
        <f>'תקציב החברה לפיתוח 2021 '!K55</f>
        <v>0</v>
      </c>
      <c r="L55" s="173">
        <f>'תקציב החברה לפיתוח 2021 '!L55</f>
        <v>225703</v>
      </c>
      <c r="M55" s="173">
        <f>'תקציב החברה לפיתוח 2021 '!M55</f>
        <v>4297</v>
      </c>
      <c r="N55" s="173">
        <f>'תקציב החברה לפיתוח 2021 '!N55</f>
        <v>0</v>
      </c>
      <c r="O55" s="173">
        <f>'תקציב החברה לפיתוח 2021 '!O55</f>
        <v>7110000</v>
      </c>
      <c r="P55" s="173">
        <f>'תקציב החברה לפיתוח 2021 '!P55</f>
        <v>4297</v>
      </c>
      <c r="Q55" s="173">
        <f>'תקציב החברה לפיתוח 2021 '!Q55</f>
        <v>0</v>
      </c>
      <c r="R55" s="173">
        <f>'תקציב החברה לפיתוח 2021 '!R55</f>
        <v>0</v>
      </c>
      <c r="S55" s="173">
        <f>'תקציב החברה לפיתוח 2021 '!S55</f>
        <v>0</v>
      </c>
      <c r="T55" s="173">
        <f>'תקציב החברה לפיתוח 2021 '!T55</f>
        <v>0</v>
      </c>
      <c r="U55" s="173">
        <f>'תקציב החברה לפיתוח 2021 '!U55</f>
        <v>0</v>
      </c>
      <c r="V55" s="173">
        <f>'תקציב החברה לפיתוח 2021 '!V55</f>
        <v>0</v>
      </c>
      <c r="W55" s="173">
        <f>'תקציב החברה לפיתוח 2021 '!W55</f>
        <v>0</v>
      </c>
      <c r="X55" s="173">
        <f>'תקציב החברה לפיתוח 2021 '!X55</f>
        <v>0</v>
      </c>
      <c r="Y55" s="173">
        <f>'תקציב החברה לפיתוח 2021 '!Y55</f>
        <v>0</v>
      </c>
      <c r="Z55" s="173">
        <f>'תקציב החברה לפיתוח 2021 '!Z55</f>
        <v>0</v>
      </c>
      <c r="AA55" s="173">
        <f>'תקציב החברה לפיתוח 2021 '!AA55</f>
        <v>0</v>
      </c>
      <c r="AB55" s="293" t="str">
        <f>'תקציב החברה לפיתוח 2021 '!AB55</f>
        <v>בניית גנ"י בנווה עמל. חלקות בבעלות רמ"י. נדחה עד הכרת מ. החינוך והסכם חכירה רמ"י.</v>
      </c>
      <c r="AC55" s="172">
        <f>'תקציב החברה לפיתוח 2021 '!AC55</f>
        <v>810000</v>
      </c>
      <c r="AD55" s="284"/>
      <c r="AE55" s="284"/>
      <c r="AF55" s="166"/>
      <c r="AG55" s="166"/>
      <c r="AH55" s="166"/>
      <c r="AI55" s="166"/>
      <c r="AJ55" s="166"/>
    </row>
    <row r="56" spans="1:36" s="176" customFormat="1" ht="30" customHeight="1">
      <c r="A56" s="172">
        <f t="shared" si="0"/>
        <v>52</v>
      </c>
      <c r="B56" s="172">
        <f>'תקציב החברה לפיתוח 2021 '!B56</f>
        <v>2024</v>
      </c>
      <c r="C56" s="326" t="str">
        <f>'תקציב החברה לפיתוח 2021 '!C56</f>
        <v>גנ"י מרכז ויצמן תמר תאנה</v>
      </c>
      <c r="D56" s="173">
        <f>'תקציב החברה לפיתוח 2021 '!D56</f>
        <v>16300000</v>
      </c>
      <c r="E56" s="173">
        <f>'תקציב החברה לפיתוח 2021 '!E56</f>
        <v>16300000</v>
      </c>
      <c r="F56" s="173">
        <f>'תקציב החברה לפיתוח 2021 '!F56</f>
        <v>0</v>
      </c>
      <c r="G56" s="173">
        <f>'תקציב החברה לפיתוח 2021 '!G56</f>
        <v>10040000</v>
      </c>
      <c r="H56" s="173">
        <f>'תקציב החברה לפיתוח 2021 '!H56</f>
        <v>529871</v>
      </c>
      <c r="I56" s="173">
        <f>'תקציב החברה לפיתוח 2021 '!I56</f>
        <v>0</v>
      </c>
      <c r="J56" s="173">
        <f>'תקציב החברה לפיתוח 2021 '!J56</f>
        <v>88610</v>
      </c>
      <c r="K56" s="173">
        <f>'תקציב החברה לפיתוח 2021 '!K56</f>
        <v>88610</v>
      </c>
      <c r="L56" s="173">
        <f>'תקציב החברה לפיתוח 2021 '!L56</f>
        <v>618481</v>
      </c>
      <c r="M56" s="173">
        <f>'תקציב החברה לפיתוח 2021 '!M56</f>
        <v>9421519</v>
      </c>
      <c r="N56" s="173">
        <f>'תקציב החברה לפיתוח 2021 '!N56</f>
        <v>6260000</v>
      </c>
      <c r="O56" s="173">
        <f>'תקציב החברה לפיתוח 2021 '!O56</f>
        <v>0</v>
      </c>
      <c r="P56" s="173">
        <f>'תקציב החברה לפיתוח 2021 '!P56</f>
        <v>9421519</v>
      </c>
      <c r="Q56" s="173">
        <f>'תקציב החברה לפיתוח 2021 '!Q56</f>
        <v>0</v>
      </c>
      <c r="R56" s="173">
        <f>'תקציב החברה לפיתוח 2021 '!R56</f>
        <v>0</v>
      </c>
      <c r="S56" s="173">
        <f>'תקציב החברה לפיתוח 2021 '!S56</f>
        <v>0</v>
      </c>
      <c r="T56" s="173">
        <f>'תקציב החברה לפיתוח 2021 '!T56</f>
        <v>0</v>
      </c>
      <c r="U56" s="173">
        <f>'תקציב החברה לפיתוח 2021 '!U56</f>
        <v>6260000</v>
      </c>
      <c r="V56" s="173">
        <f>'תקציב החברה לפיתוח 2021 '!V56</f>
        <v>6260000</v>
      </c>
      <c r="W56" s="173">
        <f>'תקציב החברה לפיתוח 2021 '!W56</f>
        <v>0</v>
      </c>
      <c r="X56" s="173">
        <f>'תקציב החברה לפיתוח 2021 '!X56</f>
        <v>0</v>
      </c>
      <c r="Y56" s="173">
        <f>'תקציב החברה לפיתוח 2021 '!Y56</f>
        <v>0</v>
      </c>
      <c r="Z56" s="173">
        <f>'תקציב החברה לפיתוח 2021 '!Z56</f>
        <v>0</v>
      </c>
      <c r="AA56" s="173">
        <f>'תקציב החברה לפיתוח 2021 '!AA56</f>
        <v>0</v>
      </c>
      <c r="AB56" s="293" t="str">
        <f>'תקציב החברה לפיתוח 2021 '!AB56</f>
        <v xml:space="preserve">בניית 6 כיתות גנ"י במתחם ויצמן. לו"ז לאיכלוס 9/2021. </v>
      </c>
      <c r="AC56" s="172">
        <f>'תקציב החברה לפיתוח 2021 '!AC56</f>
        <v>810000</v>
      </c>
      <c r="AD56" s="284"/>
      <c r="AE56" s="284"/>
      <c r="AF56" s="166"/>
      <c r="AG56" s="166"/>
      <c r="AH56" s="166"/>
      <c r="AI56" s="166"/>
      <c r="AJ56" s="166"/>
    </row>
    <row r="57" spans="1:36" s="176" customFormat="1" ht="30" customHeight="1">
      <c r="A57" s="172">
        <f t="shared" si="0"/>
        <v>53</v>
      </c>
      <c r="B57" s="172">
        <f>'תקציב החברה לפיתוח 2021 '!B57</f>
        <v>2025</v>
      </c>
      <c r="C57" s="326" t="str">
        <f>'תקציב החברה לפיתוח 2021 '!C57</f>
        <v>גן ילדים מתחם זרובבל</v>
      </c>
      <c r="D57" s="173">
        <f>'תקציב החברה לפיתוח 2021 '!D57</f>
        <v>2600000</v>
      </c>
      <c r="E57" s="173">
        <f>'תקציב החברה לפיתוח 2021 '!E57</f>
        <v>2600000</v>
      </c>
      <c r="F57" s="173">
        <f>'תקציב החברה לפיתוח 2021 '!F57</f>
        <v>0</v>
      </c>
      <c r="G57" s="173">
        <f>'תקציב החברה לפיתוח 2021 '!G57</f>
        <v>2600000</v>
      </c>
      <c r="H57" s="173">
        <f>'תקציב החברה לפיתוח 2021 '!H57</f>
        <v>2187801</v>
      </c>
      <c r="I57" s="173">
        <f>'תקציב החברה לפיתוח 2021 '!I57</f>
        <v>0</v>
      </c>
      <c r="J57" s="173">
        <f>'תקציב החברה לפיתוח 2021 '!J57</f>
        <v>337758</v>
      </c>
      <c r="K57" s="173">
        <f>'תקציב החברה לפיתוח 2021 '!K57</f>
        <v>337758</v>
      </c>
      <c r="L57" s="173">
        <f>'תקציב החברה לפיתוח 2021 '!L57</f>
        <v>2525559</v>
      </c>
      <c r="M57" s="173">
        <f>'תקציב החברה לפיתוח 2021 '!M57</f>
        <v>74441</v>
      </c>
      <c r="N57" s="173">
        <f>'תקציב החברה לפיתוח 2021 '!N57</f>
        <v>0</v>
      </c>
      <c r="O57" s="173">
        <f>'תקציב החברה לפיתוח 2021 '!O57</f>
        <v>0</v>
      </c>
      <c r="P57" s="173">
        <f>'תקציב החברה לפיתוח 2021 '!P57</f>
        <v>74441</v>
      </c>
      <c r="Q57" s="173">
        <f>'תקציב החברה לפיתוח 2021 '!Q57</f>
        <v>0</v>
      </c>
      <c r="R57" s="173">
        <f>'תקציב החברה לפיתוח 2021 '!R57</f>
        <v>0</v>
      </c>
      <c r="S57" s="173">
        <f>'תקציב החברה לפיתוח 2021 '!S57</f>
        <v>0</v>
      </c>
      <c r="T57" s="173">
        <f>'תקציב החברה לפיתוח 2021 '!T57</f>
        <v>0</v>
      </c>
      <c r="U57" s="173">
        <f>'תקציב החברה לפיתוח 2021 '!U57</f>
        <v>0</v>
      </c>
      <c r="V57" s="173">
        <f>'תקציב החברה לפיתוח 2021 '!V57</f>
        <v>0</v>
      </c>
      <c r="W57" s="173">
        <f>'תקציב החברה לפיתוח 2021 '!W57</f>
        <v>0</v>
      </c>
      <c r="X57" s="173">
        <f>'תקציב החברה לפיתוח 2021 '!X57</f>
        <v>0</v>
      </c>
      <c r="Y57" s="173">
        <f>'תקציב החברה לפיתוח 2021 '!Y57</f>
        <v>0</v>
      </c>
      <c r="Z57" s="173">
        <f>'תקציב החברה לפיתוח 2021 '!Z57</f>
        <v>0</v>
      </c>
      <c r="AA57" s="173">
        <f>'תקציב החברה לפיתוח 2021 '!AA57</f>
        <v>0</v>
      </c>
      <c r="AB57" s="293" t="str">
        <f>'תקציב החברה לפיתוח 2021 '!AB57</f>
        <v xml:space="preserve">בניית גן ילדים במתחם זרובבל. ח-ן סופיים. </v>
      </c>
      <c r="AC57" s="172">
        <f>'תקציב החברה לפיתוח 2021 '!AC57</f>
        <v>810000</v>
      </c>
      <c r="AD57" s="284"/>
      <c r="AE57" s="284"/>
      <c r="AF57" s="166"/>
      <c r="AG57" s="166"/>
      <c r="AH57" s="166"/>
      <c r="AI57" s="166"/>
      <c r="AJ57" s="166"/>
    </row>
    <row r="58" spans="1:36" s="176" customFormat="1" ht="30" customHeight="1">
      <c r="A58" s="172">
        <f t="shared" si="0"/>
        <v>54</v>
      </c>
      <c r="B58" s="172">
        <f>'תקציב החברה לפיתוח 2021 '!B58</f>
        <v>2026</v>
      </c>
      <c r="C58" s="326" t="str">
        <f>'תקציב החברה לפיתוח 2021 '!C58</f>
        <v>גן רשל, גנ"י בבי"ס אילנות</v>
      </c>
      <c r="D58" s="173">
        <f>'תקציב החברה לפיתוח 2021 '!D58</f>
        <v>8200000</v>
      </c>
      <c r="E58" s="173">
        <f>'תקציב החברה לפיתוח 2021 '!E58</f>
        <v>8200000</v>
      </c>
      <c r="F58" s="173">
        <f>'תקציב החברה לפיתוח 2021 '!F58</f>
        <v>0</v>
      </c>
      <c r="G58" s="173">
        <f>'תקציב החברה לפיתוח 2021 '!G58</f>
        <v>8200000</v>
      </c>
      <c r="H58" s="173">
        <f>'תקציב החברה לפיתוח 2021 '!H58</f>
        <v>7555196</v>
      </c>
      <c r="I58" s="173">
        <f>'תקציב החברה לפיתוח 2021 '!I58</f>
        <v>0</v>
      </c>
      <c r="J58" s="173">
        <f>'תקציב החברה לפיתוח 2021 '!J58</f>
        <v>257213</v>
      </c>
      <c r="K58" s="173">
        <f>'תקציב החברה לפיתוח 2021 '!K58</f>
        <v>257213</v>
      </c>
      <c r="L58" s="173">
        <f>'תקציב החברה לפיתוח 2021 '!L58</f>
        <v>7812409</v>
      </c>
      <c r="M58" s="173">
        <f>'תקציב החברה לפיתוח 2021 '!M58</f>
        <v>387591</v>
      </c>
      <c r="N58" s="173">
        <f>'תקציב החברה לפיתוח 2021 '!N58</f>
        <v>0</v>
      </c>
      <c r="O58" s="173">
        <f>'תקציב החברה לפיתוח 2021 '!O58</f>
        <v>0</v>
      </c>
      <c r="P58" s="173">
        <f>'תקציב החברה לפיתוח 2021 '!P58</f>
        <v>387591</v>
      </c>
      <c r="Q58" s="173">
        <f>'תקציב החברה לפיתוח 2021 '!Q58</f>
        <v>0</v>
      </c>
      <c r="R58" s="173">
        <f>'תקציב החברה לפיתוח 2021 '!R58</f>
        <v>0</v>
      </c>
      <c r="S58" s="173">
        <f>'תקציב החברה לפיתוח 2021 '!S58</f>
        <v>0</v>
      </c>
      <c r="T58" s="173">
        <f>'תקציב החברה לפיתוח 2021 '!T58</f>
        <v>0</v>
      </c>
      <c r="U58" s="173">
        <f>'תקציב החברה לפיתוח 2021 '!U58</f>
        <v>0</v>
      </c>
      <c r="V58" s="173">
        <f>'תקציב החברה לפיתוח 2021 '!V58</f>
        <v>0</v>
      </c>
      <c r="W58" s="173">
        <f>'תקציב החברה לפיתוח 2021 '!W58</f>
        <v>0</v>
      </c>
      <c r="X58" s="173">
        <f>'תקציב החברה לפיתוח 2021 '!X58</f>
        <v>0</v>
      </c>
      <c r="Y58" s="173">
        <f>'תקציב החברה לפיתוח 2021 '!Y58</f>
        <v>0</v>
      </c>
      <c r="Z58" s="173">
        <f>'תקציב החברה לפיתוח 2021 '!Z58</f>
        <v>0</v>
      </c>
      <c r="AA58" s="173">
        <f>'תקציב החברה לפיתוח 2021 '!AA58</f>
        <v>0</v>
      </c>
      <c r="AB58" s="293" t="str">
        <f>'תקציב החברה לפיתוח 2021 '!AB58</f>
        <v xml:space="preserve">בניית גנ"י - גן רשל ובב"ס אילנות. ח-ן סופיים. </v>
      </c>
      <c r="AC58" s="172">
        <f>'תקציב החברה לפיתוח 2021 '!AC58</f>
        <v>810000</v>
      </c>
      <c r="AD58" s="284"/>
      <c r="AE58" s="284"/>
      <c r="AF58" s="166"/>
      <c r="AG58" s="166"/>
      <c r="AH58" s="166"/>
      <c r="AI58" s="166"/>
      <c r="AJ58" s="166"/>
    </row>
    <row r="59" spans="1:36" ht="30" customHeight="1">
      <c r="A59" s="172">
        <f t="shared" si="0"/>
        <v>55</v>
      </c>
      <c r="B59" s="172">
        <f>'תקציב החברה לפיתוח 2021 '!B59</f>
        <v>2059</v>
      </c>
      <c r="C59" s="326" t="str">
        <f>'תקציב החברה לפיתוח 2021 '!C59</f>
        <v>פיתוח מתחם מבנה משכן אומנים</v>
      </c>
      <c r="D59" s="173">
        <f>'תקציב החברה לפיתוח 2021 '!D59</f>
        <v>2610000</v>
      </c>
      <c r="E59" s="173">
        <f>'תקציב החברה לפיתוח 2021 '!E59</f>
        <v>2610000</v>
      </c>
      <c r="F59" s="173">
        <f>'תקציב החברה לפיתוח 2021 '!F59</f>
        <v>0</v>
      </c>
      <c r="G59" s="173">
        <f>'תקציב החברה לפיתוח 2021 '!G59</f>
        <v>350000</v>
      </c>
      <c r="H59" s="173">
        <f>'תקציב החברה לפיתוח 2021 '!H59</f>
        <v>128100</v>
      </c>
      <c r="I59" s="173">
        <f>'תקציב החברה לפיתוח 2021 '!I59</f>
        <v>0</v>
      </c>
      <c r="J59" s="173">
        <f>'תקציב החברה לפיתוח 2021 '!J59</f>
        <v>221713</v>
      </c>
      <c r="K59" s="173">
        <f>'תקציב החברה לפיתוח 2021 '!K59</f>
        <v>221713</v>
      </c>
      <c r="L59" s="173">
        <f>'תקציב החברה לפיתוח 2021 '!L59</f>
        <v>349813</v>
      </c>
      <c r="M59" s="173">
        <f>'תקציב החברה לפיתוח 2021 '!M59</f>
        <v>187</v>
      </c>
      <c r="N59" s="173">
        <f>'תקציב החברה לפיתוח 2021 '!N59</f>
        <v>0</v>
      </c>
      <c r="O59" s="173">
        <f>'תקציב החברה לפיתוח 2021 '!O59</f>
        <v>2260000</v>
      </c>
      <c r="P59" s="173">
        <f>'תקציב החברה לפיתוח 2021 '!P59</f>
        <v>187</v>
      </c>
      <c r="Q59" s="173">
        <f>'תקציב החברה לפיתוח 2021 '!Q59</f>
        <v>0</v>
      </c>
      <c r="R59" s="173">
        <f>'תקציב החברה לפיתוח 2021 '!R59</f>
        <v>0</v>
      </c>
      <c r="S59" s="173">
        <f>'תקציב החברה לפיתוח 2021 '!S59</f>
        <v>0</v>
      </c>
      <c r="T59" s="173">
        <f>'תקציב החברה לפיתוח 2021 '!T59</f>
        <v>0</v>
      </c>
      <c r="U59" s="173">
        <f>'תקציב החברה לפיתוח 2021 '!U59</f>
        <v>0</v>
      </c>
      <c r="V59" s="173">
        <f>'תקציב החברה לפיתוח 2021 '!V59</f>
        <v>0</v>
      </c>
      <c r="W59" s="173">
        <f>'תקציב החברה לפיתוח 2021 '!W59</f>
        <v>0</v>
      </c>
      <c r="X59" s="173">
        <f>'תקציב החברה לפיתוח 2021 '!X59</f>
        <v>0</v>
      </c>
      <c r="Y59" s="173">
        <f>'תקציב החברה לפיתוח 2021 '!Y59</f>
        <v>0</v>
      </c>
      <c r="Z59" s="173">
        <f>'תקציב החברה לפיתוח 2021 '!Z59</f>
        <v>0</v>
      </c>
      <c r="AA59" s="173">
        <f>'תקציב החברה לפיתוח 2021 '!AA59</f>
        <v>0</v>
      </c>
      <c r="AB59" s="293" t="str">
        <f>'תקציב החברה לפיתוח 2021 '!AB59</f>
        <v>פיתוח מתחם ומבנה משכן האומנים בגבעת הסופר.</v>
      </c>
      <c r="AC59" s="172">
        <f>'תקציב החברה לפיתוח 2021 '!AC59</f>
        <v>826000</v>
      </c>
    </row>
    <row r="60" spans="1:36" ht="30" customHeight="1">
      <c r="A60" s="172">
        <f t="shared" si="0"/>
        <v>56</v>
      </c>
      <c r="B60" s="172">
        <f>'תקציב החברה לפיתוח 2021 '!B60</f>
        <v>2064</v>
      </c>
      <c r="C60" s="326" t="str">
        <f>'תקציב החברה לפיתוח 2021 '!C60</f>
        <v>שיפוץ אולם ספורט היובל</v>
      </c>
      <c r="D60" s="173">
        <f>'תקציב החברה לפיתוח 2021 '!D60</f>
        <v>6281000</v>
      </c>
      <c r="E60" s="173">
        <f>'תקציב החברה לפיתוח 2021 '!E60</f>
        <v>6281000</v>
      </c>
      <c r="F60" s="173">
        <f>'תקציב החברה לפיתוח 2021 '!F60</f>
        <v>0</v>
      </c>
      <c r="G60" s="173">
        <f>'תקציב החברה לפיתוח 2021 '!G60</f>
        <v>864000</v>
      </c>
      <c r="H60" s="173">
        <f>'תקציב החברה לפיתוח 2021 '!H60</f>
        <v>833705</v>
      </c>
      <c r="I60" s="173">
        <f>'תקציב החברה לפיתוח 2021 '!I60</f>
        <v>0</v>
      </c>
      <c r="J60" s="173">
        <f>'תקציב החברה לפיתוח 2021 '!J60</f>
        <v>21262</v>
      </c>
      <c r="K60" s="173">
        <f>'תקציב החברה לפיתוח 2021 '!K60</f>
        <v>21262</v>
      </c>
      <c r="L60" s="173">
        <f>'תקציב החברה לפיתוח 2021 '!L60</f>
        <v>854967</v>
      </c>
      <c r="M60" s="173">
        <f>'תקציב החברה לפיתוח 2021 '!M60</f>
        <v>9033</v>
      </c>
      <c r="N60" s="173">
        <f>'תקציב החברה לפיתוח 2021 '!N60</f>
        <v>0</v>
      </c>
      <c r="O60" s="173">
        <f>'תקציב החברה לפיתוח 2021 '!O60</f>
        <v>5417000</v>
      </c>
      <c r="P60" s="173">
        <f>'תקציב החברה לפיתוח 2021 '!P60</f>
        <v>9033</v>
      </c>
      <c r="Q60" s="173">
        <f>'תקציב החברה לפיתוח 2021 '!Q60</f>
        <v>0</v>
      </c>
      <c r="R60" s="173">
        <f>'תקציב החברה לפיתוח 2021 '!R60</f>
        <v>0</v>
      </c>
      <c r="S60" s="173">
        <f>'תקציב החברה לפיתוח 2021 '!S60</f>
        <v>0</v>
      </c>
      <c r="T60" s="173">
        <f>'תקציב החברה לפיתוח 2021 '!T60</f>
        <v>0</v>
      </c>
      <c r="U60" s="173">
        <f>'תקציב החברה לפיתוח 2021 '!U60</f>
        <v>0</v>
      </c>
      <c r="V60" s="173">
        <f>'תקציב החברה לפיתוח 2021 '!V60</f>
        <v>0</v>
      </c>
      <c r="W60" s="173">
        <f>'תקציב החברה לפיתוח 2021 '!W60</f>
        <v>0</v>
      </c>
      <c r="X60" s="173">
        <f>'תקציב החברה לפיתוח 2021 '!X60</f>
        <v>0</v>
      </c>
      <c r="Y60" s="173">
        <f>'תקציב החברה לפיתוח 2021 '!Y60</f>
        <v>0</v>
      </c>
      <c r="Z60" s="173">
        <f>'תקציב החברה לפיתוח 2021 '!Z60</f>
        <v>0</v>
      </c>
      <c r="AA60" s="173">
        <f>'תקציב החברה לפיתוח 2021 '!AA60</f>
        <v>0</v>
      </c>
      <c r="AB60" s="293" t="str">
        <f>'תקציב החברה לפיתוח 2021 '!AB60</f>
        <v xml:space="preserve">שיפוץ אולם ספורט היובל כולל פיתוח המבואה והמתחם. </v>
      </c>
      <c r="AC60" s="172">
        <f>'תקציב החברה לפיתוח 2021 '!AC60</f>
        <v>829000</v>
      </c>
    </row>
    <row r="61" spans="1:36" ht="42">
      <c r="A61" s="172">
        <f t="shared" si="0"/>
        <v>57</v>
      </c>
      <c r="B61" s="172">
        <f>'תקציב החברה לפיתוח 2021 '!B61</f>
        <v>2073</v>
      </c>
      <c r="C61" s="326" t="str">
        <f>'תקציב החברה לפיתוח 2021 '!C61</f>
        <v>בי"ס ואולם ספורט ויצמן  תכנון וביצוע  (*) עדכון שם</v>
      </c>
      <c r="D61" s="173">
        <f>'תקציב החברה לפיתוח 2021 '!D61</f>
        <v>11350000</v>
      </c>
      <c r="E61" s="173">
        <f>'תקציב החברה לפיתוח 2021 '!E61</f>
        <v>11350000</v>
      </c>
      <c r="F61" s="173">
        <f>'תקציב החברה לפיתוח 2021 '!F61</f>
        <v>0</v>
      </c>
      <c r="G61" s="173">
        <f>'תקציב החברה לפיתוח 2021 '!G61</f>
        <v>850000</v>
      </c>
      <c r="H61" s="173">
        <f>'תקציב החברה לפיתוח 2021 '!H61</f>
        <v>23564</v>
      </c>
      <c r="I61" s="173">
        <f>'תקציב החברה לפיתוח 2021 '!I61</f>
        <v>0</v>
      </c>
      <c r="J61" s="173">
        <f>'תקציב החברה לפיתוח 2021 '!J61</f>
        <v>93436</v>
      </c>
      <c r="K61" s="173">
        <f>'תקציב החברה לפיתוח 2021 '!K61</f>
        <v>93436</v>
      </c>
      <c r="L61" s="173">
        <f>'תקציב החברה לפיתוח 2021 '!L61</f>
        <v>117000</v>
      </c>
      <c r="M61" s="173">
        <f>'תקציב החברה לפיתוח 2021 '!M61</f>
        <v>733000</v>
      </c>
      <c r="N61" s="173">
        <f>'תקציב החברה לפיתוח 2021 '!N61</f>
        <v>750000</v>
      </c>
      <c r="O61" s="173">
        <f>'תקציב החברה לפיתוח 2021 '!O61</f>
        <v>9750000</v>
      </c>
      <c r="P61" s="173">
        <f>'תקציב החברה לפיתוח 2021 '!P61</f>
        <v>733000</v>
      </c>
      <c r="Q61" s="173">
        <f>'תקציב החברה לפיתוח 2021 '!Q61</f>
        <v>0</v>
      </c>
      <c r="R61" s="173">
        <f>'תקציב החברה לפיתוח 2021 '!R61</f>
        <v>0</v>
      </c>
      <c r="S61" s="173">
        <f>'תקציב החברה לפיתוח 2021 '!S61</f>
        <v>0</v>
      </c>
      <c r="T61" s="173">
        <f>'תקציב החברה לפיתוח 2021 '!T61</f>
        <v>0</v>
      </c>
      <c r="U61" s="173">
        <f>'תקציב החברה לפיתוח 2021 '!U61</f>
        <v>750000</v>
      </c>
      <c r="V61" s="173">
        <f>'תקציב החברה לפיתוח 2021 '!V61</f>
        <v>750000</v>
      </c>
      <c r="W61" s="173">
        <f>'תקציב החברה לפיתוח 2021 '!W61</f>
        <v>0</v>
      </c>
      <c r="X61" s="173">
        <f>'תקציב החברה לפיתוח 2021 '!X61</f>
        <v>0</v>
      </c>
      <c r="Y61" s="173">
        <f>'תקציב החברה לפיתוח 2021 '!Y61</f>
        <v>0</v>
      </c>
      <c r="Z61" s="173">
        <f>'תקציב החברה לפיתוח 2021 '!Z61</f>
        <v>0</v>
      </c>
      <c r="AA61" s="173">
        <f>'תקציב החברה לפיתוח 2021 '!AA61</f>
        <v>0</v>
      </c>
      <c r="AB61" s="293" t="str">
        <f>'תקציב החברה לפיתוח 2021 '!AB61</f>
        <v xml:space="preserve">תוספת מבנה של 24 כיתות   ואולם ספורט חדש בבי"ס ויצמן. ב - 2021: תכנון. </v>
      </c>
      <c r="AC61" s="172">
        <f>'תקציב החברה לפיתוח 2021 '!AC61</f>
        <v>829000</v>
      </c>
    </row>
    <row r="62" spans="1:36" ht="30" customHeight="1">
      <c r="A62" s="172">
        <f t="shared" si="0"/>
        <v>58</v>
      </c>
      <c r="B62" s="172">
        <f>'תקציב החברה לפיתוח 2021 '!B62</f>
        <v>2076</v>
      </c>
      <c r="C62" s="326" t="str">
        <f>'תקציב החברה לפיתוח 2021 '!C62</f>
        <v>עבודות פיתוח בכנ"ס אברהם אבינו</v>
      </c>
      <c r="D62" s="173">
        <f>'תקציב החברה לפיתוח 2021 '!D62</f>
        <v>2350000</v>
      </c>
      <c r="E62" s="173">
        <f>'תקציב החברה לפיתוח 2021 '!E62</f>
        <v>1450000</v>
      </c>
      <c r="F62" s="173">
        <f>'תקציב החברה לפיתוח 2021 '!F62</f>
        <v>900000</v>
      </c>
      <c r="G62" s="173">
        <f>'תקציב החברה לפיתוח 2021 '!G62</f>
        <v>1450000</v>
      </c>
      <c r="H62" s="173">
        <f>'תקציב החברה לפיתוח 2021 '!H62</f>
        <v>35648</v>
      </c>
      <c r="I62" s="173">
        <f>'תקציב החברה לפיתוח 2021 '!I62</f>
        <v>0</v>
      </c>
      <c r="J62" s="173">
        <f>'תקציב החברה לפיתוח 2021 '!J62</f>
        <v>214350</v>
      </c>
      <c r="K62" s="173">
        <f>'תקציב החברה לפיתוח 2021 '!K62</f>
        <v>214350</v>
      </c>
      <c r="L62" s="173">
        <f>'תקציב החברה לפיתוח 2021 '!L62</f>
        <v>249998</v>
      </c>
      <c r="M62" s="173">
        <f>'תקציב החברה לפיתוח 2021 '!M62</f>
        <v>1200002</v>
      </c>
      <c r="N62" s="173">
        <f>'תקציב החברה לפיתוח 2021 '!N62</f>
        <v>0</v>
      </c>
      <c r="O62" s="173">
        <f>'תקציב החברה לפיתוח 2021 '!O62</f>
        <v>900000</v>
      </c>
      <c r="P62" s="173">
        <f>'תקציב החברה לפיתוח 2021 '!P62</f>
        <v>1200002</v>
      </c>
      <c r="Q62" s="173">
        <f>'תקציב החברה לפיתוח 2021 '!Q62</f>
        <v>0</v>
      </c>
      <c r="R62" s="173">
        <f>'תקציב החברה לפיתוח 2021 '!R62</f>
        <v>0</v>
      </c>
      <c r="S62" s="173">
        <f>'תקציב החברה לפיתוח 2021 '!S62</f>
        <v>0</v>
      </c>
      <c r="T62" s="173">
        <f>'תקציב החברה לפיתוח 2021 '!T62</f>
        <v>0</v>
      </c>
      <c r="U62" s="173">
        <f>'תקציב החברה לפיתוח 2021 '!U62</f>
        <v>0</v>
      </c>
      <c r="V62" s="173">
        <f>'תקציב החברה לפיתוח 2021 '!V62</f>
        <v>0</v>
      </c>
      <c r="W62" s="173">
        <f>'תקציב החברה לפיתוח 2021 '!W62</f>
        <v>0</v>
      </c>
      <c r="X62" s="173">
        <f>'תקציב החברה לפיתוח 2021 '!X62</f>
        <v>0</v>
      </c>
      <c r="Y62" s="173">
        <f>'תקציב החברה לפיתוח 2021 '!Y62</f>
        <v>0</v>
      </c>
      <c r="Z62" s="173">
        <f>'תקציב החברה לפיתוח 2021 '!Z62</f>
        <v>0</v>
      </c>
      <c r="AA62" s="173">
        <f>'תקציב החברה לפיתוח 2021 '!AA62</f>
        <v>0</v>
      </c>
      <c r="AB62" s="293" t="str">
        <f>'תקציב החברה לפיתוח 2021 '!AB62</f>
        <v>עבודות פיתוח ביכנ"ס "אברהם אבינו" בשכונת יד התשעה.</v>
      </c>
      <c r="AC62" s="172">
        <f>'תקציב החברה לפיתוח 2021 '!AC62</f>
        <v>850000</v>
      </c>
    </row>
    <row r="63" spans="1:36" s="5" customFormat="1" ht="30" customHeight="1">
      <c r="A63" s="172">
        <f t="shared" si="0"/>
        <v>59</v>
      </c>
      <c r="B63" s="172">
        <f>'תקציב החברה לפיתוח 2021 '!B63</f>
        <v>2078</v>
      </c>
      <c r="C63" s="326" t="str">
        <f>'תקציב החברה לפיתוח 2021 '!C63</f>
        <v>נילי - עבודות פיתוח והסדרת תנועה</v>
      </c>
      <c r="D63" s="173">
        <f>'תקציב החברה לפיתוח 2021 '!D63</f>
        <v>4200000</v>
      </c>
      <c r="E63" s="173">
        <f>'תקציב החברה לפיתוח 2021 '!E63</f>
        <v>4200000</v>
      </c>
      <c r="F63" s="173">
        <f>'תקציב החברה לפיתוח 2021 '!F63</f>
        <v>0</v>
      </c>
      <c r="G63" s="173">
        <f>'תקציב החברה לפיתוח 2021 '!G63</f>
        <v>1960000</v>
      </c>
      <c r="H63" s="173">
        <f>'תקציב החברה לפיתוח 2021 '!H63</f>
        <v>156098</v>
      </c>
      <c r="I63" s="173">
        <f>'תקציב החברה לפיתוח 2021 '!I63</f>
        <v>0</v>
      </c>
      <c r="J63" s="173">
        <f>'תקציב החברה לפיתוח 2021 '!J63</f>
        <v>43900</v>
      </c>
      <c r="K63" s="173">
        <f>'תקציב החברה לפיתוח 2021 '!K63</f>
        <v>43900</v>
      </c>
      <c r="L63" s="173">
        <f>'תקציב החברה לפיתוח 2021 '!L63</f>
        <v>199998</v>
      </c>
      <c r="M63" s="173">
        <f>'תקציב החברה לפיתוח 2021 '!M63</f>
        <v>1760002</v>
      </c>
      <c r="N63" s="173">
        <f>'תקציב החברה לפיתוח 2021 '!N63</f>
        <v>0</v>
      </c>
      <c r="O63" s="173">
        <f>'תקציב החברה לפיתוח 2021 '!O63</f>
        <v>2240000</v>
      </c>
      <c r="P63" s="173">
        <f>'תקציב החברה לפיתוח 2021 '!P63</f>
        <v>1760002</v>
      </c>
      <c r="Q63" s="173">
        <f>'תקציב החברה לפיתוח 2021 '!Q63</f>
        <v>0</v>
      </c>
      <c r="R63" s="173">
        <f>'תקציב החברה לפיתוח 2021 '!R63</f>
        <v>0</v>
      </c>
      <c r="S63" s="173">
        <f>'תקציב החברה לפיתוח 2021 '!S63</f>
        <v>0</v>
      </c>
      <c r="T63" s="173">
        <f>'תקציב החברה לפיתוח 2021 '!T63</f>
        <v>0</v>
      </c>
      <c r="U63" s="173">
        <f>'תקציב החברה לפיתוח 2021 '!U63</f>
        <v>0</v>
      </c>
      <c r="V63" s="173">
        <f>'תקציב החברה לפיתוח 2021 '!V63</f>
        <v>0</v>
      </c>
      <c r="W63" s="173">
        <f>'תקציב החברה לפיתוח 2021 '!W63</f>
        <v>0</v>
      </c>
      <c r="X63" s="173">
        <f>'תקציב החברה לפיתוח 2021 '!X63</f>
        <v>0</v>
      </c>
      <c r="Y63" s="173">
        <f>'תקציב החברה לפיתוח 2021 '!Y63</f>
        <v>0</v>
      </c>
      <c r="Z63" s="173">
        <f>'תקציב החברה לפיתוח 2021 '!Z63</f>
        <v>0</v>
      </c>
      <c r="AA63" s="173">
        <f>'תקציב החברה לפיתוח 2021 '!AA63</f>
        <v>0</v>
      </c>
      <c r="AB63" s="293" t="str">
        <f>'תקציב החברה לפיתוח 2021 '!AB63</f>
        <v>לאור החלטת בימ"ש שהעיריה תבצע שינויים גיאומטרים וקיר.</v>
      </c>
      <c r="AC63" s="172">
        <f>'תקציב החברה לפיתוח 2021 '!AC63</f>
        <v>742000</v>
      </c>
      <c r="AD63" s="284"/>
      <c r="AE63" s="284"/>
      <c r="AF63" s="166"/>
      <c r="AG63" s="166"/>
      <c r="AH63" s="166"/>
      <c r="AI63" s="166"/>
      <c r="AJ63" s="166"/>
    </row>
    <row r="64" spans="1:36" ht="28">
      <c r="A64" s="172">
        <f t="shared" si="0"/>
        <v>60</v>
      </c>
      <c r="B64" s="172">
        <f>'תקציב החברה לפיתוח 2021 '!B64</f>
        <v>2079</v>
      </c>
      <c r="C64" s="326" t="str">
        <f>'תקציב החברה לפיתוח 2021 '!C64</f>
        <v>שיפוץ בית הורים</v>
      </c>
      <c r="D64" s="173">
        <f>'תקציב החברה לפיתוח 2021 '!D64</f>
        <v>3100000</v>
      </c>
      <c r="E64" s="173">
        <f>'תקציב החברה לפיתוח 2021 '!E64</f>
        <v>3100000</v>
      </c>
      <c r="F64" s="173">
        <f>'תקציב החברה לפיתוח 2021 '!F64</f>
        <v>0</v>
      </c>
      <c r="G64" s="173">
        <f>'תקציב החברה לפיתוח 2021 '!G64</f>
        <v>500000</v>
      </c>
      <c r="H64" s="173">
        <f>'תקציב החברה לפיתוח 2021 '!H64</f>
        <v>82663</v>
      </c>
      <c r="I64" s="173">
        <f>'תקציב החברה לפיתוח 2021 '!I64</f>
        <v>0</v>
      </c>
      <c r="J64" s="173">
        <f>'תקציב החברה לפיתוח 2021 '!J64</f>
        <v>417337</v>
      </c>
      <c r="K64" s="173">
        <f>'תקציב החברה לפיתוח 2021 '!K64</f>
        <v>417337</v>
      </c>
      <c r="L64" s="173">
        <f>'תקציב החברה לפיתוח 2021 '!L64</f>
        <v>500000</v>
      </c>
      <c r="M64" s="173">
        <f>'תקציב החברה לפיתוח 2021 '!M64</f>
        <v>0</v>
      </c>
      <c r="N64" s="173">
        <f>'תקציב החברה לפיתוח 2021 '!N64</f>
        <v>2600000</v>
      </c>
      <c r="O64" s="173">
        <f>'תקציב החברה לפיתוח 2021 '!O64</f>
        <v>0</v>
      </c>
      <c r="P64" s="173">
        <f>'תקציב החברה לפיתוח 2021 '!P64</f>
        <v>0</v>
      </c>
      <c r="Q64" s="173">
        <f>'תקציב החברה לפיתוח 2021 '!Q64</f>
        <v>0</v>
      </c>
      <c r="R64" s="173">
        <f>'תקציב החברה לפיתוח 2021 '!R64</f>
        <v>0</v>
      </c>
      <c r="S64" s="173">
        <f>'תקציב החברה לפיתוח 2021 '!S64</f>
        <v>0</v>
      </c>
      <c r="T64" s="173">
        <f>'תקציב החברה לפיתוח 2021 '!T64</f>
        <v>0</v>
      </c>
      <c r="U64" s="173">
        <f>'תקציב החברה לפיתוח 2021 '!U64</f>
        <v>2600000</v>
      </c>
      <c r="V64" s="173">
        <f>'תקציב החברה לפיתוח 2021 '!V64</f>
        <v>2600000</v>
      </c>
      <c r="W64" s="173">
        <f>'תקציב החברה לפיתוח 2021 '!W64</f>
        <v>0</v>
      </c>
      <c r="X64" s="173">
        <f>'תקציב החברה לפיתוח 2021 '!X64</f>
        <v>0</v>
      </c>
      <c r="Y64" s="173">
        <f>'תקציב החברה לפיתוח 2021 '!Y64</f>
        <v>0</v>
      </c>
      <c r="Z64" s="173">
        <f>'תקציב החברה לפיתוח 2021 '!Z64</f>
        <v>0</v>
      </c>
      <c r="AA64" s="173">
        <f>'תקציב החברה לפיתוח 2021 '!AA64</f>
        <v>0</v>
      </c>
      <c r="AB64" s="293" t="str">
        <f>'תקציב החברה לפיתוח 2021 '!AB64</f>
        <v xml:space="preserve">עבודות שיפוץ בית ההורים ברחוב אנה פרנק. עבודות שדרוג ושיפוץ כללי. </v>
      </c>
      <c r="AC64" s="172">
        <f>'תקציב החברה לפיתוח 2021 '!AC64</f>
        <v>840000</v>
      </c>
    </row>
    <row r="65" spans="1:36" ht="30" customHeight="1">
      <c r="A65" s="172">
        <f t="shared" si="0"/>
        <v>61</v>
      </c>
      <c r="B65" s="172">
        <f>'תקציב החברה לפיתוח 2021 '!B65</f>
        <v>2080</v>
      </c>
      <c r="C65" s="326" t="str">
        <f>'תקציב החברה לפיתוח 2021 '!C65</f>
        <v>הכשרת החוף הנפרד</v>
      </c>
      <c r="D65" s="173">
        <f>'תקציב החברה לפיתוח 2021 '!D65</f>
        <v>2400000</v>
      </c>
      <c r="E65" s="173">
        <f>'תקציב החברה לפיתוח 2021 '!E65</f>
        <v>2400000</v>
      </c>
      <c r="F65" s="173">
        <f>'תקציב החברה לפיתוח 2021 '!F65</f>
        <v>0</v>
      </c>
      <c r="G65" s="173">
        <f>'תקציב החברה לפיתוח 2021 '!G65</f>
        <v>2400000</v>
      </c>
      <c r="H65" s="173">
        <f>'תקציב החברה לפיתוח 2021 '!H65</f>
        <v>1705114</v>
      </c>
      <c r="I65" s="173">
        <f>'תקציב החברה לפיתוח 2021 '!I65</f>
        <v>0</v>
      </c>
      <c r="J65" s="173">
        <f>'תקציב החברה לפיתוח 2021 '!J65</f>
        <v>262255</v>
      </c>
      <c r="K65" s="173">
        <f>'תקציב החברה לפיתוח 2021 '!K65</f>
        <v>262255</v>
      </c>
      <c r="L65" s="173">
        <f>'תקציב החברה לפיתוח 2021 '!L65</f>
        <v>1967369</v>
      </c>
      <c r="M65" s="173">
        <f>'תקציב החברה לפיתוח 2021 '!M65</f>
        <v>432631</v>
      </c>
      <c r="N65" s="173">
        <f>'תקציב החברה לפיתוח 2021 '!N65</f>
        <v>0</v>
      </c>
      <c r="O65" s="173">
        <f>'תקציב החברה לפיתוח 2021 '!O65</f>
        <v>0</v>
      </c>
      <c r="P65" s="173">
        <f>'תקציב החברה לפיתוח 2021 '!P65</f>
        <v>432631</v>
      </c>
      <c r="Q65" s="173">
        <f>'תקציב החברה לפיתוח 2021 '!Q65</f>
        <v>0</v>
      </c>
      <c r="R65" s="173">
        <f>'תקציב החברה לפיתוח 2021 '!R65</f>
        <v>0</v>
      </c>
      <c r="S65" s="173">
        <f>'תקציב החברה לפיתוח 2021 '!S65</f>
        <v>0</v>
      </c>
      <c r="T65" s="173">
        <f>'תקציב החברה לפיתוח 2021 '!T65</f>
        <v>0</v>
      </c>
      <c r="U65" s="173">
        <f>'תקציב החברה לפיתוח 2021 '!U65</f>
        <v>0</v>
      </c>
      <c r="V65" s="173">
        <f>'תקציב החברה לפיתוח 2021 '!V65</f>
        <v>0</v>
      </c>
      <c r="W65" s="173">
        <f>'תקציב החברה לפיתוח 2021 '!W65</f>
        <v>0</v>
      </c>
      <c r="X65" s="173">
        <f>'תקציב החברה לפיתוח 2021 '!X65</f>
        <v>0</v>
      </c>
      <c r="Y65" s="173">
        <f>'תקציב החברה לפיתוח 2021 '!Y65</f>
        <v>0</v>
      </c>
      <c r="Z65" s="173">
        <f>'תקציב החברה לפיתוח 2021 '!Z65</f>
        <v>0</v>
      </c>
      <c r="AA65" s="173">
        <f>'תקציב החברה לפיתוח 2021 '!AA65</f>
        <v>0</v>
      </c>
      <c r="AB65" s="293" t="str">
        <f>'תקציב החברה לפיתוח 2021 '!AB65</f>
        <v>עבודות הכשרת החוף הנפרד, מעברים ושיפוץ כולל גשר מעבר. ח-ן סופיים.</v>
      </c>
      <c r="AC65" s="172">
        <f>'תקציב החברה לפיתוח 2021 '!AC65</f>
        <v>747000</v>
      </c>
    </row>
    <row r="66" spans="1:36" ht="49.25" customHeight="1">
      <c r="A66" s="172">
        <f t="shared" si="0"/>
        <v>62</v>
      </c>
      <c r="B66" s="172">
        <f>'תקציב החברה לפיתוח 2021 '!B66</f>
        <v>2097</v>
      </c>
      <c r="C66" s="326" t="str">
        <f>'תקציב החברה לפיתוח 2021 '!C66</f>
        <v>בית ספר בן גוריון</v>
      </c>
      <c r="D66" s="173">
        <f>'תקציב החברה לפיתוח 2021 '!D66</f>
        <v>79000000</v>
      </c>
      <c r="E66" s="173">
        <f>'תקציב החברה לפיתוח 2021 '!E66</f>
        <v>79000000</v>
      </c>
      <c r="F66" s="173">
        <f>'תקציב החברה לפיתוח 2021 '!F66</f>
        <v>0</v>
      </c>
      <c r="G66" s="173">
        <f>'תקציב החברה לפיתוח 2021 '!G66</f>
        <v>6000000</v>
      </c>
      <c r="H66" s="173">
        <f>'תקציב החברה לפיתוח 2021 '!H66</f>
        <v>740499</v>
      </c>
      <c r="I66" s="173">
        <f>'תקציב החברה לפיתוח 2021 '!I66</f>
        <v>0</v>
      </c>
      <c r="J66" s="173">
        <f>'תקציב החברה לפיתוח 2021 '!J66</f>
        <v>109903</v>
      </c>
      <c r="K66" s="173">
        <f>'תקציב החברה לפיתוח 2021 '!K66</f>
        <v>109903</v>
      </c>
      <c r="L66" s="173">
        <f>'תקציב החברה לפיתוח 2021 '!L66</f>
        <v>850402</v>
      </c>
      <c r="M66" s="173">
        <f>'תקציב החברה לפיתוח 2021 '!M66</f>
        <v>5149598</v>
      </c>
      <c r="N66" s="173">
        <f>'תקציב החברה לפיתוח 2021 '!N66</f>
        <v>0</v>
      </c>
      <c r="O66" s="173">
        <f>'תקציב החברה לפיתוח 2021 '!O66</f>
        <v>73000000</v>
      </c>
      <c r="P66" s="173">
        <f>'תקציב החברה לפיתוח 2021 '!P66</f>
        <v>5149598</v>
      </c>
      <c r="Q66" s="173">
        <f>'תקציב החברה לפיתוח 2021 '!Q66</f>
        <v>0</v>
      </c>
      <c r="R66" s="173">
        <f>'תקציב החברה לפיתוח 2021 '!R66</f>
        <v>0</v>
      </c>
      <c r="S66" s="173">
        <f>'תקציב החברה לפיתוח 2021 '!S66</f>
        <v>0</v>
      </c>
      <c r="T66" s="173">
        <f>'תקציב החברה לפיתוח 2021 '!T66</f>
        <v>0</v>
      </c>
      <c r="U66" s="173">
        <f>'תקציב החברה לפיתוח 2021 '!U66</f>
        <v>0</v>
      </c>
      <c r="V66" s="173">
        <f>'תקציב החברה לפיתוח 2021 '!V66</f>
        <v>0</v>
      </c>
      <c r="W66" s="173">
        <f>'תקציב החברה לפיתוח 2021 '!W66</f>
        <v>0</v>
      </c>
      <c r="X66" s="173">
        <f>'תקציב החברה לפיתוח 2021 '!X66</f>
        <v>0</v>
      </c>
      <c r="Y66" s="173">
        <f>'תקציב החברה לפיתוח 2021 '!Y66</f>
        <v>0</v>
      </c>
      <c r="Z66" s="173">
        <f>'תקציב החברה לפיתוח 2021 '!Z66</f>
        <v>0</v>
      </c>
      <c r="AA66" s="173">
        <f>'תקציב החברה לפיתוח 2021 '!AA66</f>
        <v>0</v>
      </c>
      <c r="AB66" s="293" t="str">
        <f>'תקציב החברה לפיתוח 2021 '!AB66</f>
        <v xml:space="preserve">תכנון שיפוץ/הריסה ובניה מחדש של בי"ס. הריסה של 18 כיתות,4 כיתות גן ח"מ ובניה של 24 כיתות,5 כיתות גן ח"מ.  </v>
      </c>
      <c r="AC66" s="172">
        <f>'תקציב החברה לפיתוח 2021 '!AC66</f>
        <v>810000</v>
      </c>
    </row>
    <row r="67" spans="1:36" ht="30" customHeight="1">
      <c r="A67" s="172">
        <f t="shared" si="0"/>
        <v>63</v>
      </c>
      <c r="B67" s="172">
        <f>'תקציב החברה לפיתוח 2021 '!B67</f>
        <v>2099</v>
      </c>
      <c r="C67" s="326" t="str">
        <f>'תקציב החברה לפיתוח 2021 '!C67</f>
        <v>סינמטק בבנין עיריה חדש</v>
      </c>
      <c r="D67" s="173">
        <f>'תקציב החברה לפיתוח 2021 '!D67</f>
        <v>12000000</v>
      </c>
      <c r="E67" s="173">
        <f>'תקציב החברה לפיתוח 2021 '!E67</f>
        <v>12000000</v>
      </c>
      <c r="F67" s="173">
        <f>'תקציב החברה לפיתוח 2021 '!F67</f>
        <v>0</v>
      </c>
      <c r="G67" s="173">
        <f>'תקציב החברה לפיתוח 2021 '!G67</f>
        <v>750000</v>
      </c>
      <c r="H67" s="173">
        <f>'תקציב החברה לפיתוח 2021 '!H67</f>
        <v>299056</v>
      </c>
      <c r="I67" s="173">
        <f>'תקציב החברה לפיתוח 2021 '!I67</f>
        <v>0</v>
      </c>
      <c r="J67" s="173">
        <f>'תקציב החברה לפיתוח 2021 '!J67</f>
        <v>197436</v>
      </c>
      <c r="K67" s="173">
        <f>'תקציב החברה לפיתוח 2021 '!K67</f>
        <v>197436</v>
      </c>
      <c r="L67" s="173">
        <f>'תקציב החברה לפיתוח 2021 '!L67</f>
        <v>496492</v>
      </c>
      <c r="M67" s="173">
        <f>'תקציב החברה לפיתוח 2021 '!M67</f>
        <v>253508</v>
      </c>
      <c r="N67" s="173">
        <f>'תקציב החברה לפיתוח 2021 '!N67</f>
        <v>3000000</v>
      </c>
      <c r="O67" s="173">
        <f>'תקציב החברה לפיתוח 2021 '!O67</f>
        <v>8250000</v>
      </c>
      <c r="P67" s="173">
        <f>'תקציב החברה לפיתוח 2021 '!P67</f>
        <v>253508</v>
      </c>
      <c r="Q67" s="173">
        <f>'תקציב החברה לפיתוח 2021 '!Q67</f>
        <v>0</v>
      </c>
      <c r="R67" s="173">
        <f>'תקציב החברה לפיתוח 2021 '!R67</f>
        <v>0</v>
      </c>
      <c r="S67" s="173">
        <f>'תקציב החברה לפיתוח 2021 '!S67</f>
        <v>0</v>
      </c>
      <c r="T67" s="173">
        <f>'תקציב החברה לפיתוח 2021 '!T67</f>
        <v>0</v>
      </c>
      <c r="U67" s="173">
        <f>'תקציב החברה לפיתוח 2021 '!U67</f>
        <v>3000000</v>
      </c>
      <c r="V67" s="173">
        <f>'תקציב החברה לפיתוח 2021 '!V67</f>
        <v>1000000</v>
      </c>
      <c r="W67" s="173">
        <f>'תקציב החברה לפיתוח 2021 '!W67</f>
        <v>0</v>
      </c>
      <c r="X67" s="173">
        <f>'תקציב החברה לפיתוח 2021 '!X67</f>
        <v>0</v>
      </c>
      <c r="Y67" s="173">
        <f>'תקציב החברה לפיתוח 2021 '!Y67</f>
        <v>0</v>
      </c>
      <c r="Z67" s="173">
        <f>'תקציב החברה לפיתוח 2021 '!Z67</f>
        <v>0</v>
      </c>
      <c r="AA67" s="173">
        <f>'תקציב החברה לפיתוח 2021 '!AA67</f>
        <v>2000000</v>
      </c>
      <c r="AB67" s="293" t="str">
        <f>'תקציב החברה לפיתוח 2021 '!AB67</f>
        <v>הכשרת סינמטק בבניין העיריה החדש. מימון מ. הפיס.</v>
      </c>
      <c r="AC67" s="172">
        <f>'תקציב החברה לפיתוח 2021 '!AC67</f>
        <v>826000</v>
      </c>
    </row>
    <row r="68" spans="1:36" ht="36" customHeight="1">
      <c r="A68" s="172">
        <f t="shared" si="0"/>
        <v>64</v>
      </c>
      <c r="B68" s="172">
        <f>'תקציב החברה לפיתוח 2021 '!B68</f>
        <v>2101</v>
      </c>
      <c r="C68" s="326" t="str">
        <f>'תקציב החברה לפיתוח 2021 '!C68</f>
        <v xml:space="preserve">מעון לאנשים עם מוגבלויות -  ביד התשעה </v>
      </c>
      <c r="D68" s="173">
        <f>'תקציב החברה לפיתוח 2021 '!D68</f>
        <v>24200000</v>
      </c>
      <c r="E68" s="173">
        <f>'תקציב החברה לפיתוח 2021 '!E68</f>
        <v>9850000</v>
      </c>
      <c r="F68" s="173">
        <f>'תקציב החברה לפיתוח 2021 '!F68</f>
        <v>14350000</v>
      </c>
      <c r="G68" s="173">
        <f>'תקציב החברה לפיתוח 2021 '!G68</f>
        <v>1500000</v>
      </c>
      <c r="H68" s="173">
        <f>'תקציב החברה לפיתוח 2021 '!H68</f>
        <v>14882</v>
      </c>
      <c r="I68" s="173">
        <f>'תקציב החברה לפיתוח 2021 '!I68</f>
        <v>0</v>
      </c>
      <c r="J68" s="173">
        <f>'תקציב החברה לפיתוח 2021 '!J68</f>
        <v>85116</v>
      </c>
      <c r="K68" s="173">
        <f>'תקציב החברה לפיתוח 2021 '!K68</f>
        <v>85116</v>
      </c>
      <c r="L68" s="173">
        <f>'תקציב החברה לפיתוח 2021 '!L68</f>
        <v>99998</v>
      </c>
      <c r="M68" s="173">
        <f>'תקציב החברה לפיתוח 2021 '!M68</f>
        <v>1400002</v>
      </c>
      <c r="N68" s="173">
        <f>'תקציב החברה לפיתוח 2021 '!N68</f>
        <v>0</v>
      </c>
      <c r="O68" s="173">
        <f>'תקציב החברה לפיתוח 2021 '!O68</f>
        <v>22700000</v>
      </c>
      <c r="P68" s="173">
        <f>'תקציב החברה לפיתוח 2021 '!P68</f>
        <v>1400002</v>
      </c>
      <c r="Q68" s="173">
        <f>'תקציב החברה לפיתוח 2021 '!Q68</f>
        <v>0</v>
      </c>
      <c r="R68" s="173">
        <f>'תקציב החברה לפיתוח 2021 '!R68</f>
        <v>0</v>
      </c>
      <c r="S68" s="173">
        <f>'תקציב החברה לפיתוח 2021 '!S68</f>
        <v>0</v>
      </c>
      <c r="T68" s="173">
        <f>'תקציב החברה לפיתוח 2021 '!T68</f>
        <v>0</v>
      </c>
      <c r="U68" s="173">
        <f>'תקציב החברה לפיתוח 2021 '!U68</f>
        <v>0</v>
      </c>
      <c r="V68" s="173">
        <f>'תקציב החברה לפיתוח 2021 '!V68</f>
        <v>0</v>
      </c>
      <c r="W68" s="173">
        <f>'תקציב החברה לפיתוח 2021 '!W68</f>
        <v>0</v>
      </c>
      <c r="X68" s="173">
        <f>'תקציב החברה לפיתוח 2021 '!X68</f>
        <v>0</v>
      </c>
      <c r="Y68" s="173">
        <f>'תקציב החברה לפיתוח 2021 '!Y68</f>
        <v>0</v>
      </c>
      <c r="Z68" s="173">
        <f>'תקציב החברה לפיתוח 2021 '!Z68</f>
        <v>0</v>
      </c>
      <c r="AA68" s="173">
        <f>'תקציב החברה לפיתוח 2021 '!AA68</f>
        <v>0</v>
      </c>
      <c r="AB68" s="293" t="str">
        <f>'תקציב החברה לפיתוח 2021 '!AB68</f>
        <v>תכנון ראשוני הקמת מעון לאנשים עם מוגבלויות ביד התשעה.</v>
      </c>
      <c r="AC68" s="172">
        <f>'תקציב החברה לפיתוח 2021 '!AC68</f>
        <v>840000</v>
      </c>
    </row>
    <row r="69" spans="1:36" ht="38.4" customHeight="1">
      <c r="A69" s="172">
        <f t="shared" si="0"/>
        <v>65</v>
      </c>
      <c r="B69" s="172">
        <f>'תקציב החברה לפיתוח 2021 '!B69</f>
        <v>2102</v>
      </c>
      <c r="C69" s="326" t="str">
        <f>'תקציב החברה לפיתוח 2021 '!C69</f>
        <v>מועדון טלוויזיה קהילתית בשכונת צמרות</v>
      </c>
      <c r="D69" s="173">
        <f>'תקציב החברה לפיתוח 2021 '!D69</f>
        <v>1750000</v>
      </c>
      <c r="E69" s="173">
        <f>'תקציב החברה לפיתוח 2021 '!E69</f>
        <v>1750000</v>
      </c>
      <c r="F69" s="173">
        <f>'תקציב החברה לפיתוח 2021 '!F69</f>
        <v>0</v>
      </c>
      <c r="G69" s="173">
        <f>'תקציב החברה לפיתוח 2021 '!G69</f>
        <v>150000</v>
      </c>
      <c r="H69" s="173">
        <f>'תקציב החברה לפיתוח 2021 '!H69</f>
        <v>106069</v>
      </c>
      <c r="I69" s="173">
        <f>'תקציב החברה לפיתוח 2021 '!I69</f>
        <v>0</v>
      </c>
      <c r="J69" s="173">
        <f>'תקציב החברה לפיתוח 2021 '!J69</f>
        <v>43931</v>
      </c>
      <c r="K69" s="173">
        <f>'תקציב החברה לפיתוח 2021 '!K69</f>
        <v>43931</v>
      </c>
      <c r="L69" s="173">
        <f>'תקציב החברה לפיתוח 2021 '!L69</f>
        <v>150000</v>
      </c>
      <c r="M69" s="173">
        <f>'תקציב החברה לפיתוח 2021 '!M69</f>
        <v>0</v>
      </c>
      <c r="N69" s="173">
        <f>'תקציב החברה לפיתוח 2021 '!N69</f>
        <v>0</v>
      </c>
      <c r="O69" s="173">
        <f>'תקציב החברה לפיתוח 2021 '!O69</f>
        <v>1600000</v>
      </c>
      <c r="P69" s="173">
        <f>'תקציב החברה לפיתוח 2021 '!P69</f>
        <v>0</v>
      </c>
      <c r="Q69" s="173">
        <f>'תקציב החברה לפיתוח 2021 '!Q69</f>
        <v>0</v>
      </c>
      <c r="R69" s="173">
        <f>'תקציב החברה לפיתוח 2021 '!R69</f>
        <v>0</v>
      </c>
      <c r="S69" s="173">
        <f>'תקציב החברה לפיתוח 2021 '!S69</f>
        <v>0</v>
      </c>
      <c r="T69" s="173">
        <f>'תקציב החברה לפיתוח 2021 '!T69</f>
        <v>0</v>
      </c>
      <c r="U69" s="173">
        <f>'תקציב החברה לפיתוח 2021 '!U69</f>
        <v>0</v>
      </c>
      <c r="V69" s="173">
        <f>'תקציב החברה לפיתוח 2021 '!V69</f>
        <v>0</v>
      </c>
      <c r="W69" s="173">
        <f>'תקציב החברה לפיתוח 2021 '!W69</f>
        <v>0</v>
      </c>
      <c r="X69" s="173">
        <f>'תקציב החברה לפיתוח 2021 '!X69</f>
        <v>0</v>
      </c>
      <c r="Y69" s="173">
        <f>'תקציב החברה לפיתוח 2021 '!Y69</f>
        <v>0</v>
      </c>
      <c r="Z69" s="173">
        <f>'תקציב החברה לפיתוח 2021 '!Z69</f>
        <v>0</v>
      </c>
      <c r="AA69" s="173">
        <f>'תקציב החברה לפיתוח 2021 '!AA69</f>
        <v>0</v>
      </c>
      <c r="AB69" s="293" t="str">
        <f>'תקציב החברה לפיתוח 2021 '!AB69</f>
        <v xml:space="preserve">הקמת מועדון טלויזיה קהילתית במרכז יום לקשיש בצמרות. </v>
      </c>
      <c r="AC69" s="172">
        <f>'תקציב החברה לפיתוח 2021 '!AC69</f>
        <v>820000</v>
      </c>
    </row>
    <row r="70" spans="1:36" ht="30" customHeight="1">
      <c r="A70" s="172">
        <f t="shared" si="0"/>
        <v>66</v>
      </c>
      <c r="B70" s="172">
        <f>'תקציב החברה לפיתוח 2021 '!B70</f>
        <v>2103</v>
      </c>
      <c r="C70" s="326" t="str">
        <f>'תקציב החברה לפיתוח 2021 '!C70</f>
        <v xml:space="preserve">שדרוג המרחב הציבורי באיזור התעשיה </v>
      </c>
      <c r="D70" s="173">
        <f>'תקציב החברה לפיתוח 2021 '!D70</f>
        <v>2500000</v>
      </c>
      <c r="E70" s="173">
        <f>'תקציב החברה לפיתוח 2021 '!E70</f>
        <v>2500000</v>
      </c>
      <c r="F70" s="173">
        <f>'תקציב החברה לפיתוח 2021 '!F70</f>
        <v>0</v>
      </c>
      <c r="G70" s="173">
        <f>'תקציב החברה לפיתוח 2021 '!G70</f>
        <v>1000000</v>
      </c>
      <c r="H70" s="173">
        <f>'תקציב החברה לפיתוח 2021 '!H70</f>
        <v>190122</v>
      </c>
      <c r="I70" s="173">
        <f>'תקציב החברה לפיתוח 2021 '!I70</f>
        <v>0</v>
      </c>
      <c r="J70" s="173">
        <f>'תקציב החברה לפיתוח 2021 '!J70</f>
        <v>620100</v>
      </c>
      <c r="K70" s="173">
        <f>'תקציב החברה לפיתוח 2021 '!K70</f>
        <v>620100</v>
      </c>
      <c r="L70" s="173">
        <f>'תקציב החברה לפיתוח 2021 '!L70</f>
        <v>810222</v>
      </c>
      <c r="M70" s="173">
        <f>'תקציב החברה לפיתוח 2021 '!M70</f>
        <v>189778</v>
      </c>
      <c r="N70" s="173">
        <f>'תקציב החברה לפיתוח 2021 '!N70</f>
        <v>0</v>
      </c>
      <c r="O70" s="173">
        <f>'תקציב החברה לפיתוח 2021 '!O70</f>
        <v>1500000</v>
      </c>
      <c r="P70" s="173">
        <f>'תקציב החברה לפיתוח 2021 '!P70</f>
        <v>189778</v>
      </c>
      <c r="Q70" s="173">
        <f>'תקציב החברה לפיתוח 2021 '!Q70</f>
        <v>0</v>
      </c>
      <c r="R70" s="173">
        <f>'תקציב החברה לפיתוח 2021 '!R70</f>
        <v>0</v>
      </c>
      <c r="S70" s="173">
        <f>'תקציב החברה לפיתוח 2021 '!S70</f>
        <v>0</v>
      </c>
      <c r="T70" s="173">
        <f>'תקציב החברה לפיתוח 2021 '!T70</f>
        <v>0</v>
      </c>
      <c r="U70" s="173">
        <f>'תקציב החברה לפיתוח 2021 '!U70</f>
        <v>0</v>
      </c>
      <c r="V70" s="173">
        <f>'תקציב החברה לפיתוח 2021 '!V70</f>
        <v>0</v>
      </c>
      <c r="W70" s="173">
        <f>'תקציב החברה לפיתוח 2021 '!W70</f>
        <v>0</v>
      </c>
      <c r="X70" s="173">
        <f>'תקציב החברה לפיתוח 2021 '!X70</f>
        <v>0</v>
      </c>
      <c r="Y70" s="173">
        <f>'תקציב החברה לפיתוח 2021 '!Y70</f>
        <v>0</v>
      </c>
      <c r="Z70" s="173">
        <f>'תקציב החברה לפיתוח 2021 '!Z70</f>
        <v>0</v>
      </c>
      <c r="AA70" s="173">
        <f>'תקציב החברה לפיתוח 2021 '!AA70</f>
        <v>0</v>
      </c>
      <c r="AB70" s="293" t="str">
        <f>'תקציב החברה לפיתוח 2021 '!AB70</f>
        <v>סל עבודות לשדרוג במרחב הציבורי כולל ריהוט רחוב באיזור התעשיה.</v>
      </c>
      <c r="AC70" s="172">
        <f>'תקציב החברה לפיתוח 2021 '!AC70</f>
        <v>848000</v>
      </c>
    </row>
    <row r="71" spans="1:36" s="5" customFormat="1" ht="30" customHeight="1">
      <c r="A71" s="172">
        <f t="shared" ref="A71:A103" si="1">A70+1</f>
        <v>67</v>
      </c>
      <c r="B71" s="172">
        <f>'תקציב החברה לפיתוח 2021 '!B71</f>
        <v>2104</v>
      </c>
      <c r="C71" s="326" t="str">
        <f>'תקציב החברה לפיתוח 2021 '!C71</f>
        <v>החלפת קו ניקוז בדוד המלך</v>
      </c>
      <c r="D71" s="173">
        <f>'תקציב החברה לפיתוח 2021 '!D71</f>
        <v>1000000</v>
      </c>
      <c r="E71" s="173">
        <f>'תקציב החברה לפיתוח 2021 '!E71</f>
        <v>3500000</v>
      </c>
      <c r="F71" s="173">
        <f>'תקציב החברה לפיתוח 2021 '!F71</f>
        <v>-2500000</v>
      </c>
      <c r="G71" s="173">
        <f>'תקציב החברה לפיתוח 2021 '!G71</f>
        <v>0</v>
      </c>
      <c r="H71" s="173">
        <f>'תקציב החברה לפיתוח 2021 '!H71</f>
        <v>0</v>
      </c>
      <c r="I71" s="173">
        <f>'תקציב החברה לפיתוח 2021 '!I71</f>
        <v>0</v>
      </c>
      <c r="J71" s="173">
        <f>'תקציב החברה לפיתוח 2021 '!J71</f>
        <v>0</v>
      </c>
      <c r="K71" s="173">
        <f>'תקציב החברה לפיתוח 2021 '!K71</f>
        <v>0</v>
      </c>
      <c r="L71" s="173">
        <f>'תקציב החברה לפיתוח 2021 '!L71</f>
        <v>0</v>
      </c>
      <c r="M71" s="173">
        <f>'תקציב החברה לפיתוח 2021 '!M71</f>
        <v>0</v>
      </c>
      <c r="N71" s="173">
        <f>'תקציב החברה לפיתוח 2021 '!N71</f>
        <v>0</v>
      </c>
      <c r="O71" s="173">
        <f>'תקציב החברה לפיתוח 2021 '!O71</f>
        <v>1000000</v>
      </c>
      <c r="P71" s="173">
        <f>'תקציב החברה לפיתוח 2021 '!P71</f>
        <v>0</v>
      </c>
      <c r="Q71" s="173">
        <f>'תקציב החברה לפיתוח 2021 '!Q71</f>
        <v>0</v>
      </c>
      <c r="R71" s="173">
        <f>'תקציב החברה לפיתוח 2021 '!R71</f>
        <v>0</v>
      </c>
      <c r="S71" s="173">
        <f>'תקציב החברה לפיתוח 2021 '!S71</f>
        <v>0</v>
      </c>
      <c r="T71" s="173">
        <f>'תקציב החברה לפיתוח 2021 '!T71</f>
        <v>0</v>
      </c>
      <c r="U71" s="173">
        <f>'תקציב החברה לפיתוח 2021 '!U71</f>
        <v>0</v>
      </c>
      <c r="V71" s="173">
        <f>'תקציב החברה לפיתוח 2021 '!V71</f>
        <v>0</v>
      </c>
      <c r="W71" s="173">
        <f>'תקציב החברה לפיתוח 2021 '!W71</f>
        <v>0</v>
      </c>
      <c r="X71" s="173">
        <f>'תקציב החברה לפיתוח 2021 '!X71</f>
        <v>0</v>
      </c>
      <c r="Y71" s="173">
        <f>'תקציב החברה לפיתוח 2021 '!Y71</f>
        <v>0</v>
      </c>
      <c r="Z71" s="173">
        <f>'תקציב החברה לפיתוח 2021 '!Z71</f>
        <v>0</v>
      </c>
      <c r="AA71" s="173">
        <f>'תקציב החברה לפיתוח 2021 '!AA71</f>
        <v>0</v>
      </c>
      <c r="AB71" s="293" t="str">
        <f>'תקציב החברה לפיתוח 2021 '!AB71</f>
        <v xml:space="preserve">הגדלת קו הניקוז ברח' דוד המלך בקטע קרן היסוד - מדינת היהודים . </v>
      </c>
      <c r="AC71" s="172">
        <f>'תקציב החברה לפיתוח 2021 '!AC71</f>
        <v>742000</v>
      </c>
      <c r="AD71" s="284"/>
      <c r="AE71" s="284"/>
      <c r="AF71" s="166"/>
      <c r="AG71" s="166"/>
      <c r="AH71" s="166"/>
      <c r="AI71" s="166"/>
      <c r="AJ71" s="166"/>
    </row>
    <row r="72" spans="1:36" s="6" customFormat="1" ht="30" customHeight="1">
      <c r="A72" s="172">
        <f t="shared" si="1"/>
        <v>68</v>
      </c>
      <c r="B72" s="172">
        <f>'תקציב החברה לפיתוח 2021 '!B72</f>
        <v>2106</v>
      </c>
      <c r="C72" s="326" t="str">
        <f>'תקציב החברה לפיתוח 2021 '!C72</f>
        <v>אוצר הצמחים ,הראשונים ואבן אודם</v>
      </c>
      <c r="D72" s="173">
        <f>'תקציב החברה לפיתוח 2021 '!D72</f>
        <v>15000000</v>
      </c>
      <c r="E72" s="173">
        <f>'תקציב החברה לפיתוח 2021 '!E72</f>
        <v>15000000</v>
      </c>
      <c r="F72" s="173">
        <f>'תקציב החברה לפיתוח 2021 '!F72</f>
        <v>0</v>
      </c>
      <c r="G72" s="173">
        <f>'תקציב החברה לפיתוח 2021 '!G72</f>
        <v>4000000</v>
      </c>
      <c r="H72" s="173">
        <f>'תקציב החברה לפיתוח 2021 '!H72</f>
        <v>22889</v>
      </c>
      <c r="I72" s="173">
        <f>'תקציב החברה לפיתוח 2021 '!I72</f>
        <v>0</v>
      </c>
      <c r="J72" s="173">
        <f>'תקציב החברה לפיתוח 2021 '!J72</f>
        <v>127110</v>
      </c>
      <c r="K72" s="173">
        <f>'תקציב החברה לפיתוח 2021 '!K72</f>
        <v>127110</v>
      </c>
      <c r="L72" s="173">
        <f>'תקציב החברה לפיתוח 2021 '!L72</f>
        <v>149999</v>
      </c>
      <c r="M72" s="173">
        <f>'תקציב החברה לפיתוח 2021 '!M72</f>
        <v>3850001</v>
      </c>
      <c r="N72" s="173">
        <f>'תקציב החברה לפיתוח 2021 '!N72</f>
        <v>0</v>
      </c>
      <c r="O72" s="173">
        <f>'תקציב החברה לפיתוח 2021 '!O72</f>
        <v>11000000</v>
      </c>
      <c r="P72" s="173">
        <f>'תקציב החברה לפיתוח 2021 '!P72</f>
        <v>3850001</v>
      </c>
      <c r="Q72" s="173">
        <f>'תקציב החברה לפיתוח 2021 '!Q72</f>
        <v>0</v>
      </c>
      <c r="R72" s="173">
        <f>'תקציב החברה לפיתוח 2021 '!R72</f>
        <v>0</v>
      </c>
      <c r="S72" s="173">
        <f>'תקציב החברה לפיתוח 2021 '!S72</f>
        <v>0</v>
      </c>
      <c r="T72" s="173">
        <f>'תקציב החברה לפיתוח 2021 '!T72</f>
        <v>0</v>
      </c>
      <c r="U72" s="173">
        <f>'תקציב החברה לפיתוח 2021 '!U72</f>
        <v>0</v>
      </c>
      <c r="V72" s="173">
        <f>'תקציב החברה לפיתוח 2021 '!V72</f>
        <v>0</v>
      </c>
      <c r="W72" s="173">
        <f>'תקציב החברה לפיתוח 2021 '!W72</f>
        <v>0</v>
      </c>
      <c r="X72" s="173">
        <f>'תקציב החברה לפיתוח 2021 '!X72</f>
        <v>0</v>
      </c>
      <c r="Y72" s="173">
        <f>'תקציב החברה לפיתוח 2021 '!Y72</f>
        <v>0</v>
      </c>
      <c r="Z72" s="173">
        <f>'תקציב החברה לפיתוח 2021 '!Z72</f>
        <v>0</v>
      </c>
      <c r="AA72" s="173">
        <f>'תקציב החברה לפיתוח 2021 '!AA72</f>
        <v>0</v>
      </c>
      <c r="AB72" s="293" t="str">
        <f>'תקציב החברה לפיתוח 2021 '!AB72</f>
        <v>פיתוח מתחם הרחובות אוצר הצמחים, אבן אודם, הראשונים.</v>
      </c>
      <c r="AC72" s="172">
        <f>'תקציב החברה לפיתוח 2021 '!AC72</f>
        <v>742000</v>
      </c>
      <c r="AD72" s="284"/>
      <c r="AE72" s="284"/>
      <c r="AF72" s="166"/>
      <c r="AG72" s="166"/>
      <c r="AH72" s="166"/>
      <c r="AI72" s="166"/>
      <c r="AJ72" s="166"/>
    </row>
    <row r="73" spans="1:36" s="5" customFormat="1" ht="30" customHeight="1">
      <c r="A73" s="172">
        <f t="shared" si="1"/>
        <v>69</v>
      </c>
      <c r="B73" s="172">
        <f>'תקציב החברה לפיתוח 2021 '!B73</f>
        <v>2109</v>
      </c>
      <c r="C73" s="326" t="str">
        <f>'תקציב החברה לפיתוח 2021 '!C73</f>
        <v>רחוב הפרטיזנים</v>
      </c>
      <c r="D73" s="173">
        <f>'תקציב החברה לפיתוח 2021 '!D73</f>
        <v>2000000</v>
      </c>
      <c r="E73" s="173">
        <f>'תקציב החברה לפיתוח 2021 '!E73</f>
        <v>2000000</v>
      </c>
      <c r="F73" s="173">
        <f>'תקציב החברה לפיתוח 2021 '!F73</f>
        <v>0</v>
      </c>
      <c r="G73" s="173">
        <f>'תקציב החברה לפיתוח 2021 '!G73</f>
        <v>0</v>
      </c>
      <c r="H73" s="173">
        <f>'תקציב החברה לפיתוח 2021 '!H73</f>
        <v>0</v>
      </c>
      <c r="I73" s="173">
        <f>'תקציב החברה לפיתוח 2021 '!I73</f>
        <v>0</v>
      </c>
      <c r="J73" s="173">
        <f>'תקציב החברה לפיתוח 2021 '!J73</f>
        <v>0</v>
      </c>
      <c r="K73" s="173">
        <f>'תקציב החברה לפיתוח 2021 '!K73</f>
        <v>0</v>
      </c>
      <c r="L73" s="173">
        <f>'תקציב החברה לפיתוח 2021 '!L73</f>
        <v>0</v>
      </c>
      <c r="M73" s="173">
        <f>'תקציב החברה לפיתוח 2021 '!M73</f>
        <v>0</v>
      </c>
      <c r="N73" s="173">
        <f>'תקציב החברה לפיתוח 2021 '!N73</f>
        <v>500000</v>
      </c>
      <c r="O73" s="173">
        <f>'תקציב החברה לפיתוח 2021 '!O73</f>
        <v>1500000</v>
      </c>
      <c r="P73" s="173">
        <f>'תקציב החברה לפיתוח 2021 '!P73</f>
        <v>0</v>
      </c>
      <c r="Q73" s="173">
        <f>'תקציב החברה לפיתוח 2021 '!Q73</f>
        <v>0</v>
      </c>
      <c r="R73" s="173">
        <f>'תקציב החברה לפיתוח 2021 '!R73</f>
        <v>0</v>
      </c>
      <c r="S73" s="173">
        <f>'תקציב החברה לפיתוח 2021 '!S73</f>
        <v>0</v>
      </c>
      <c r="T73" s="173">
        <f>'תקציב החברה לפיתוח 2021 '!T73</f>
        <v>0</v>
      </c>
      <c r="U73" s="173">
        <f>'תקציב החברה לפיתוח 2021 '!U73</f>
        <v>500000</v>
      </c>
      <c r="V73" s="173">
        <f>'תקציב החברה לפיתוח 2021 '!V73</f>
        <v>500000</v>
      </c>
      <c r="W73" s="173">
        <f>'תקציב החברה לפיתוח 2021 '!W73</f>
        <v>0</v>
      </c>
      <c r="X73" s="173">
        <f>'תקציב החברה לפיתוח 2021 '!X73</f>
        <v>0</v>
      </c>
      <c r="Y73" s="173">
        <f>'תקציב החברה לפיתוח 2021 '!Y73</f>
        <v>0</v>
      </c>
      <c r="Z73" s="173">
        <f>'תקציב החברה לפיתוח 2021 '!Z73</f>
        <v>0</v>
      </c>
      <c r="AA73" s="173">
        <f>'תקציב החברה לפיתוח 2021 '!AA73</f>
        <v>0</v>
      </c>
      <c r="AB73" s="293" t="str">
        <f>'תקציב החברה לפיתוח 2021 '!AB73</f>
        <v xml:space="preserve">תכנון פיתוח רחוב הפרטיזנים. מדרכה מזרחית/דרומית, עבודות ניקוז. </v>
      </c>
      <c r="AC73" s="172">
        <f>'תקציב החברה לפיתוח 2021 '!AC73</f>
        <v>742000</v>
      </c>
      <c r="AD73" s="284"/>
      <c r="AE73" s="284"/>
      <c r="AF73" s="166"/>
      <c r="AG73" s="166"/>
      <c r="AH73" s="166"/>
      <c r="AI73" s="166"/>
      <c r="AJ73" s="166"/>
    </row>
    <row r="74" spans="1:36" s="5" customFormat="1" ht="30" customHeight="1">
      <c r="A74" s="172">
        <f t="shared" si="1"/>
        <v>70</v>
      </c>
      <c r="B74" s="172">
        <f>'תקציב החברה לפיתוח 2021 '!B74</f>
        <v>2110</v>
      </c>
      <c r="C74" s="326" t="str">
        <f>'תקציב החברה לפיתוח 2021 '!C74</f>
        <v>שיכון דרום הר' 2312</v>
      </c>
      <c r="D74" s="173">
        <f>'תקציב החברה לפיתוח 2021 '!D74</f>
        <v>16000000</v>
      </c>
      <c r="E74" s="173">
        <f>'תקציב החברה לפיתוח 2021 '!E74</f>
        <v>16000000</v>
      </c>
      <c r="F74" s="173">
        <f>'תקציב החברה לפיתוח 2021 '!F74</f>
        <v>0</v>
      </c>
      <c r="G74" s="173">
        <f>'תקציב החברה לפיתוח 2021 '!G74</f>
        <v>0</v>
      </c>
      <c r="H74" s="173">
        <f>'תקציב החברה לפיתוח 2021 '!H74</f>
        <v>0</v>
      </c>
      <c r="I74" s="173">
        <f>'תקציב החברה לפיתוח 2021 '!I74</f>
        <v>0</v>
      </c>
      <c r="J74" s="173">
        <f>'תקציב החברה לפיתוח 2021 '!J74</f>
        <v>0</v>
      </c>
      <c r="K74" s="173">
        <f>'תקציב החברה לפיתוח 2021 '!K74</f>
        <v>0</v>
      </c>
      <c r="L74" s="173">
        <f>'תקציב החברה לפיתוח 2021 '!L74</f>
        <v>0</v>
      </c>
      <c r="M74" s="173">
        <f>'תקציב החברה לפיתוח 2021 '!M74</f>
        <v>0</v>
      </c>
      <c r="N74" s="173">
        <f>'תקציב החברה לפיתוח 2021 '!N74</f>
        <v>500000</v>
      </c>
      <c r="O74" s="173">
        <f>'תקציב החברה לפיתוח 2021 '!O74</f>
        <v>15500000</v>
      </c>
      <c r="P74" s="173">
        <f>'תקציב החברה לפיתוח 2021 '!P74</f>
        <v>0</v>
      </c>
      <c r="Q74" s="173">
        <f>'תקציב החברה לפיתוח 2021 '!Q74</f>
        <v>0</v>
      </c>
      <c r="R74" s="173">
        <f>'תקציב החברה לפיתוח 2021 '!R74</f>
        <v>0</v>
      </c>
      <c r="S74" s="173">
        <f>'תקציב החברה לפיתוח 2021 '!S74</f>
        <v>0</v>
      </c>
      <c r="T74" s="173">
        <f>'תקציב החברה לפיתוח 2021 '!T74</f>
        <v>0</v>
      </c>
      <c r="U74" s="173">
        <f>'תקציב החברה לפיתוח 2021 '!U74</f>
        <v>500000</v>
      </c>
      <c r="V74" s="173">
        <f>'תקציב החברה לפיתוח 2021 '!V74</f>
        <v>500000</v>
      </c>
      <c r="W74" s="173">
        <f>'תקציב החברה לפיתוח 2021 '!W74</f>
        <v>0</v>
      </c>
      <c r="X74" s="173">
        <f>'תקציב החברה לפיתוח 2021 '!X74</f>
        <v>0</v>
      </c>
      <c r="Y74" s="173">
        <f>'תקציב החברה לפיתוח 2021 '!Y74</f>
        <v>0</v>
      </c>
      <c r="Z74" s="173">
        <f>'תקציב החברה לפיתוח 2021 '!Z74</f>
        <v>0</v>
      </c>
      <c r="AA74" s="173">
        <f>'תקציב החברה לפיתוח 2021 '!AA74</f>
        <v>0</v>
      </c>
      <c r="AB74" s="293" t="str">
        <f>'תקציב החברה לפיתוח 2021 '!AB74</f>
        <v xml:space="preserve">תכנון פיתוח מתחם שיכון דרום. תכנון בין רח' בן גוריון-רבי עקיבא-בן יהודה. </v>
      </c>
      <c r="AC74" s="172">
        <f>'תקציב החברה לפיתוח 2021 '!AC74</f>
        <v>742000</v>
      </c>
      <c r="AD74" s="284"/>
      <c r="AE74" s="284"/>
      <c r="AF74" s="166"/>
      <c r="AG74" s="166"/>
      <c r="AH74" s="166"/>
      <c r="AI74" s="166"/>
      <c r="AJ74" s="166"/>
    </row>
    <row r="75" spans="1:36" s="5" customFormat="1" ht="40.75" customHeight="1">
      <c r="A75" s="172">
        <f t="shared" si="1"/>
        <v>71</v>
      </c>
      <c r="B75" s="172">
        <f>'תקציב החברה לפיתוח 2021 '!B75</f>
        <v>2111</v>
      </c>
      <c r="C75" s="326" t="str">
        <f>'תקציב החברה לפיתוח 2021 '!C75</f>
        <v>הר מירון בר כוכבא הר' 2266</v>
      </c>
      <c r="D75" s="173">
        <f>'תקציב החברה לפיתוח 2021 '!D75</f>
        <v>10240000</v>
      </c>
      <c r="E75" s="173">
        <f>'תקציב החברה לפיתוח 2021 '!E75</f>
        <v>10240000</v>
      </c>
      <c r="F75" s="173">
        <f>'תקציב החברה לפיתוח 2021 '!F75</f>
        <v>0</v>
      </c>
      <c r="G75" s="173">
        <f>'תקציב החברה לפיתוח 2021 '!G75</f>
        <v>0</v>
      </c>
      <c r="H75" s="173">
        <f>'תקציב החברה לפיתוח 2021 '!H75</f>
        <v>0</v>
      </c>
      <c r="I75" s="173">
        <f>'תקציב החברה לפיתוח 2021 '!I75</f>
        <v>0</v>
      </c>
      <c r="J75" s="173">
        <f>'תקציב החברה לפיתוח 2021 '!J75</f>
        <v>0</v>
      </c>
      <c r="K75" s="173">
        <f>'תקציב החברה לפיתוח 2021 '!K75</f>
        <v>0</v>
      </c>
      <c r="L75" s="173">
        <f>'תקציב החברה לפיתוח 2021 '!L75</f>
        <v>0</v>
      </c>
      <c r="M75" s="173">
        <f>'תקציב החברה לפיתוח 2021 '!M75</f>
        <v>0</v>
      </c>
      <c r="N75" s="173">
        <f>'תקציב החברה לפיתוח 2021 '!N75</f>
        <v>500000</v>
      </c>
      <c r="O75" s="173">
        <f>'תקציב החברה לפיתוח 2021 '!O75</f>
        <v>9740000</v>
      </c>
      <c r="P75" s="173">
        <f>'תקציב החברה לפיתוח 2021 '!P75</f>
        <v>0</v>
      </c>
      <c r="Q75" s="173">
        <f>'תקציב החברה לפיתוח 2021 '!Q75</f>
        <v>0</v>
      </c>
      <c r="R75" s="173">
        <f>'תקציב החברה לפיתוח 2021 '!R75</f>
        <v>0</v>
      </c>
      <c r="S75" s="173">
        <f>'תקציב החברה לפיתוח 2021 '!S75</f>
        <v>0</v>
      </c>
      <c r="T75" s="173">
        <f>'תקציב החברה לפיתוח 2021 '!T75</f>
        <v>0</v>
      </c>
      <c r="U75" s="173">
        <f>'תקציב החברה לפיתוח 2021 '!U75</f>
        <v>500000</v>
      </c>
      <c r="V75" s="173">
        <f>'תקציב החברה לפיתוח 2021 '!V75</f>
        <v>500000</v>
      </c>
      <c r="W75" s="173">
        <f>'תקציב החברה לפיתוח 2021 '!W75</f>
        <v>0</v>
      </c>
      <c r="X75" s="173">
        <f>'תקציב החברה לפיתוח 2021 '!X75</f>
        <v>0</v>
      </c>
      <c r="Y75" s="173">
        <f>'תקציב החברה לפיתוח 2021 '!Y75</f>
        <v>0</v>
      </c>
      <c r="Z75" s="173">
        <f>'תקציב החברה לפיתוח 2021 '!Z75</f>
        <v>0</v>
      </c>
      <c r="AA75" s="173">
        <f>'תקציב החברה לפיתוח 2021 '!AA75</f>
        <v>0</v>
      </c>
      <c r="AB75" s="293" t="str">
        <f>'תקציב החברה לפיתוח 2021 '!AB75</f>
        <v xml:space="preserve">תכנון פיתוח הרחובות הר מירון בר כוכבא בעקבות אישור תוכנית התחדשות עירונית. </v>
      </c>
      <c r="AC75" s="172">
        <f>'תקציב החברה לפיתוח 2021 '!AC75</f>
        <v>742000</v>
      </c>
      <c r="AD75" s="284"/>
      <c r="AE75" s="284"/>
      <c r="AF75" s="166"/>
      <c r="AG75" s="166"/>
      <c r="AH75" s="166"/>
      <c r="AI75" s="166"/>
      <c r="AJ75" s="166"/>
    </row>
    <row r="76" spans="1:36" s="6" customFormat="1" ht="56">
      <c r="A76" s="172">
        <f t="shared" si="1"/>
        <v>72</v>
      </c>
      <c r="B76" s="172">
        <f>'תקציב החברה לפיתוח 2021 '!B76</f>
        <v>2115</v>
      </c>
      <c r="C76" s="326" t="str">
        <f>'תקציב החברה לפיתוח 2021 '!C76</f>
        <v>תוכנית מתאר איזור התעסוקה הר/2440</v>
      </c>
      <c r="D76" s="173">
        <f>'תקציב החברה לפיתוח 2021 '!D76</f>
        <v>3100000</v>
      </c>
      <c r="E76" s="173">
        <f>'תקציב החברה לפיתוח 2021 '!E76</f>
        <v>3100000</v>
      </c>
      <c r="F76" s="173">
        <f>'תקציב החברה לפיתוח 2021 '!F76</f>
        <v>0</v>
      </c>
      <c r="G76" s="173">
        <f>'תקציב החברה לפיתוח 2021 '!G76</f>
        <v>2000000</v>
      </c>
      <c r="H76" s="173">
        <f>'תקציב החברה לפיתוח 2021 '!H76</f>
        <v>511071</v>
      </c>
      <c r="I76" s="173">
        <f>'תקציב החברה לפיתוח 2021 '!I76</f>
        <v>0</v>
      </c>
      <c r="J76" s="173">
        <f>'תקציב החברה לפיתוח 2021 '!J76</f>
        <v>74412</v>
      </c>
      <c r="K76" s="173">
        <f>'תקציב החברה לפיתוח 2021 '!K76</f>
        <v>74412</v>
      </c>
      <c r="L76" s="173">
        <f>'תקציב החברה לפיתוח 2021 '!L76</f>
        <v>585483</v>
      </c>
      <c r="M76" s="173">
        <f>'תקציב החברה לפיתוח 2021 '!M76</f>
        <v>1414517</v>
      </c>
      <c r="N76" s="173">
        <f>'תקציב החברה לפיתוח 2021 '!N76</f>
        <v>1100000</v>
      </c>
      <c r="O76" s="173">
        <f>'תקציב החברה לפיתוח 2021 '!O76</f>
        <v>0</v>
      </c>
      <c r="P76" s="173">
        <f>'תקציב החברה לפיתוח 2021 '!P76</f>
        <v>1414517</v>
      </c>
      <c r="Q76" s="173">
        <f>'תקציב החברה לפיתוח 2021 '!Q76</f>
        <v>0</v>
      </c>
      <c r="R76" s="173">
        <f>'תקציב החברה לפיתוח 2021 '!R76</f>
        <v>0</v>
      </c>
      <c r="S76" s="173">
        <f>'תקציב החברה לפיתוח 2021 '!S76</f>
        <v>0</v>
      </c>
      <c r="T76" s="173">
        <f>'תקציב החברה לפיתוח 2021 '!T76</f>
        <v>0</v>
      </c>
      <c r="U76" s="173">
        <f>'תקציב החברה לפיתוח 2021 '!U76</f>
        <v>1100000</v>
      </c>
      <c r="V76" s="173">
        <f>'תקציב החברה לפיתוח 2021 '!V76</f>
        <v>1100000</v>
      </c>
      <c r="W76" s="173">
        <f>'תקציב החברה לפיתוח 2021 '!W76</f>
        <v>0</v>
      </c>
      <c r="X76" s="173">
        <f>'תקציב החברה לפיתוח 2021 '!X76</f>
        <v>0</v>
      </c>
      <c r="Y76" s="173">
        <f>'תקציב החברה לפיתוח 2021 '!Y76</f>
        <v>0</v>
      </c>
      <c r="Z76" s="173">
        <f>'תקציב החברה לפיתוח 2021 '!Z76</f>
        <v>0</v>
      </c>
      <c r="AA76" s="173">
        <f>'תקציב החברה לפיתוח 2021 '!AA76</f>
        <v>0</v>
      </c>
      <c r="AB76" s="293" t="str">
        <f>'תקציב החברה לפיתוח 2021 '!AB76</f>
        <v xml:space="preserve">הפיכת תוכנית אסטרטגית  לתוכנית סטטוטורית, לתוכנית מתאר בועדה המחוזית בהתאם ליו"ר הועדה המחוזית. </v>
      </c>
      <c r="AC76" s="172">
        <f>'תקציב החברה לפיתוח 2021 '!AC76</f>
        <v>732000</v>
      </c>
      <c r="AD76" s="284"/>
      <c r="AE76" s="284"/>
      <c r="AF76" s="166"/>
      <c r="AG76" s="166"/>
      <c r="AH76" s="166"/>
      <c r="AI76" s="166"/>
      <c r="AJ76" s="166"/>
    </row>
    <row r="77" spans="1:36" s="6" customFormat="1" ht="42">
      <c r="A77" s="172">
        <f t="shared" si="1"/>
        <v>73</v>
      </c>
      <c r="B77" s="172">
        <f>'תקציב החברה לפיתוח 2021 '!B77</f>
        <v>2118</v>
      </c>
      <c r="C77" s="326" t="str">
        <f>'תקציב החברה לפיתוח 2021 '!C77</f>
        <v>שצ"פ דליה רביקוביץ בשכונת אלתרמן (הר/1920)</v>
      </c>
      <c r="D77" s="173">
        <f>'תקציב החברה לפיתוח 2021 '!D77</f>
        <v>2600000</v>
      </c>
      <c r="E77" s="173">
        <f>'תקציב החברה לפיתוח 2021 '!E77</f>
        <v>2600000</v>
      </c>
      <c r="F77" s="173">
        <f>'תקציב החברה לפיתוח 2021 '!F77</f>
        <v>0</v>
      </c>
      <c r="G77" s="173">
        <f>'תקציב החברה לפיתוח 2021 '!G77</f>
        <v>2600000</v>
      </c>
      <c r="H77" s="173">
        <f>'תקציב החברה לפיתוח 2021 '!H77</f>
        <v>333114</v>
      </c>
      <c r="I77" s="173">
        <f>'תקציב החברה לפיתוח 2021 '!I77</f>
        <v>0</v>
      </c>
      <c r="J77" s="173">
        <f>'תקציב החברה לפיתוח 2021 '!J77</f>
        <v>1007084</v>
      </c>
      <c r="K77" s="173">
        <f>'תקציב החברה לפיתוח 2021 '!K77</f>
        <v>1007084</v>
      </c>
      <c r="L77" s="173">
        <f>'תקציב החברה לפיתוח 2021 '!L77</f>
        <v>1340198</v>
      </c>
      <c r="M77" s="173">
        <f>'תקציב החברה לפיתוח 2021 '!M77</f>
        <v>1259802</v>
      </c>
      <c r="N77" s="173">
        <f>'תקציב החברה לפיתוח 2021 '!N77</f>
        <v>0</v>
      </c>
      <c r="O77" s="173">
        <f>'תקציב החברה לפיתוח 2021 '!O77</f>
        <v>0</v>
      </c>
      <c r="P77" s="173">
        <f>'תקציב החברה לפיתוח 2021 '!P77</f>
        <v>1259802</v>
      </c>
      <c r="Q77" s="173">
        <f>'תקציב החברה לפיתוח 2021 '!Q77</f>
        <v>0</v>
      </c>
      <c r="R77" s="173">
        <f>'תקציב החברה לפיתוח 2021 '!R77</f>
        <v>0</v>
      </c>
      <c r="S77" s="173">
        <f>'תקציב החברה לפיתוח 2021 '!S77</f>
        <v>0</v>
      </c>
      <c r="T77" s="173">
        <f>'תקציב החברה לפיתוח 2021 '!T77</f>
        <v>0</v>
      </c>
      <c r="U77" s="173">
        <f>'תקציב החברה לפיתוח 2021 '!U77</f>
        <v>0</v>
      </c>
      <c r="V77" s="173">
        <f>'תקציב החברה לפיתוח 2021 '!V77</f>
        <v>0</v>
      </c>
      <c r="W77" s="173">
        <f>'תקציב החברה לפיתוח 2021 '!W77</f>
        <v>0</v>
      </c>
      <c r="X77" s="173">
        <f>'תקציב החברה לפיתוח 2021 '!X77</f>
        <v>0</v>
      </c>
      <c r="Y77" s="173">
        <f>'תקציב החברה לפיתוח 2021 '!Y77</f>
        <v>0</v>
      </c>
      <c r="Z77" s="173">
        <f>'תקציב החברה לפיתוח 2021 '!Z77</f>
        <v>0</v>
      </c>
      <c r="AA77" s="173">
        <f>'תקציב החברה לפיתוח 2021 '!AA77</f>
        <v>0</v>
      </c>
      <c r="AB77" s="293" t="str">
        <f>'תקציב החברה לפיתוח 2021 '!AB77</f>
        <v xml:space="preserve">ביצוע שצ"פ בקטע רח' דליה רביקוביץ פינת אסתר רהב. </v>
      </c>
      <c r="AC77" s="172">
        <f>'תקציב החברה לפיתוח 2021 '!AC77</f>
        <v>746000</v>
      </c>
      <c r="AD77" s="284"/>
      <c r="AE77" s="284"/>
      <c r="AF77" s="166"/>
      <c r="AG77" s="166"/>
      <c r="AH77" s="166"/>
      <c r="AI77" s="166"/>
      <c r="AJ77" s="166"/>
    </row>
    <row r="78" spans="1:36" s="5" customFormat="1" ht="38.4" customHeight="1">
      <c r="A78" s="172">
        <f t="shared" si="1"/>
        <v>74</v>
      </c>
      <c r="B78" s="172">
        <f>'תקציב החברה לפיתוח 2021 '!B78</f>
        <v>2119</v>
      </c>
      <c r="C78" s="326" t="str">
        <f>'תקציב החברה לפיתוח 2021 '!C78</f>
        <v>שביל מתחם העצמאות הרב גורן הבנים</v>
      </c>
      <c r="D78" s="173">
        <f>'תקציב החברה לפיתוח 2021 '!D78</f>
        <v>2500000</v>
      </c>
      <c r="E78" s="173">
        <f>'תקציב החברה לפיתוח 2021 '!E78</f>
        <v>1400000</v>
      </c>
      <c r="F78" s="173">
        <f>'תקציב החברה לפיתוח 2021 '!F78</f>
        <v>1100000</v>
      </c>
      <c r="G78" s="173">
        <f>'תקציב החברה לפיתוח 2021 '!G78</f>
        <v>1100000</v>
      </c>
      <c r="H78" s="173">
        <f>'תקציב החברה לפיתוח 2021 '!H78</f>
        <v>101214</v>
      </c>
      <c r="I78" s="173">
        <f>'תקציב החברה לפיתוח 2021 '!I78</f>
        <v>0</v>
      </c>
      <c r="J78" s="173">
        <f>'תקציב החברה לפיתוח 2021 '!J78</f>
        <v>48786</v>
      </c>
      <c r="K78" s="173">
        <f>'תקציב החברה לפיתוח 2021 '!K78</f>
        <v>48786</v>
      </c>
      <c r="L78" s="173">
        <f>'תקציב החברה לפיתוח 2021 '!L78</f>
        <v>150000</v>
      </c>
      <c r="M78" s="173">
        <f>'תקציב החברה לפיתוח 2021 '!M78</f>
        <v>950000</v>
      </c>
      <c r="N78" s="173">
        <f>'תקציב החברה לפיתוח 2021 '!N78</f>
        <v>0</v>
      </c>
      <c r="O78" s="173">
        <f>'תקציב החברה לפיתוח 2021 '!O78</f>
        <v>1400000</v>
      </c>
      <c r="P78" s="173">
        <f>'תקציב החברה לפיתוח 2021 '!P78</f>
        <v>950000</v>
      </c>
      <c r="Q78" s="173">
        <f>'תקציב החברה לפיתוח 2021 '!Q78</f>
        <v>0</v>
      </c>
      <c r="R78" s="173">
        <f>'תקציב החברה לפיתוח 2021 '!R78</f>
        <v>0</v>
      </c>
      <c r="S78" s="173">
        <f>'תקציב החברה לפיתוח 2021 '!S78</f>
        <v>0</v>
      </c>
      <c r="T78" s="173">
        <f>'תקציב החברה לפיתוח 2021 '!T78</f>
        <v>0</v>
      </c>
      <c r="U78" s="173">
        <f>'תקציב החברה לפיתוח 2021 '!U78</f>
        <v>0</v>
      </c>
      <c r="V78" s="173">
        <f>'תקציב החברה לפיתוח 2021 '!V78</f>
        <v>0</v>
      </c>
      <c r="W78" s="173">
        <f>'תקציב החברה לפיתוח 2021 '!W78</f>
        <v>0</v>
      </c>
      <c r="X78" s="173">
        <f>'תקציב החברה לפיתוח 2021 '!X78</f>
        <v>0</v>
      </c>
      <c r="Y78" s="173">
        <f>'תקציב החברה לפיתוח 2021 '!Y78</f>
        <v>0</v>
      </c>
      <c r="Z78" s="173">
        <f>'תקציב החברה לפיתוח 2021 '!Z78</f>
        <v>0</v>
      </c>
      <c r="AA78" s="173">
        <f>'תקציב החברה לפיתוח 2021 '!AA78</f>
        <v>0</v>
      </c>
      <c r="AB78" s="293" t="str">
        <f>'תקציב החברה לפיתוח 2021 '!AB78</f>
        <v>עבודות פיתוח מערך שבילים בין הרחובות העצמאות הרב גורן ורחוב הבנים.</v>
      </c>
      <c r="AC78" s="172">
        <f>'תקציב החברה לפיתוח 2021 '!AC78</f>
        <v>742000</v>
      </c>
      <c r="AD78" s="284"/>
      <c r="AE78" s="284"/>
      <c r="AF78" s="166"/>
      <c r="AG78" s="166"/>
      <c r="AH78" s="166"/>
      <c r="AI78" s="166"/>
      <c r="AJ78" s="166"/>
    </row>
    <row r="79" spans="1:36" s="5" customFormat="1" ht="30" customHeight="1">
      <c r="A79" s="172">
        <f t="shared" si="1"/>
        <v>75</v>
      </c>
      <c r="B79" s="172">
        <f>'תקציב החברה לפיתוח 2021 '!B79</f>
        <v>2126</v>
      </c>
      <c r="C79" s="326" t="str">
        <f>'תקציב החברה לפיתוח 2021 '!C79</f>
        <v>כיכר העוגן השונית</v>
      </c>
      <c r="D79" s="173">
        <f>'תקציב החברה לפיתוח 2021 '!D79</f>
        <v>1975000</v>
      </c>
      <c r="E79" s="173">
        <f>'תקציב החברה לפיתוח 2021 '!E79</f>
        <v>1375000</v>
      </c>
      <c r="F79" s="173">
        <f>'תקציב החברה לפיתוח 2021 '!F79</f>
        <v>600000</v>
      </c>
      <c r="G79" s="173">
        <f>'תקציב החברה לפיתוח 2021 '!G79</f>
        <v>0</v>
      </c>
      <c r="H79" s="173">
        <f>'תקציב החברה לפיתוח 2021 '!H79</f>
        <v>0</v>
      </c>
      <c r="I79" s="173">
        <f>'תקציב החברה לפיתוח 2021 '!I79</f>
        <v>0</v>
      </c>
      <c r="J79" s="173">
        <f>'תקציב החברה לפיתוח 2021 '!J79</f>
        <v>0</v>
      </c>
      <c r="K79" s="173">
        <f>'תקציב החברה לפיתוח 2021 '!K79</f>
        <v>0</v>
      </c>
      <c r="L79" s="173">
        <f>'תקציב החברה לפיתוח 2021 '!L79</f>
        <v>0</v>
      </c>
      <c r="M79" s="173">
        <f>'תקציב החברה לפיתוח 2021 '!M79</f>
        <v>0</v>
      </c>
      <c r="N79" s="173">
        <f>'תקציב החברה לפיתוח 2021 '!N79</f>
        <v>0</v>
      </c>
      <c r="O79" s="173">
        <f>'תקציב החברה לפיתוח 2021 '!O79</f>
        <v>1975000</v>
      </c>
      <c r="P79" s="173">
        <f>'תקציב החברה לפיתוח 2021 '!P79</f>
        <v>0</v>
      </c>
      <c r="Q79" s="173">
        <f>'תקציב החברה לפיתוח 2021 '!Q79</f>
        <v>0</v>
      </c>
      <c r="R79" s="173">
        <f>'תקציב החברה לפיתוח 2021 '!R79</f>
        <v>0</v>
      </c>
      <c r="S79" s="173">
        <f>'תקציב החברה לפיתוח 2021 '!S79</f>
        <v>0</v>
      </c>
      <c r="T79" s="173">
        <f>'תקציב החברה לפיתוח 2021 '!T79</f>
        <v>0</v>
      </c>
      <c r="U79" s="173">
        <f>'תקציב החברה לפיתוח 2021 '!U79</f>
        <v>0</v>
      </c>
      <c r="V79" s="173">
        <f>'תקציב החברה לפיתוח 2021 '!V79</f>
        <v>0</v>
      </c>
      <c r="W79" s="173">
        <f>'תקציב החברה לפיתוח 2021 '!W79</f>
        <v>0</v>
      </c>
      <c r="X79" s="173">
        <f>'תקציב החברה לפיתוח 2021 '!X79</f>
        <v>0</v>
      </c>
      <c r="Y79" s="173">
        <f>'תקציב החברה לפיתוח 2021 '!Y79</f>
        <v>0</v>
      </c>
      <c r="Z79" s="173">
        <f>'תקציב החברה לפיתוח 2021 '!Z79</f>
        <v>0</v>
      </c>
      <c r="AA79" s="173">
        <f>'תקציב החברה לפיתוח 2021 '!AA79</f>
        <v>0</v>
      </c>
      <c r="AB79" s="293" t="str">
        <f>'תקציב החברה לפיתוח 2021 '!AB79</f>
        <v xml:space="preserve">מימון מ. התחבורה. </v>
      </c>
      <c r="AC79" s="172">
        <f>'תקציב החברה לפיתוח 2021 '!AC79</f>
        <v>742000</v>
      </c>
      <c r="AD79" s="284"/>
      <c r="AE79" s="284"/>
      <c r="AF79" s="166"/>
      <c r="AG79" s="166"/>
      <c r="AH79" s="166"/>
      <c r="AI79" s="166"/>
      <c r="AJ79" s="166"/>
    </row>
    <row r="80" spans="1:36" s="6" customFormat="1" ht="42">
      <c r="A80" s="172">
        <f t="shared" si="1"/>
        <v>76</v>
      </c>
      <c r="B80" s="172">
        <f>'תקציב החברה לפיתוח 2021 '!B80</f>
        <v>2127</v>
      </c>
      <c r="C80" s="326" t="str">
        <f>'תקציב החברה לפיתוח 2021 '!C80</f>
        <v>הגנה על מצוקי הים</v>
      </c>
      <c r="D80" s="173">
        <f>'תקציב החברה לפיתוח 2021 '!D80</f>
        <v>2259000</v>
      </c>
      <c r="E80" s="173">
        <f>'תקציב החברה לפיתוח 2021 '!E80</f>
        <v>1000000</v>
      </c>
      <c r="F80" s="173">
        <f>'תקציב החברה לפיתוח 2021 '!F80</f>
        <v>1259000</v>
      </c>
      <c r="G80" s="173">
        <f>'תקציב החברה לפיתוח 2021 '!G80</f>
        <v>1000000</v>
      </c>
      <c r="H80" s="173">
        <f>'תקציב החברה לפיתוח 2021 '!H80</f>
        <v>24804</v>
      </c>
      <c r="I80" s="173">
        <f>'תקציב החברה לפיתוח 2021 '!I80</f>
        <v>0</v>
      </c>
      <c r="J80" s="173">
        <f>'תקציב החברה לפיתוח 2021 '!J80</f>
        <v>975194</v>
      </c>
      <c r="K80" s="173">
        <f>'תקציב החברה לפיתוח 2021 '!K80</f>
        <v>975194</v>
      </c>
      <c r="L80" s="173">
        <f>'תקציב החברה לפיתוח 2021 '!L80</f>
        <v>999998</v>
      </c>
      <c r="M80" s="173">
        <f>'תקציב החברה לפיתוח 2021 '!M80</f>
        <v>2</v>
      </c>
      <c r="N80" s="173">
        <f>'תקציב החברה לפיתוח 2021 '!N80</f>
        <v>1259000</v>
      </c>
      <c r="O80" s="173">
        <f>'תקציב החברה לפיתוח 2021 '!O80</f>
        <v>0</v>
      </c>
      <c r="P80" s="173">
        <f>'תקציב החברה לפיתוח 2021 '!P80</f>
        <v>2</v>
      </c>
      <c r="Q80" s="173">
        <f>'תקציב החברה לפיתוח 2021 '!Q80</f>
        <v>0</v>
      </c>
      <c r="R80" s="173">
        <f>'תקציב החברה לפיתוח 2021 '!R80</f>
        <v>0</v>
      </c>
      <c r="S80" s="173">
        <f>'תקציב החברה לפיתוח 2021 '!S80</f>
        <v>0</v>
      </c>
      <c r="T80" s="173">
        <f>'תקציב החברה לפיתוח 2021 '!T80</f>
        <v>0</v>
      </c>
      <c r="U80" s="173">
        <f>'תקציב החברה לפיתוח 2021 '!U80</f>
        <v>1259000</v>
      </c>
      <c r="V80" s="173">
        <f>'תקציב החברה לפיתוח 2021 '!V80</f>
        <v>0</v>
      </c>
      <c r="W80" s="173">
        <f>'תקציב החברה לפיתוח 2021 '!W80</f>
        <v>0</v>
      </c>
      <c r="X80" s="173">
        <f>'תקציב החברה לפיתוח 2021 '!X80</f>
        <v>0</v>
      </c>
      <c r="Y80" s="173">
        <f>'תקציב החברה לפיתוח 2021 '!Y80</f>
        <v>0</v>
      </c>
      <c r="Z80" s="173">
        <f>'תקציב החברה לפיתוח 2021 '!Z80</f>
        <v>0</v>
      </c>
      <c r="AA80" s="173">
        <f>'תקציב החברה לפיתוח 2021 '!AA80</f>
        <v>1259000</v>
      </c>
      <c r="AB80" s="293" t="str">
        <f>'תקציב החברה לפיתוח 2021 '!AB80</f>
        <v xml:space="preserve">גיבוש תוכנית פעולות לעבודות הגנה על מצוקי חופי הים . 2021: המשך תכנון. מימון מ. הפנים. </v>
      </c>
      <c r="AC80" s="172">
        <f>'תקציב החברה לפיתוח 2021 '!AC80</f>
        <v>747000</v>
      </c>
      <c r="AD80" s="284"/>
      <c r="AE80" s="284"/>
      <c r="AF80" s="166"/>
      <c r="AG80" s="166"/>
      <c r="AH80" s="166"/>
      <c r="AI80" s="166"/>
      <c r="AJ80" s="166"/>
    </row>
    <row r="81" spans="1:36" s="6" customFormat="1" ht="30" customHeight="1">
      <c r="A81" s="172">
        <f t="shared" si="1"/>
        <v>77</v>
      </c>
      <c r="B81" s="172">
        <f>'תקציב החברה לפיתוח 2021 '!B81</f>
        <v>2130</v>
      </c>
      <c r="C81" s="326" t="str">
        <f>'תקציב החברה לפיתוח 2021 '!C81</f>
        <v>עיצוב חצר לימודית בי"ס גורדון</v>
      </c>
      <c r="D81" s="173">
        <f>'תקציב החברה לפיתוח 2021 '!D81</f>
        <v>500000</v>
      </c>
      <c r="E81" s="173">
        <f>'תקציב החברה לפיתוח 2021 '!E81</f>
        <v>500000</v>
      </c>
      <c r="F81" s="173">
        <f>'תקציב החברה לפיתוח 2021 '!F81</f>
        <v>0</v>
      </c>
      <c r="G81" s="173">
        <f>'תקציב החברה לפיתוח 2021 '!G81</f>
        <v>500000</v>
      </c>
      <c r="H81" s="173">
        <f>'תקציב החברה לפיתוח 2021 '!H81</f>
        <v>7441</v>
      </c>
      <c r="I81" s="173">
        <f>'תקציב החברה לפיתוח 2021 '!I81</f>
        <v>0</v>
      </c>
      <c r="J81" s="173">
        <f>'תקציב החברה לפיתוח 2021 '!J81</f>
        <v>0</v>
      </c>
      <c r="K81" s="173">
        <f>'תקציב החברה לפיתוח 2021 '!K81</f>
        <v>0</v>
      </c>
      <c r="L81" s="173">
        <f>'תקציב החברה לפיתוח 2021 '!L81</f>
        <v>7441</v>
      </c>
      <c r="M81" s="173">
        <f>'תקציב החברה לפיתוח 2021 '!M81</f>
        <v>492559</v>
      </c>
      <c r="N81" s="173">
        <f>'תקציב החברה לפיתוח 2021 '!N81</f>
        <v>0</v>
      </c>
      <c r="O81" s="173">
        <f>'תקציב החברה לפיתוח 2021 '!O81</f>
        <v>0</v>
      </c>
      <c r="P81" s="173">
        <f>'תקציב החברה לפיתוח 2021 '!P81</f>
        <v>492559</v>
      </c>
      <c r="Q81" s="173">
        <f>'תקציב החברה לפיתוח 2021 '!Q81</f>
        <v>0</v>
      </c>
      <c r="R81" s="173">
        <f>'תקציב החברה לפיתוח 2021 '!R81</f>
        <v>0</v>
      </c>
      <c r="S81" s="173">
        <f>'תקציב החברה לפיתוח 2021 '!S81</f>
        <v>0</v>
      </c>
      <c r="T81" s="173">
        <f>'תקציב החברה לפיתוח 2021 '!T81</f>
        <v>0</v>
      </c>
      <c r="U81" s="173">
        <f>'תקציב החברה לפיתוח 2021 '!U81</f>
        <v>0</v>
      </c>
      <c r="V81" s="173">
        <f>'תקציב החברה לפיתוח 2021 '!V81</f>
        <v>0</v>
      </c>
      <c r="W81" s="173">
        <f>'תקציב החברה לפיתוח 2021 '!W81</f>
        <v>0</v>
      </c>
      <c r="X81" s="173">
        <f>'תקציב החברה לפיתוח 2021 '!X81</f>
        <v>0</v>
      </c>
      <c r="Y81" s="173">
        <f>'תקציב החברה לפיתוח 2021 '!Y81</f>
        <v>0</v>
      </c>
      <c r="Z81" s="173">
        <f>'תקציב החברה לפיתוח 2021 '!Z81</f>
        <v>0</v>
      </c>
      <c r="AA81" s="173">
        <f>'תקציב החברה לפיתוח 2021 '!AA81</f>
        <v>0</v>
      </c>
      <c r="AB81" s="293" t="str">
        <f>'תקציב החברה לפיתוח 2021 '!AB81</f>
        <v xml:space="preserve">עיצוב חצר לימודית בי"ס גורדון. מימון חלקי מ. החינוך. </v>
      </c>
      <c r="AC81" s="172">
        <f>'תקציב החברה לפיתוח 2021 '!AC81</f>
        <v>810000</v>
      </c>
      <c r="AD81" s="284"/>
      <c r="AE81" s="284"/>
      <c r="AF81" s="166"/>
      <c r="AG81" s="166"/>
      <c r="AH81" s="166"/>
      <c r="AI81" s="166"/>
      <c r="AJ81" s="166"/>
    </row>
    <row r="82" spans="1:36" s="5" customFormat="1" ht="30" customHeight="1">
      <c r="A82" s="172">
        <f t="shared" si="1"/>
        <v>78</v>
      </c>
      <c r="B82" s="172">
        <f>'תקציב החברה לפיתוח 2021 '!B82</f>
        <v>2147</v>
      </c>
      <c r="C82" s="326" t="str">
        <f>'תקציב החברה לפיתוח 2021 '!C82</f>
        <v>השלמת 6 כיתות בנבון</v>
      </c>
      <c r="D82" s="173">
        <f>'תקציב החברה לפיתוח 2021 '!D82</f>
        <v>6500000</v>
      </c>
      <c r="E82" s="173">
        <f>'תקציב החברה לפיתוח 2021 '!E82</f>
        <v>6500000</v>
      </c>
      <c r="F82" s="173">
        <f>'תקציב החברה לפיתוח 2021 '!F82</f>
        <v>0</v>
      </c>
      <c r="G82" s="173">
        <f>'תקציב החברה לפיתוח 2021 '!G82</f>
        <v>6500000</v>
      </c>
      <c r="H82" s="173">
        <f>'תקציב החברה לפיתוח 2021 '!H82</f>
        <v>410670</v>
      </c>
      <c r="I82" s="173">
        <f>'תקציב החברה לפיתוח 2021 '!I82</f>
        <v>0</v>
      </c>
      <c r="J82" s="173">
        <f>'תקציב החברה לפיתוח 2021 '!J82</f>
        <v>4347853</v>
      </c>
      <c r="K82" s="173">
        <f>'תקציב החברה לפיתוח 2021 '!K82</f>
        <v>4347853</v>
      </c>
      <c r="L82" s="173">
        <f>'תקציב החברה לפיתוח 2021 '!L82</f>
        <v>4758523</v>
      </c>
      <c r="M82" s="173">
        <f>'תקציב החברה לפיתוח 2021 '!M82</f>
        <v>1741477</v>
      </c>
      <c r="N82" s="173">
        <f>'תקציב החברה לפיתוח 2021 '!N82</f>
        <v>0</v>
      </c>
      <c r="O82" s="173">
        <f>'תקציב החברה לפיתוח 2021 '!O82</f>
        <v>0</v>
      </c>
      <c r="P82" s="173">
        <f>'תקציב החברה לפיתוח 2021 '!P82</f>
        <v>1741477</v>
      </c>
      <c r="Q82" s="173">
        <f>'תקציב החברה לפיתוח 2021 '!Q82</f>
        <v>0</v>
      </c>
      <c r="R82" s="173">
        <f>'תקציב החברה לפיתוח 2021 '!R82</f>
        <v>0</v>
      </c>
      <c r="S82" s="173">
        <f>'תקציב החברה לפיתוח 2021 '!S82</f>
        <v>0</v>
      </c>
      <c r="T82" s="173">
        <f>'תקציב החברה לפיתוח 2021 '!T82</f>
        <v>0</v>
      </c>
      <c r="U82" s="173">
        <f>'תקציב החברה לפיתוח 2021 '!U82</f>
        <v>0</v>
      </c>
      <c r="V82" s="173">
        <f>'תקציב החברה לפיתוח 2021 '!V82</f>
        <v>0</v>
      </c>
      <c r="W82" s="173">
        <f>'תקציב החברה לפיתוח 2021 '!W82</f>
        <v>0</v>
      </c>
      <c r="X82" s="173">
        <f>'תקציב החברה לפיתוח 2021 '!X82</f>
        <v>0</v>
      </c>
      <c r="Y82" s="173">
        <f>'תקציב החברה לפיתוח 2021 '!Y82</f>
        <v>0</v>
      </c>
      <c r="Z82" s="173">
        <f>'תקציב החברה לפיתוח 2021 '!Z82</f>
        <v>0</v>
      </c>
      <c r="AA82" s="173">
        <f>'תקציב החברה לפיתוח 2021 '!AA82</f>
        <v>0</v>
      </c>
      <c r="AB82" s="293" t="str">
        <f>'תקציב החברה לפיתוח 2021 '!AB82</f>
        <v xml:space="preserve">הוספת 6 כיתות כולל מיקלוט במתחם בי"ס נבון. הצטיידות בחינוך. </v>
      </c>
      <c r="AC82" s="172">
        <f>'תקציב החברה לפיתוח 2021 '!AC82</f>
        <v>810000</v>
      </c>
      <c r="AD82" s="284"/>
      <c r="AE82" s="284"/>
      <c r="AF82" s="166"/>
      <c r="AG82" s="166"/>
      <c r="AH82" s="166"/>
      <c r="AI82" s="166"/>
      <c r="AJ82" s="166"/>
    </row>
    <row r="83" spans="1:36" s="5" customFormat="1" ht="42">
      <c r="A83" s="172">
        <f t="shared" si="1"/>
        <v>79</v>
      </c>
      <c r="B83" s="172">
        <f>'תקציב החברה לפיתוח 2021 '!B83</f>
        <v>2148</v>
      </c>
      <c r="C83" s="326" t="str">
        <f>'תקציב החברה לפיתוח 2021 '!C83</f>
        <v>מתקן חניה עילי  בחניון באיזהת"ש בספיר (*) עדכון שם</v>
      </c>
      <c r="D83" s="173">
        <f>'תקציב החברה לפיתוח 2021 '!D83</f>
        <v>1200000</v>
      </c>
      <c r="E83" s="173">
        <f>'תקציב החברה לפיתוח 2021 '!E83</f>
        <v>1200000</v>
      </c>
      <c r="F83" s="173">
        <f>'תקציב החברה לפיתוח 2021 '!F83</f>
        <v>0</v>
      </c>
      <c r="G83" s="173">
        <f>'תקציב החברה לפיתוח 2021 '!G83</f>
        <v>0</v>
      </c>
      <c r="H83" s="173">
        <f>'תקציב החברה לפיתוח 2021 '!H83</f>
        <v>0</v>
      </c>
      <c r="I83" s="173">
        <f>'תקציב החברה לפיתוח 2021 '!I83</f>
        <v>0</v>
      </c>
      <c r="J83" s="173">
        <f>'תקציב החברה לפיתוח 2021 '!J83</f>
        <v>0</v>
      </c>
      <c r="K83" s="173">
        <f>'תקציב החברה לפיתוח 2021 '!K83</f>
        <v>0</v>
      </c>
      <c r="L83" s="173">
        <f>'תקציב החברה לפיתוח 2021 '!L83</f>
        <v>0</v>
      </c>
      <c r="M83" s="173">
        <f>'תקציב החברה לפיתוח 2021 '!M83</f>
        <v>0</v>
      </c>
      <c r="N83" s="173">
        <f>'תקציב החברה לפיתוח 2021 '!N83</f>
        <v>0</v>
      </c>
      <c r="O83" s="173">
        <f>'תקציב החברה לפיתוח 2021 '!O83</f>
        <v>1200000</v>
      </c>
      <c r="P83" s="173">
        <f>'תקציב החברה לפיתוח 2021 '!P83</f>
        <v>0</v>
      </c>
      <c r="Q83" s="173">
        <f>'תקציב החברה לפיתוח 2021 '!Q83</f>
        <v>0</v>
      </c>
      <c r="R83" s="173">
        <f>'תקציב החברה לפיתוח 2021 '!R83</f>
        <v>0</v>
      </c>
      <c r="S83" s="173">
        <f>'תקציב החברה לפיתוח 2021 '!S83</f>
        <v>0</v>
      </c>
      <c r="T83" s="173">
        <f>'תקציב החברה לפיתוח 2021 '!T83</f>
        <v>0</v>
      </c>
      <c r="U83" s="173">
        <f>'תקציב החברה לפיתוח 2021 '!U83</f>
        <v>0</v>
      </c>
      <c r="V83" s="173">
        <f>'תקציב החברה לפיתוח 2021 '!V83</f>
        <v>0</v>
      </c>
      <c r="W83" s="173">
        <f>'תקציב החברה לפיתוח 2021 '!W83</f>
        <v>0</v>
      </c>
      <c r="X83" s="173">
        <f>'תקציב החברה לפיתוח 2021 '!X83</f>
        <v>0</v>
      </c>
      <c r="Y83" s="173">
        <f>'תקציב החברה לפיתוח 2021 '!Y83</f>
        <v>0</v>
      </c>
      <c r="Z83" s="173">
        <f>'תקציב החברה לפיתוח 2021 '!Z83</f>
        <v>0</v>
      </c>
      <c r="AA83" s="173">
        <f>'תקציב החברה לפיתוח 2021 '!AA83</f>
        <v>0</v>
      </c>
      <c r="AB83" s="293" t="str">
        <f>'תקציב החברה לפיתוח 2021 '!AB83</f>
        <v xml:space="preserve">הקמת מתקן חניה עילי באחד מחניוני אזהת"ש. </v>
      </c>
      <c r="AC83" s="172">
        <f>'תקציב החברה לפיתוח 2021 '!AC83</f>
        <v>742000</v>
      </c>
      <c r="AD83" s="284"/>
      <c r="AE83" s="284"/>
      <c r="AF83" s="166"/>
      <c r="AG83" s="166"/>
      <c r="AH83" s="166"/>
      <c r="AI83" s="166"/>
      <c r="AJ83" s="166"/>
    </row>
    <row r="84" spans="1:36" s="5" customFormat="1" ht="56">
      <c r="A84" s="172">
        <f t="shared" si="1"/>
        <v>80</v>
      </c>
      <c r="B84" s="172">
        <f>'תקציב החברה לפיתוח 2021 '!B84</f>
        <v>2149</v>
      </c>
      <c r="C84" s="326" t="str">
        <f>'תקציב החברה לפיתוח 2021 '!C84</f>
        <v>בחינת התכנות לגנ"י חדשים במתחמים שונים. (*) עדכון שם</v>
      </c>
      <c r="D84" s="173">
        <f>'תקציב החברה לפיתוח 2021 '!D84</f>
        <v>2000000</v>
      </c>
      <c r="E84" s="173">
        <f>'תקציב החברה לפיתוח 2021 '!E84</f>
        <v>30000000</v>
      </c>
      <c r="F84" s="173">
        <f>'תקציב החברה לפיתוח 2021 '!F84</f>
        <v>-28000000</v>
      </c>
      <c r="G84" s="173">
        <f>'תקציב החברה לפיתוח 2021 '!G84</f>
        <v>2000000</v>
      </c>
      <c r="H84" s="173">
        <f>'תקציב החברה לפיתוח 2021 '!H84</f>
        <v>200635</v>
      </c>
      <c r="I84" s="173">
        <f>'תקציב החברה לפיתוח 2021 '!I84</f>
        <v>0</v>
      </c>
      <c r="J84" s="173">
        <f>'תקציב החברה לפיתוח 2021 '!J84</f>
        <v>149364</v>
      </c>
      <c r="K84" s="173">
        <f>'תקציב החברה לפיתוח 2021 '!K84</f>
        <v>149364</v>
      </c>
      <c r="L84" s="173">
        <f>'תקציב החברה לפיתוח 2021 '!L84</f>
        <v>349999</v>
      </c>
      <c r="M84" s="173">
        <f>'תקציב החברה לפיתוח 2021 '!M84</f>
        <v>1650001</v>
      </c>
      <c r="N84" s="173">
        <f>'תקציב החברה לפיתוח 2021 '!N84</f>
        <v>0</v>
      </c>
      <c r="O84" s="173">
        <f>'תקציב החברה לפיתוח 2021 '!O84</f>
        <v>0</v>
      </c>
      <c r="P84" s="173">
        <f>'תקציב החברה לפיתוח 2021 '!P84</f>
        <v>1650001</v>
      </c>
      <c r="Q84" s="173">
        <f>'תקציב החברה לפיתוח 2021 '!Q84</f>
        <v>0</v>
      </c>
      <c r="R84" s="173">
        <f>'תקציב החברה לפיתוח 2021 '!R84</f>
        <v>0</v>
      </c>
      <c r="S84" s="173">
        <f>'תקציב החברה לפיתוח 2021 '!S84</f>
        <v>0</v>
      </c>
      <c r="T84" s="173">
        <f>'תקציב החברה לפיתוח 2021 '!T84</f>
        <v>0</v>
      </c>
      <c r="U84" s="173">
        <f>'תקציב החברה לפיתוח 2021 '!U84</f>
        <v>0</v>
      </c>
      <c r="V84" s="173">
        <f>'תקציב החברה לפיתוח 2021 '!V84</f>
        <v>0</v>
      </c>
      <c r="W84" s="173">
        <f>'תקציב החברה לפיתוח 2021 '!W84</f>
        <v>0</v>
      </c>
      <c r="X84" s="173">
        <f>'תקציב החברה לפיתוח 2021 '!X84</f>
        <v>0</v>
      </c>
      <c r="Y84" s="173">
        <f>'תקציב החברה לפיתוח 2021 '!Y84</f>
        <v>0</v>
      </c>
      <c r="Z84" s="173">
        <f>'תקציב החברה לפיתוח 2021 '!Z84</f>
        <v>0</v>
      </c>
      <c r="AA84" s="173">
        <f>'תקציב החברה לפיתוח 2021 '!AA84</f>
        <v>0</v>
      </c>
      <c r="AB84" s="293" t="str">
        <f>'תקציב החברה לפיתוח 2021 '!AB84</f>
        <v xml:space="preserve">בדיקת התכנות לבניית גנ"י ב - 3 מתחמים שונים  מתחם אחד העם, הסתדרות, נוף ים .בהתאם לצרכים העירוניים מעת לעת. </v>
      </c>
      <c r="AC84" s="172">
        <f>'תקציב החברה לפיתוח 2021 '!AC84</f>
        <v>810000</v>
      </c>
      <c r="AD84" s="284"/>
      <c r="AE84" s="284"/>
      <c r="AF84" s="166"/>
      <c r="AG84" s="166"/>
      <c r="AH84" s="166"/>
      <c r="AI84" s="166"/>
      <c r="AJ84" s="166"/>
    </row>
    <row r="85" spans="1:36" s="5" customFormat="1" ht="42">
      <c r="A85" s="172">
        <f t="shared" si="1"/>
        <v>81</v>
      </c>
      <c r="B85" s="172">
        <f>'תקציב החברה לפיתוח 2021 '!B85</f>
        <v>2150</v>
      </c>
      <c r="C85" s="326" t="str">
        <f>'תקציב החברה לפיתוח 2021 '!C85</f>
        <v>חורשת האקליפטוסים שצ"פים במתחם הר 1960 (*) עדכון שם</v>
      </c>
      <c r="D85" s="173">
        <f>'תקציב החברה לפיתוח 2021 '!D85</f>
        <v>23500000</v>
      </c>
      <c r="E85" s="173">
        <f>'תקציב החברה לפיתוח 2021 '!E85</f>
        <v>3500000</v>
      </c>
      <c r="F85" s="173">
        <f>'תקציב החברה לפיתוח 2021 '!F85</f>
        <v>20000000</v>
      </c>
      <c r="G85" s="173">
        <f>'תקציב החברה לפיתוח 2021 '!G85</f>
        <v>150000</v>
      </c>
      <c r="H85" s="173">
        <f>'תקציב החברה לפיתוח 2021 '!H85</f>
        <v>146784</v>
      </c>
      <c r="I85" s="173">
        <f>'תקציב החברה לפיתוח 2021 '!I85</f>
        <v>0</v>
      </c>
      <c r="J85" s="173">
        <f>'תקציב החברה לפיתוח 2021 '!J85</f>
        <v>3215</v>
      </c>
      <c r="K85" s="173">
        <f>'תקציב החברה לפיתוח 2021 '!K85</f>
        <v>3215</v>
      </c>
      <c r="L85" s="173">
        <f>'תקציב החברה לפיתוח 2021 '!L85</f>
        <v>149999</v>
      </c>
      <c r="M85" s="173">
        <f>'תקציב החברה לפיתוח 2021 '!M85</f>
        <v>1</v>
      </c>
      <c r="N85" s="173">
        <f>'תקציב החברה לפיתוח 2021 '!N85</f>
        <v>10000000</v>
      </c>
      <c r="O85" s="173">
        <f>'תקציב החברה לפיתוח 2021 '!O85</f>
        <v>13350000</v>
      </c>
      <c r="P85" s="173">
        <f>'תקציב החברה לפיתוח 2021 '!P85</f>
        <v>1</v>
      </c>
      <c r="Q85" s="173">
        <f>'תקציב החברה לפיתוח 2021 '!Q85</f>
        <v>0</v>
      </c>
      <c r="R85" s="173">
        <f>'תקציב החברה לפיתוח 2021 '!R85</f>
        <v>0</v>
      </c>
      <c r="S85" s="173">
        <f>'תקציב החברה לפיתוח 2021 '!S85</f>
        <v>0</v>
      </c>
      <c r="T85" s="173">
        <f>'תקציב החברה לפיתוח 2021 '!T85</f>
        <v>0</v>
      </c>
      <c r="U85" s="173">
        <f>'תקציב החברה לפיתוח 2021 '!U85</f>
        <v>10000000</v>
      </c>
      <c r="V85" s="173">
        <f>'תקציב החברה לפיתוח 2021 '!V85</f>
        <v>10000000</v>
      </c>
      <c r="W85" s="173">
        <f>'תקציב החברה לפיתוח 2021 '!W85</f>
        <v>0</v>
      </c>
      <c r="X85" s="173">
        <f>'תקציב החברה לפיתוח 2021 '!X85</f>
        <v>0</v>
      </c>
      <c r="Y85" s="173">
        <f>'תקציב החברה לפיתוח 2021 '!Y85</f>
        <v>0</v>
      </c>
      <c r="Z85" s="173">
        <f>'תקציב החברה לפיתוח 2021 '!Z85</f>
        <v>0</v>
      </c>
      <c r="AA85" s="173">
        <f>'תקציב החברה לפיתוח 2021 '!AA85</f>
        <v>0</v>
      </c>
      <c r="AB85" s="293" t="str">
        <f>'תקציב החברה לפיתוח 2021 '!AB85</f>
        <v xml:space="preserve">ביצוע שצ"פים במתחם : מלכי יהודה (האקליפטוס), קורן,דן שומרון,דורי,משה שמיר. </v>
      </c>
      <c r="AC85" s="172">
        <f>'תקציב החברה לפיתוח 2021 '!AC85</f>
        <v>746000</v>
      </c>
      <c r="AD85" s="284"/>
      <c r="AE85" s="284"/>
      <c r="AF85" s="166"/>
      <c r="AG85" s="166"/>
      <c r="AH85" s="166"/>
      <c r="AI85" s="166"/>
      <c r="AJ85" s="166"/>
    </row>
    <row r="86" spans="1:36" s="5" customFormat="1" ht="42">
      <c r="A86" s="172">
        <f t="shared" si="1"/>
        <v>82</v>
      </c>
      <c r="B86" s="172">
        <f>'תקציב החברה לפיתוח 2021 '!B86</f>
        <v>2151</v>
      </c>
      <c r="C86" s="326" t="str">
        <f>'תקציב החברה לפיתוח 2021 '!C86</f>
        <v>מתחם בזק</v>
      </c>
      <c r="D86" s="173">
        <f>'תקציב החברה לפיתוח 2021 '!D86</f>
        <v>54000000</v>
      </c>
      <c r="E86" s="173">
        <f>'תקציב החברה לפיתוח 2021 '!E86</f>
        <v>2000000</v>
      </c>
      <c r="F86" s="173">
        <f>'תקציב החברה לפיתוח 2021 '!F86</f>
        <v>52000000</v>
      </c>
      <c r="G86" s="173">
        <f>'תקציב החברה לפיתוח 2021 '!G86</f>
        <v>2000000</v>
      </c>
      <c r="H86" s="173">
        <f>'תקציב החברה לפיתוח 2021 '!H86</f>
        <v>446093</v>
      </c>
      <c r="I86" s="173">
        <f>'תקציב החברה לפיתוח 2021 '!I86</f>
        <v>0</v>
      </c>
      <c r="J86" s="173">
        <f>'תקציב החברה לפיתוח 2021 '!J86</f>
        <v>3906</v>
      </c>
      <c r="K86" s="173">
        <f>'תקציב החברה לפיתוח 2021 '!K86</f>
        <v>3906</v>
      </c>
      <c r="L86" s="173">
        <f>'תקציב החברה לפיתוח 2021 '!L86</f>
        <v>449999</v>
      </c>
      <c r="M86" s="173">
        <f>'תקציב החברה לפיתוח 2021 '!M86</f>
        <v>1550001</v>
      </c>
      <c r="N86" s="173">
        <f>'תקציב החברה לפיתוח 2021 '!N86</f>
        <v>3000000</v>
      </c>
      <c r="O86" s="173">
        <f>'תקציב החברה לפיתוח 2021 '!O86</f>
        <v>49000000</v>
      </c>
      <c r="P86" s="173">
        <f>'תקציב החברה לפיתוח 2021 '!P86</f>
        <v>1550001</v>
      </c>
      <c r="Q86" s="173">
        <f>'תקציב החברה לפיתוח 2021 '!Q86</f>
        <v>0</v>
      </c>
      <c r="R86" s="173">
        <f>'תקציב החברה לפיתוח 2021 '!R86</f>
        <v>0</v>
      </c>
      <c r="S86" s="173">
        <f>'תקציב החברה לפיתוח 2021 '!S86</f>
        <v>0</v>
      </c>
      <c r="T86" s="173">
        <f>'תקציב החברה לפיתוח 2021 '!T86</f>
        <v>0</v>
      </c>
      <c r="U86" s="173">
        <f>'תקציב החברה לפיתוח 2021 '!U86</f>
        <v>3000000</v>
      </c>
      <c r="V86" s="173">
        <f>'תקציב החברה לפיתוח 2021 '!V86</f>
        <v>3000000</v>
      </c>
      <c r="W86" s="173">
        <f>'תקציב החברה לפיתוח 2021 '!W86</f>
        <v>0</v>
      </c>
      <c r="X86" s="173">
        <f>'תקציב החברה לפיתוח 2021 '!X86</f>
        <v>0</v>
      </c>
      <c r="Y86" s="173">
        <f>'תקציב החברה לפיתוח 2021 '!Y86</f>
        <v>0</v>
      </c>
      <c r="Z86" s="173">
        <f>'תקציב החברה לפיתוח 2021 '!Z86</f>
        <v>0</v>
      </c>
      <c r="AA86" s="173">
        <f>'תקציב החברה לפיתוח 2021 '!AA86</f>
        <v>0</v>
      </c>
      <c r="AB86" s="293" t="str">
        <f>'תקציב החברה לפיתוח 2021 '!AB86</f>
        <v>תכנון ראשוני של פיתוח מתחם "בזק" בו ייבנה בניין משרדים שבין היתר יאוכלס אגף הרווחה.</v>
      </c>
      <c r="AC86" s="172">
        <f>'תקציב החברה לפיתוח 2021 '!AC86</f>
        <v>742000</v>
      </c>
      <c r="AD86" s="284"/>
      <c r="AE86" s="284"/>
      <c r="AF86" s="166"/>
      <c r="AG86" s="166"/>
      <c r="AH86" s="166"/>
      <c r="AI86" s="166"/>
      <c r="AJ86" s="166"/>
    </row>
    <row r="87" spans="1:36" s="5" customFormat="1" ht="41.4" customHeight="1">
      <c r="A87" s="172">
        <f t="shared" si="1"/>
        <v>83</v>
      </c>
      <c r="B87" s="172">
        <f>'תקציב החברה לפיתוח 2021 '!B87</f>
        <v>2152</v>
      </c>
      <c r="C87" s="326" t="str">
        <f>'תקציב החברה לפיתוח 2021 '!C87</f>
        <v>בית ספר בן צבי</v>
      </c>
      <c r="D87" s="173">
        <f>'תקציב החברה לפיתוח 2021 '!D87</f>
        <v>16000000</v>
      </c>
      <c r="E87" s="173">
        <f>'תקציב החברה לפיתוח 2021 '!E87</f>
        <v>1000000</v>
      </c>
      <c r="F87" s="173">
        <f>'תקציב החברה לפיתוח 2021 '!F87</f>
        <v>15000000</v>
      </c>
      <c r="G87" s="173">
        <f>'תקציב החברה לפיתוח 2021 '!G87</f>
        <v>1000000</v>
      </c>
      <c r="H87" s="173">
        <f>'תקציב החברה לפיתוח 2021 '!H87</f>
        <v>31005</v>
      </c>
      <c r="I87" s="173">
        <f>'תקציב החברה לפיתוח 2021 '!I87</f>
        <v>0</v>
      </c>
      <c r="J87" s="173">
        <f>'תקציב החברה לפיתוח 2021 '!J87</f>
        <v>93015</v>
      </c>
      <c r="K87" s="173">
        <f>'תקציב החברה לפיתוח 2021 '!K87</f>
        <v>93015</v>
      </c>
      <c r="L87" s="173">
        <f>'תקציב החברה לפיתוח 2021 '!L87</f>
        <v>124020</v>
      </c>
      <c r="M87" s="173">
        <f>'תקציב החברה לפיתוח 2021 '!M87</f>
        <v>875980</v>
      </c>
      <c r="N87" s="173">
        <f>'תקציב החברה לפיתוח 2021 '!N87</f>
        <v>500000</v>
      </c>
      <c r="O87" s="173">
        <f>'תקציב החברה לפיתוח 2021 '!O87</f>
        <v>14500000</v>
      </c>
      <c r="P87" s="173">
        <f>'תקציב החברה לפיתוח 2021 '!P87</f>
        <v>875980</v>
      </c>
      <c r="Q87" s="173">
        <f>'תקציב החברה לפיתוח 2021 '!Q87</f>
        <v>0</v>
      </c>
      <c r="R87" s="173">
        <f>'תקציב החברה לפיתוח 2021 '!R87</f>
        <v>0</v>
      </c>
      <c r="S87" s="173">
        <f>'תקציב החברה לפיתוח 2021 '!S87</f>
        <v>0</v>
      </c>
      <c r="T87" s="173">
        <f>'תקציב החברה לפיתוח 2021 '!T87</f>
        <v>0</v>
      </c>
      <c r="U87" s="173">
        <f>'תקציב החברה לפיתוח 2021 '!U87</f>
        <v>500000</v>
      </c>
      <c r="V87" s="173">
        <f>'תקציב החברה לפיתוח 2021 '!V87</f>
        <v>500000</v>
      </c>
      <c r="W87" s="173">
        <f>'תקציב החברה לפיתוח 2021 '!W87</f>
        <v>0</v>
      </c>
      <c r="X87" s="173">
        <f>'תקציב החברה לפיתוח 2021 '!X87</f>
        <v>0</v>
      </c>
      <c r="Y87" s="173">
        <f>'תקציב החברה לפיתוח 2021 '!Y87</f>
        <v>0</v>
      </c>
      <c r="Z87" s="173">
        <f>'תקציב החברה לפיתוח 2021 '!Z87</f>
        <v>0</v>
      </c>
      <c r="AA87" s="173">
        <f>'תקציב החברה לפיתוח 2021 '!AA87</f>
        <v>0</v>
      </c>
      <c r="AB87" s="293" t="str">
        <f>'תקציב החברה לפיתוח 2021 '!AB87</f>
        <v>הריסת מבני ספח והקמת מבנה חדש.תכנון ראשוני בי"ס בן צבי. הרחבה ל - 24 כיתות.</v>
      </c>
      <c r="AC87" s="172">
        <f>'תקציב החברה לפיתוח 2021 '!AC87</f>
        <v>810000</v>
      </c>
      <c r="AD87" s="284"/>
      <c r="AE87" s="284"/>
      <c r="AF87" s="166"/>
      <c r="AG87" s="166"/>
      <c r="AH87" s="166"/>
      <c r="AI87" s="166"/>
      <c r="AJ87" s="166"/>
    </row>
    <row r="88" spans="1:36" s="5" customFormat="1" ht="30" customHeight="1">
      <c r="A88" s="172">
        <f t="shared" si="1"/>
        <v>84</v>
      </c>
      <c r="B88" s="172">
        <f>'תקציב החברה לפיתוח 2021 '!B88</f>
        <v>2153</v>
      </c>
      <c r="C88" s="326" t="str">
        <f>'תקציב החברה לפיתוח 2021 '!C88</f>
        <v>הקמת ארנה</v>
      </c>
      <c r="D88" s="173">
        <f>'תקציב החברה לפיתוח 2021 '!D88</f>
        <v>1000000</v>
      </c>
      <c r="E88" s="173">
        <f>'תקציב החברה לפיתוח 2021 '!E88</f>
        <v>1000000</v>
      </c>
      <c r="F88" s="173">
        <f>'תקציב החברה לפיתוח 2021 '!F88</f>
        <v>0</v>
      </c>
      <c r="G88" s="173">
        <f>'תקציב החברה לפיתוח 2021 '!G88</f>
        <v>300000</v>
      </c>
      <c r="H88" s="173">
        <f>'תקציב החברה לפיתוח 2021 '!H88</f>
        <v>24804</v>
      </c>
      <c r="I88" s="173">
        <f>'תקציב החברה לפיתוח 2021 '!I88</f>
        <v>0</v>
      </c>
      <c r="J88" s="173">
        <f>'תקציב החברה לפיתוח 2021 '!J88</f>
        <v>125195</v>
      </c>
      <c r="K88" s="173">
        <f>'תקציב החברה לפיתוח 2021 '!K88</f>
        <v>125195</v>
      </c>
      <c r="L88" s="173">
        <f>'תקציב החברה לפיתוח 2021 '!L88</f>
        <v>149999</v>
      </c>
      <c r="M88" s="173">
        <f>'תקציב החברה לפיתוח 2021 '!M88</f>
        <v>150001</v>
      </c>
      <c r="N88" s="173">
        <f>'תקציב החברה לפיתוח 2021 '!N88</f>
        <v>700000</v>
      </c>
      <c r="O88" s="173">
        <f>'תקציב החברה לפיתוח 2021 '!O88</f>
        <v>0</v>
      </c>
      <c r="P88" s="173">
        <f>'תקציב החברה לפיתוח 2021 '!P88</f>
        <v>150001</v>
      </c>
      <c r="Q88" s="173">
        <f>'תקציב החברה לפיתוח 2021 '!Q88</f>
        <v>0</v>
      </c>
      <c r="R88" s="173">
        <f>'תקציב החברה לפיתוח 2021 '!R88</f>
        <v>0</v>
      </c>
      <c r="S88" s="173">
        <f>'תקציב החברה לפיתוח 2021 '!S88</f>
        <v>0</v>
      </c>
      <c r="T88" s="173">
        <f>'תקציב החברה לפיתוח 2021 '!T88</f>
        <v>0</v>
      </c>
      <c r="U88" s="173">
        <f>'תקציב החברה לפיתוח 2021 '!U88</f>
        <v>700000</v>
      </c>
      <c r="V88" s="173">
        <f>'תקציב החברה לפיתוח 2021 '!V88</f>
        <v>700000</v>
      </c>
      <c r="W88" s="173">
        <f>'תקציב החברה לפיתוח 2021 '!W88</f>
        <v>0</v>
      </c>
      <c r="X88" s="173">
        <f>'תקציב החברה לפיתוח 2021 '!X88</f>
        <v>0</v>
      </c>
      <c r="Y88" s="173">
        <f>'תקציב החברה לפיתוח 2021 '!Y88</f>
        <v>0</v>
      </c>
      <c r="Z88" s="173">
        <f>'תקציב החברה לפיתוח 2021 '!Z88</f>
        <v>0</v>
      </c>
      <c r="AA88" s="173">
        <f>'תקציב החברה לפיתוח 2021 '!AA88</f>
        <v>0</v>
      </c>
      <c r="AB88" s="293" t="str">
        <f>'תקציב החברה לפיתוח 2021 '!AB88</f>
        <v>המשך תכנון ראשוני הקמת ארנה באיזור האיצטדיון.</v>
      </c>
      <c r="AC88" s="172">
        <f>'תקציב החברה לפיתוח 2021 '!AC88</f>
        <v>829000</v>
      </c>
      <c r="AD88" s="284"/>
      <c r="AE88" s="284"/>
      <c r="AF88" s="166"/>
      <c r="AG88" s="166"/>
      <c r="AH88" s="166"/>
      <c r="AI88" s="166"/>
      <c r="AJ88" s="166"/>
    </row>
    <row r="89" spans="1:36" s="5" customFormat="1" ht="42">
      <c r="A89" s="172">
        <f t="shared" si="1"/>
        <v>85</v>
      </c>
      <c r="B89" s="172">
        <f>'תקציב החברה לפיתוח 2021 '!B89</f>
        <v>2174</v>
      </c>
      <c r="C89" s="326" t="str">
        <f>'תקציב החברה לפיתוח 2021 '!C89</f>
        <v>גנ"י מתחם זרובבל</v>
      </c>
      <c r="D89" s="173">
        <f>'תקציב החברה לפיתוח 2021 '!D89</f>
        <v>12600000</v>
      </c>
      <c r="E89" s="173">
        <f>'תקציב החברה לפיתוח 2021 '!E89</f>
        <v>12600000</v>
      </c>
      <c r="F89" s="173">
        <f>'תקציב החברה לפיתוח 2021 '!F89</f>
        <v>0</v>
      </c>
      <c r="G89" s="173">
        <f>'תקציב החברה לפיתוח 2021 '!G89</f>
        <v>4500000</v>
      </c>
      <c r="H89" s="173">
        <f>'תקציב החברה לפיתוח 2021 '!H89</f>
        <v>6201</v>
      </c>
      <c r="I89" s="173">
        <f>'תקציב החברה לפיתוח 2021 '!I89</f>
        <v>0</v>
      </c>
      <c r="J89" s="173">
        <f>'תקציב החברה לפיתוח 2021 '!J89</f>
        <v>493797</v>
      </c>
      <c r="K89" s="173">
        <f>'תקציב החברה לפיתוח 2021 '!K89</f>
        <v>493797</v>
      </c>
      <c r="L89" s="173">
        <f>'תקציב החברה לפיתוח 2021 '!L89</f>
        <v>499998</v>
      </c>
      <c r="M89" s="173">
        <f>'תקציב החברה לפיתוח 2021 '!M89</f>
        <v>4000002</v>
      </c>
      <c r="N89" s="173">
        <f>'תקציב החברה לפיתוח 2021 '!N89</f>
        <v>8100000</v>
      </c>
      <c r="O89" s="173">
        <f>'תקציב החברה לפיתוח 2021 '!O89</f>
        <v>0</v>
      </c>
      <c r="P89" s="173">
        <f>'תקציב החברה לפיתוח 2021 '!P89</f>
        <v>4000002</v>
      </c>
      <c r="Q89" s="173">
        <f>'תקציב החברה לפיתוח 2021 '!Q89</f>
        <v>0</v>
      </c>
      <c r="R89" s="173">
        <f>'תקציב החברה לפיתוח 2021 '!R89</f>
        <v>0</v>
      </c>
      <c r="S89" s="173">
        <f>'תקציב החברה לפיתוח 2021 '!S89</f>
        <v>0</v>
      </c>
      <c r="T89" s="173">
        <f>'תקציב החברה לפיתוח 2021 '!T89</f>
        <v>0</v>
      </c>
      <c r="U89" s="173">
        <f>'תקציב החברה לפיתוח 2021 '!U89</f>
        <v>8100000</v>
      </c>
      <c r="V89" s="173">
        <f>'תקציב החברה לפיתוח 2021 '!V89</f>
        <v>5048992</v>
      </c>
      <c r="W89" s="173">
        <f>'תקציב החברה לפיתוח 2021 '!W89</f>
        <v>0</v>
      </c>
      <c r="X89" s="173">
        <f>'תקציב החברה לפיתוח 2021 '!X89</f>
        <v>0</v>
      </c>
      <c r="Y89" s="173">
        <f>'תקציב החברה לפיתוח 2021 '!Y89</f>
        <v>0</v>
      </c>
      <c r="Z89" s="173">
        <f>'תקציב החברה לפיתוח 2021 '!Z89</f>
        <v>0</v>
      </c>
      <c r="AA89" s="173">
        <f>'תקציב החברה לפיתוח 2021 '!AA89</f>
        <v>3051008</v>
      </c>
      <c r="AB89" s="293" t="str">
        <f>'תקציב החברה לפיתוח 2021 '!AB89</f>
        <v xml:space="preserve">תכנון וביצוע הקמת 4 כיתות גן במתחם זרובבל. מימון מ. החינוך. לו"ז לאיכלוס 9/2021. </v>
      </c>
      <c r="AC89" s="172">
        <f>'תקציב החברה לפיתוח 2021 '!AC89</f>
        <v>810000</v>
      </c>
      <c r="AD89" s="284"/>
      <c r="AE89" s="284"/>
      <c r="AF89" s="166"/>
      <c r="AG89" s="166"/>
      <c r="AH89" s="166"/>
      <c r="AI89" s="166"/>
      <c r="AJ89" s="166"/>
    </row>
    <row r="90" spans="1:36" s="5" customFormat="1" ht="42">
      <c r="A90" s="172">
        <f t="shared" si="1"/>
        <v>86</v>
      </c>
      <c r="B90" s="172">
        <f>'תקציב החברה לפיתוח 2021 '!B90</f>
        <v>2175</v>
      </c>
      <c r="C90" s="326" t="str">
        <f>'תקציב החברה לפיתוח 2021 '!C90</f>
        <v>גנ"י דוד השמעוני</v>
      </c>
      <c r="D90" s="173">
        <f>'תקציב החברה לפיתוח 2021 '!D90</f>
        <v>21000000</v>
      </c>
      <c r="E90" s="173">
        <f>'תקציב החברה לפיתוח 2021 '!E90</f>
        <v>20500000</v>
      </c>
      <c r="F90" s="173">
        <f>'תקציב החברה לפיתוח 2021 '!F90</f>
        <v>500000</v>
      </c>
      <c r="G90" s="173">
        <f>'תקציב החברה לפיתוח 2021 '!G90</f>
        <v>5500000</v>
      </c>
      <c r="H90" s="173">
        <f>'תקציב החברה לפיתוח 2021 '!H90</f>
        <v>103966</v>
      </c>
      <c r="I90" s="173">
        <f>'תקציב החברה לפיתוח 2021 '!I90</f>
        <v>0</v>
      </c>
      <c r="J90" s="173">
        <f>'תקציב החברה לפיתוח 2021 '!J90</f>
        <v>396033</v>
      </c>
      <c r="K90" s="173">
        <f>'תקציב החברה לפיתוח 2021 '!K90</f>
        <v>396033</v>
      </c>
      <c r="L90" s="173">
        <f>'תקציב החברה לפיתוח 2021 '!L90</f>
        <v>499999</v>
      </c>
      <c r="M90" s="173">
        <f>'תקציב החברה לפיתוח 2021 '!M90</f>
        <v>5000001</v>
      </c>
      <c r="N90" s="173">
        <f>'תקציב החברה לפיתוח 2021 '!N90</f>
        <v>15500000</v>
      </c>
      <c r="O90" s="173">
        <f>'תקציב החברה לפיתוח 2021 '!O90</f>
        <v>0</v>
      </c>
      <c r="P90" s="173">
        <f>'תקציב החברה לפיתוח 2021 '!P90</f>
        <v>5000001</v>
      </c>
      <c r="Q90" s="173">
        <f>'תקציב החברה לפיתוח 2021 '!Q90</f>
        <v>0</v>
      </c>
      <c r="R90" s="173">
        <f>'תקציב החברה לפיתוח 2021 '!R90</f>
        <v>0</v>
      </c>
      <c r="S90" s="173">
        <f>'תקציב החברה לפיתוח 2021 '!S90</f>
        <v>0</v>
      </c>
      <c r="T90" s="173">
        <f>'תקציב החברה לפיתוח 2021 '!T90</f>
        <v>0</v>
      </c>
      <c r="U90" s="173">
        <f>'תקציב החברה לפיתוח 2021 '!U90</f>
        <v>15500000</v>
      </c>
      <c r="V90" s="173">
        <f>'תקציב החברה לפיתוח 2021 '!V90</f>
        <v>10160736</v>
      </c>
      <c r="W90" s="173">
        <f>'תקציב החברה לפיתוח 2021 '!W90</f>
        <v>0</v>
      </c>
      <c r="X90" s="173">
        <f>'תקציב החברה לפיתוח 2021 '!X90</f>
        <v>0</v>
      </c>
      <c r="Y90" s="173">
        <f>'תקציב החברה לפיתוח 2021 '!Y90</f>
        <v>0</v>
      </c>
      <c r="Z90" s="173">
        <f>'תקציב החברה לפיתוח 2021 '!Z90</f>
        <v>0</v>
      </c>
      <c r="AA90" s="173">
        <f>'תקציב החברה לפיתוח 2021 '!AA90</f>
        <v>5339264</v>
      </c>
      <c r="AB90" s="293" t="str">
        <f>'תקציב החברה לפיתוח 2021 '!AB90</f>
        <v xml:space="preserve">תכנון וביצוע הקמת 7 כיתות גן במתחם השמעוני. מימון מ. החינוך. לו"ז איכלוס 9/2021. </v>
      </c>
      <c r="AC90" s="172">
        <f>'תקציב החברה לפיתוח 2021 '!AC90</f>
        <v>810000</v>
      </c>
      <c r="AD90" s="284"/>
      <c r="AE90" s="284"/>
      <c r="AF90" s="166"/>
      <c r="AG90" s="166"/>
      <c r="AH90" s="166"/>
      <c r="AI90" s="166"/>
      <c r="AJ90" s="166"/>
    </row>
    <row r="91" spans="1:36" s="5" customFormat="1" ht="42">
      <c r="A91" s="172">
        <f t="shared" si="1"/>
        <v>87</v>
      </c>
      <c r="B91" s="172">
        <f>'תקציב החברה לפיתוח 2021 '!B91</f>
        <v>2180</v>
      </c>
      <c r="C91" s="326" t="str">
        <f>'תקציב החברה לפיתוח 2021 '!C91</f>
        <v>ליווי פרויקטים פינוי בינוי</v>
      </c>
      <c r="D91" s="173">
        <f>'תקציב החברה לפיתוח 2021 '!D91</f>
        <v>1000000</v>
      </c>
      <c r="E91" s="173">
        <f>'תקציב החברה לפיתוח 2021 '!E91</f>
        <v>500000</v>
      </c>
      <c r="F91" s="173">
        <f>'תקציב החברה לפיתוח 2021 '!F91</f>
        <v>500000</v>
      </c>
      <c r="G91" s="173">
        <f>'תקציב החברה לפיתוח 2021 '!G91</f>
        <v>500000</v>
      </c>
      <c r="H91" s="173">
        <f>'תקציב החברה לפיתוח 2021 '!H91</f>
        <v>0</v>
      </c>
      <c r="I91" s="173">
        <f>'תקציב החברה לפיתוח 2021 '!I91</f>
        <v>0</v>
      </c>
      <c r="J91" s="173">
        <f>'תקציב החברה לפיתוח 2021 '!J91</f>
        <v>0</v>
      </c>
      <c r="K91" s="173">
        <f>'תקציב החברה לפיתוח 2021 '!K91</f>
        <v>0</v>
      </c>
      <c r="L91" s="173">
        <f>'תקציב החברה לפיתוח 2021 '!L91</f>
        <v>0</v>
      </c>
      <c r="M91" s="173">
        <f>'תקציב החברה לפיתוח 2021 '!M91</f>
        <v>500000</v>
      </c>
      <c r="N91" s="173">
        <f>'תקציב החברה לפיתוח 2021 '!N91</f>
        <v>500000</v>
      </c>
      <c r="O91" s="173">
        <f>'תקציב החברה לפיתוח 2021 '!O91</f>
        <v>0</v>
      </c>
      <c r="P91" s="173">
        <f>'תקציב החברה לפיתוח 2021 '!P91</f>
        <v>500000</v>
      </c>
      <c r="Q91" s="173">
        <f>'תקציב החברה לפיתוח 2021 '!Q91</f>
        <v>0</v>
      </c>
      <c r="R91" s="173">
        <f>'תקציב החברה לפיתוח 2021 '!R91</f>
        <v>0</v>
      </c>
      <c r="S91" s="173">
        <f>'תקציב החברה לפיתוח 2021 '!S91</f>
        <v>0</v>
      </c>
      <c r="T91" s="173">
        <f>'תקציב החברה לפיתוח 2021 '!T91</f>
        <v>0</v>
      </c>
      <c r="U91" s="173">
        <f>'תקציב החברה לפיתוח 2021 '!U91</f>
        <v>500000</v>
      </c>
      <c r="V91" s="173">
        <f>'תקציב החברה לפיתוח 2021 '!V91</f>
        <v>500000</v>
      </c>
      <c r="W91" s="173">
        <f>'תקציב החברה לפיתוח 2021 '!W91</f>
        <v>0</v>
      </c>
      <c r="X91" s="173">
        <f>'תקציב החברה לפיתוח 2021 '!X91</f>
        <v>0</v>
      </c>
      <c r="Y91" s="173">
        <f>'תקציב החברה לפיתוח 2021 '!Y91</f>
        <v>0</v>
      </c>
      <c r="Z91" s="173">
        <f>'תקציב החברה לפיתוח 2021 '!Z91</f>
        <v>0</v>
      </c>
      <c r="AA91" s="173">
        <f>'תקציב החברה לפיתוח 2021 '!AA91</f>
        <v>0</v>
      </c>
      <c r="AB91" s="293" t="str">
        <f>'תקציב החברה לפיתוח 2021 '!AB91</f>
        <v>ליווי פרויקטים של פינוי בינוי הכולל הכנת אומדנים ומפרטים ופיקוח על היתרים וביצוע בפועל.</v>
      </c>
      <c r="AC91" s="172">
        <f>'תקציב החברה לפיתוח 2021 '!AC91</f>
        <v>732000</v>
      </c>
      <c r="AD91" s="284"/>
      <c r="AE91" s="284"/>
      <c r="AF91" s="166"/>
      <c r="AG91" s="166"/>
      <c r="AH91" s="166"/>
      <c r="AI91" s="166"/>
      <c r="AJ91" s="166"/>
    </row>
    <row r="92" spans="1:36" s="5" customFormat="1" ht="30" customHeight="1">
      <c r="A92" s="172">
        <f t="shared" si="1"/>
        <v>88</v>
      </c>
      <c r="B92" s="172">
        <f>'תקציב החברה לפיתוח 2021 '!B92</f>
        <v>2182</v>
      </c>
      <c r="C92" s="326" t="str">
        <f>'תקציב החברה לפיתוח 2021 '!C92</f>
        <v>תכנון שב"צ דן שומרון בי"ס על יסודי</v>
      </c>
      <c r="D92" s="173">
        <f>'תקציב החברה לפיתוח 2021 '!D92</f>
        <v>2500000</v>
      </c>
      <c r="E92" s="173">
        <f>'תקציב החברה לפיתוח 2021 '!E92</f>
        <v>300000</v>
      </c>
      <c r="F92" s="173">
        <f>'תקציב החברה לפיתוח 2021 '!F92</f>
        <v>2200000</v>
      </c>
      <c r="G92" s="173">
        <f>'תקציב החברה לפיתוח 2021 '!G92</f>
        <v>300000</v>
      </c>
      <c r="H92" s="173">
        <f>'תקציב החברה לפיתוח 2021 '!H92</f>
        <v>0</v>
      </c>
      <c r="I92" s="173">
        <f>'תקציב החברה לפיתוח 2021 '!I92</f>
        <v>0</v>
      </c>
      <c r="J92" s="173">
        <f>'תקציב החברה לפיתוח 2021 '!J92</f>
        <v>0</v>
      </c>
      <c r="K92" s="173">
        <f>'תקציב החברה לפיתוח 2021 '!K92</f>
        <v>0</v>
      </c>
      <c r="L92" s="173">
        <f>'תקציב החברה לפיתוח 2021 '!L92</f>
        <v>0</v>
      </c>
      <c r="M92" s="173">
        <f>'תקציב החברה לפיתוח 2021 '!M92</f>
        <v>300000</v>
      </c>
      <c r="N92" s="173">
        <f>'תקציב החברה לפיתוח 2021 '!N92</f>
        <v>1700000</v>
      </c>
      <c r="O92" s="173">
        <f>'תקציב החברה לפיתוח 2021 '!O92</f>
        <v>500000</v>
      </c>
      <c r="P92" s="173">
        <f>'תקציב החברה לפיתוח 2021 '!P92</f>
        <v>300000</v>
      </c>
      <c r="Q92" s="173">
        <f>'תקציב החברה לפיתוח 2021 '!Q92</f>
        <v>0</v>
      </c>
      <c r="R92" s="173">
        <f>'תקציב החברה לפיתוח 2021 '!R92</f>
        <v>0</v>
      </c>
      <c r="S92" s="173">
        <f>'תקציב החברה לפיתוח 2021 '!S92</f>
        <v>0</v>
      </c>
      <c r="T92" s="173">
        <f>'תקציב החברה לפיתוח 2021 '!T92</f>
        <v>0</v>
      </c>
      <c r="U92" s="173">
        <f>'תקציב החברה לפיתוח 2021 '!U92</f>
        <v>1700000</v>
      </c>
      <c r="V92" s="173">
        <f>'תקציב החברה לפיתוח 2021 '!V92</f>
        <v>1700000</v>
      </c>
      <c r="W92" s="173">
        <f>'תקציב החברה לפיתוח 2021 '!W92</f>
        <v>0</v>
      </c>
      <c r="X92" s="173">
        <f>'תקציב החברה לפיתוח 2021 '!X92</f>
        <v>0</v>
      </c>
      <c r="Y92" s="173">
        <f>'תקציב החברה לפיתוח 2021 '!Y92</f>
        <v>0</v>
      </c>
      <c r="Z92" s="173">
        <f>'תקציב החברה לפיתוח 2021 '!Z92</f>
        <v>0</v>
      </c>
      <c r="AA92" s="173">
        <f>'תקציב החברה לפיתוח 2021 '!AA92</f>
        <v>0</v>
      </c>
      <c r="AB92" s="293" t="str">
        <f>'תקציב החברה לפיתוח 2021 '!AB92</f>
        <v xml:space="preserve">הקמת תיכון 30 כיתות בשב"צ דן שומרון גוש 656 חל' 991. </v>
      </c>
      <c r="AC92" s="172">
        <f>'תקציב החברה לפיתוח 2021 '!AC92</f>
        <v>810000</v>
      </c>
      <c r="AD92" s="284"/>
      <c r="AE92" s="284"/>
      <c r="AF92" s="166"/>
      <c r="AG92" s="166"/>
      <c r="AH92" s="166"/>
      <c r="AI92" s="166"/>
      <c r="AJ92" s="166"/>
    </row>
    <row r="93" spans="1:36" s="5" customFormat="1" ht="30" customHeight="1">
      <c r="A93" s="172">
        <f t="shared" si="1"/>
        <v>89</v>
      </c>
      <c r="B93" s="172">
        <f>'תקציב החברה לפיתוח 2021 '!B93</f>
        <v>2185</v>
      </c>
      <c r="C93" s="326" t="str">
        <f>'תקציב החברה לפיתוח 2021 '!C93</f>
        <v>תוספת 6 כיתות לימוד בי"ס שז"ר</v>
      </c>
      <c r="D93" s="173">
        <f>'תקציב החברה לפיתוח 2021 '!D93</f>
        <v>750000</v>
      </c>
      <c r="E93" s="173">
        <f>'תקציב החברה לפיתוח 2021 '!E93</f>
        <v>500000</v>
      </c>
      <c r="F93" s="173">
        <f>'תקציב החברה לפיתוח 2021 '!F93</f>
        <v>250000</v>
      </c>
      <c r="G93" s="173">
        <f>'תקציב החברה לפיתוח 2021 '!G93</f>
        <v>500000</v>
      </c>
      <c r="H93" s="173">
        <f>'תקציב החברה לפיתוח 2021 '!H93</f>
        <v>0</v>
      </c>
      <c r="I93" s="173">
        <f>'תקציב החברה לפיתוח 2021 '!I93</f>
        <v>0</v>
      </c>
      <c r="J93" s="173">
        <f>'תקציב החברה לפיתוח 2021 '!J93</f>
        <v>0</v>
      </c>
      <c r="K93" s="173">
        <f>'תקציב החברה לפיתוח 2021 '!K93</f>
        <v>0</v>
      </c>
      <c r="L93" s="173">
        <f>'תקציב החברה לפיתוח 2021 '!L93</f>
        <v>0</v>
      </c>
      <c r="M93" s="173">
        <f>'תקציב החברה לפיתוח 2021 '!M93</f>
        <v>500000</v>
      </c>
      <c r="N93" s="173">
        <f>'תקציב החברה לפיתוח 2021 '!N93</f>
        <v>250000</v>
      </c>
      <c r="O93" s="173">
        <f>'תקציב החברה לפיתוח 2021 '!O93</f>
        <v>0</v>
      </c>
      <c r="P93" s="173">
        <f>'תקציב החברה לפיתוח 2021 '!P93</f>
        <v>500000</v>
      </c>
      <c r="Q93" s="173">
        <f>'תקציב החברה לפיתוח 2021 '!Q93</f>
        <v>0</v>
      </c>
      <c r="R93" s="173">
        <f>'תקציב החברה לפיתוח 2021 '!R93</f>
        <v>0</v>
      </c>
      <c r="S93" s="173">
        <f>'תקציב החברה לפיתוח 2021 '!S93</f>
        <v>0</v>
      </c>
      <c r="T93" s="173">
        <f>'תקציב החברה לפיתוח 2021 '!T93</f>
        <v>0</v>
      </c>
      <c r="U93" s="173">
        <f>'תקציב החברה לפיתוח 2021 '!U93</f>
        <v>250000</v>
      </c>
      <c r="V93" s="173">
        <f>'תקציב החברה לפיתוח 2021 '!V93</f>
        <v>250000</v>
      </c>
      <c r="W93" s="173">
        <f>'תקציב החברה לפיתוח 2021 '!W93</f>
        <v>0</v>
      </c>
      <c r="X93" s="173">
        <f>'תקציב החברה לפיתוח 2021 '!X93</f>
        <v>0</v>
      </c>
      <c r="Y93" s="173">
        <f>'תקציב החברה לפיתוח 2021 '!Y93</f>
        <v>0</v>
      </c>
      <c r="Z93" s="173">
        <f>'תקציב החברה לפיתוח 2021 '!Z93</f>
        <v>0</v>
      </c>
      <c r="AA93" s="173">
        <f>'תקציב החברה לפיתוח 2021 '!AA93</f>
        <v>0</v>
      </c>
      <c r="AB93" s="293" t="str">
        <f>'תקציב החברה לפיתוח 2021 '!AB93</f>
        <v xml:space="preserve">תכנון לתוספת 6 כיתות בי"ס שז"ר. </v>
      </c>
      <c r="AC93" s="172">
        <f>'תקציב החברה לפיתוח 2021 '!AC93</f>
        <v>810000</v>
      </c>
      <c r="AD93" s="284"/>
      <c r="AE93" s="284"/>
      <c r="AF93" s="166"/>
      <c r="AG93" s="166"/>
      <c r="AH93" s="166"/>
      <c r="AI93" s="166"/>
      <c r="AJ93" s="166"/>
    </row>
    <row r="94" spans="1:36" s="5" customFormat="1" ht="56">
      <c r="A94" s="172">
        <f t="shared" si="1"/>
        <v>90</v>
      </c>
      <c r="B94" s="172">
        <f>'תקציב החברה לפיתוח 2021 '!B94</f>
        <v>2201</v>
      </c>
      <c r="C94" s="326" t="str">
        <f>'תקציב החברה לפיתוח 2021 '!C94</f>
        <v>מתחם בי"ס הנדיב</v>
      </c>
      <c r="D94" s="173">
        <f>'תקציב החברה לפיתוח 2021 '!D94</f>
        <v>80000000</v>
      </c>
      <c r="E94" s="173">
        <f>'תקציב החברה לפיתוח 2021 '!E94</f>
        <v>0</v>
      </c>
      <c r="F94" s="173">
        <f>'תקציב החברה לפיתוח 2021 '!F94</f>
        <v>80000000</v>
      </c>
      <c r="G94" s="173">
        <f>'תקציב החברה לפיתוח 2021 '!G94</f>
        <v>0</v>
      </c>
      <c r="H94" s="173">
        <f>'תקציב החברה לפיתוח 2021 '!H94</f>
        <v>0</v>
      </c>
      <c r="I94" s="173">
        <f>'תקציב החברה לפיתוח 2021 '!I94</f>
        <v>0</v>
      </c>
      <c r="J94" s="173">
        <f>'תקציב החברה לפיתוח 2021 '!J94</f>
        <v>0</v>
      </c>
      <c r="K94" s="173">
        <f>'תקציב החברה לפיתוח 2021 '!K94</f>
        <v>0</v>
      </c>
      <c r="L94" s="173">
        <f>'תקציב החברה לפיתוח 2021 '!L94</f>
        <v>0</v>
      </c>
      <c r="M94" s="173">
        <f>'תקציב החברה לפיתוח 2021 '!M94</f>
        <v>0</v>
      </c>
      <c r="N94" s="173">
        <f>'תקציב החברה לפיתוח 2021 '!N94</f>
        <v>500000</v>
      </c>
      <c r="O94" s="173">
        <f>'תקציב החברה לפיתוח 2021 '!O94</f>
        <v>79500000</v>
      </c>
      <c r="P94" s="173">
        <f>'תקציב החברה לפיתוח 2021 '!P94</f>
        <v>0</v>
      </c>
      <c r="Q94" s="173">
        <f>'תקציב החברה לפיתוח 2021 '!Q94</f>
        <v>0</v>
      </c>
      <c r="R94" s="173">
        <f>'תקציב החברה לפיתוח 2021 '!R94</f>
        <v>0</v>
      </c>
      <c r="S94" s="173">
        <f>'תקציב החברה לפיתוח 2021 '!S94</f>
        <v>0</v>
      </c>
      <c r="T94" s="173">
        <f>'תקציב החברה לפיתוח 2021 '!T94</f>
        <v>0</v>
      </c>
      <c r="U94" s="173">
        <f>'תקציב החברה לפיתוח 2021 '!U94</f>
        <v>500000</v>
      </c>
      <c r="V94" s="173">
        <f>'תקציב החברה לפיתוח 2021 '!V94</f>
        <v>500000</v>
      </c>
      <c r="W94" s="173">
        <f>'תקציב החברה לפיתוח 2021 '!W94</f>
        <v>0</v>
      </c>
      <c r="X94" s="173">
        <f>'תקציב החברה לפיתוח 2021 '!X94</f>
        <v>0</v>
      </c>
      <c r="Y94" s="173">
        <f>'תקציב החברה לפיתוח 2021 '!Y94</f>
        <v>0</v>
      </c>
      <c r="Z94" s="173">
        <f>'תקציב החברה לפיתוח 2021 '!Z94</f>
        <v>0</v>
      </c>
      <c r="AA94" s="173">
        <f>'תקציב החברה לפיתוח 2021 '!AA94</f>
        <v>0</v>
      </c>
      <c r="AB94" s="293" t="str">
        <f>'תקציב החברה לפיתוח 2021 '!AB94</f>
        <v xml:space="preserve">הריסת מבנים קיימים ובניה מתחם חדש:בי"ס יסודי 24 כיתות, 4 כיתות ח"מ, אולם ספורט, מגרש ספורט מוצלל, 2 כיתות גנ"י. </v>
      </c>
      <c r="AC94" s="172">
        <f>'תקציב החברה לפיתוח 2021 '!AC94</f>
        <v>810000</v>
      </c>
      <c r="AD94" s="284"/>
      <c r="AE94" s="284"/>
      <c r="AF94" s="166"/>
      <c r="AG94" s="166"/>
      <c r="AH94" s="166"/>
      <c r="AI94" s="166"/>
      <c r="AJ94" s="166"/>
    </row>
    <row r="95" spans="1:36" s="5" customFormat="1" ht="30" customHeight="1">
      <c r="A95" s="172">
        <f t="shared" si="1"/>
        <v>91</v>
      </c>
      <c r="B95" s="172">
        <f>'תקציב החברה לפיתוח 2021 '!B95</f>
        <v>2202</v>
      </c>
      <c r="C95" s="326" t="str">
        <f>'תקציב החברה לפיתוח 2021 '!C95</f>
        <v>בי"ס דמוקרטי</v>
      </c>
      <c r="D95" s="173">
        <f>'תקציב החברה לפיתוח 2021 '!D95</f>
        <v>1000000</v>
      </c>
      <c r="E95" s="173">
        <f>'תקציב החברה לפיתוח 2021 '!E95</f>
        <v>0</v>
      </c>
      <c r="F95" s="173">
        <f>'תקציב החברה לפיתוח 2021 '!F95</f>
        <v>1000000</v>
      </c>
      <c r="G95" s="173">
        <f>'תקציב החברה לפיתוח 2021 '!G95</f>
        <v>0</v>
      </c>
      <c r="H95" s="173">
        <f>'תקציב החברה לפיתוח 2021 '!H95</f>
        <v>0</v>
      </c>
      <c r="I95" s="173">
        <f>'תקציב החברה לפיתוח 2021 '!I95</f>
        <v>0</v>
      </c>
      <c r="J95" s="173">
        <f>'תקציב החברה לפיתוח 2021 '!J95</f>
        <v>0</v>
      </c>
      <c r="K95" s="173">
        <f>'תקציב החברה לפיתוח 2021 '!K95</f>
        <v>0</v>
      </c>
      <c r="L95" s="173">
        <f>'תקציב החברה לפיתוח 2021 '!L95</f>
        <v>0</v>
      </c>
      <c r="M95" s="173">
        <f>'תקציב החברה לפיתוח 2021 '!M95</f>
        <v>0</v>
      </c>
      <c r="N95" s="173">
        <f>'תקציב החברה לפיתוח 2021 '!N95</f>
        <v>1000000</v>
      </c>
      <c r="O95" s="173">
        <f>'תקציב החברה לפיתוח 2021 '!O95</f>
        <v>0</v>
      </c>
      <c r="P95" s="173">
        <f>'תקציב החברה לפיתוח 2021 '!P95</f>
        <v>0</v>
      </c>
      <c r="Q95" s="173">
        <f>'תקציב החברה לפיתוח 2021 '!Q95</f>
        <v>0</v>
      </c>
      <c r="R95" s="173">
        <f>'תקציב החברה לפיתוח 2021 '!R95</f>
        <v>0</v>
      </c>
      <c r="S95" s="173">
        <f>'תקציב החברה לפיתוח 2021 '!S95</f>
        <v>0</v>
      </c>
      <c r="T95" s="173">
        <f>'תקציב החברה לפיתוח 2021 '!T95</f>
        <v>0</v>
      </c>
      <c r="U95" s="173">
        <f>'תקציב החברה לפיתוח 2021 '!U95</f>
        <v>1000000</v>
      </c>
      <c r="V95" s="173">
        <f>'תקציב החברה לפיתוח 2021 '!V95</f>
        <v>1000000</v>
      </c>
      <c r="W95" s="173">
        <f>'תקציב החברה לפיתוח 2021 '!W95</f>
        <v>0</v>
      </c>
      <c r="X95" s="173">
        <f>'תקציב החברה לפיתוח 2021 '!X95</f>
        <v>0</v>
      </c>
      <c r="Y95" s="173">
        <f>'תקציב החברה לפיתוח 2021 '!Y95</f>
        <v>0</v>
      </c>
      <c r="Z95" s="173">
        <f>'תקציב החברה לפיתוח 2021 '!Z95</f>
        <v>0</v>
      </c>
      <c r="AA95" s="173">
        <f>'תקציב החברה לפיתוח 2021 '!AA95</f>
        <v>0</v>
      </c>
      <c r="AB95" s="293" t="str">
        <f>'תקציב החברה לפיתוח 2021 '!AB95</f>
        <v xml:space="preserve">בדיקת היתכנות להקמת בי"ס. </v>
      </c>
      <c r="AC95" s="172">
        <f>'תקציב החברה לפיתוח 2021 '!AC95</f>
        <v>810000</v>
      </c>
      <c r="AD95" s="284"/>
      <c r="AE95" s="284"/>
      <c r="AF95" s="166"/>
      <c r="AG95" s="166"/>
      <c r="AH95" s="166"/>
      <c r="AI95" s="166"/>
      <c r="AJ95" s="166"/>
    </row>
    <row r="96" spans="1:36" s="5" customFormat="1" ht="30" customHeight="1">
      <c r="A96" s="172">
        <f t="shared" si="1"/>
        <v>92</v>
      </c>
      <c r="B96" s="172">
        <f>'תקציב החברה לפיתוח 2021 '!B96</f>
        <v>2203</v>
      </c>
      <c r="C96" s="326" t="str">
        <f>'תקציב החברה לפיתוח 2021 '!C96</f>
        <v>אולם ספורט בי"ס יוחנני</v>
      </c>
      <c r="D96" s="173">
        <f>'תקציב החברה לפיתוח 2021 '!D96</f>
        <v>1000000</v>
      </c>
      <c r="E96" s="173">
        <f>'תקציב החברה לפיתוח 2021 '!E96</f>
        <v>0</v>
      </c>
      <c r="F96" s="173">
        <f>'תקציב החברה לפיתוח 2021 '!F96</f>
        <v>1000000</v>
      </c>
      <c r="G96" s="173">
        <f>'תקציב החברה לפיתוח 2021 '!G96</f>
        <v>0</v>
      </c>
      <c r="H96" s="173">
        <f>'תקציב החברה לפיתוח 2021 '!H96</f>
        <v>0</v>
      </c>
      <c r="I96" s="173">
        <f>'תקציב החברה לפיתוח 2021 '!I96</f>
        <v>0</v>
      </c>
      <c r="J96" s="173">
        <f>'תקציב החברה לפיתוח 2021 '!J96</f>
        <v>0</v>
      </c>
      <c r="K96" s="173">
        <f>'תקציב החברה לפיתוח 2021 '!K96</f>
        <v>0</v>
      </c>
      <c r="L96" s="173">
        <f>'תקציב החברה לפיתוח 2021 '!L96</f>
        <v>0</v>
      </c>
      <c r="M96" s="173">
        <f>'תקציב החברה לפיתוח 2021 '!M96</f>
        <v>0</v>
      </c>
      <c r="N96" s="173">
        <f>'תקציב החברה לפיתוח 2021 '!N96</f>
        <v>1000000</v>
      </c>
      <c r="O96" s="173">
        <f>'תקציב החברה לפיתוח 2021 '!O96</f>
        <v>0</v>
      </c>
      <c r="P96" s="173">
        <f>'תקציב החברה לפיתוח 2021 '!P96</f>
        <v>0</v>
      </c>
      <c r="Q96" s="173">
        <f>'תקציב החברה לפיתוח 2021 '!Q96</f>
        <v>0</v>
      </c>
      <c r="R96" s="173">
        <f>'תקציב החברה לפיתוח 2021 '!R96</f>
        <v>0</v>
      </c>
      <c r="S96" s="173">
        <f>'תקציב החברה לפיתוח 2021 '!S96</f>
        <v>0</v>
      </c>
      <c r="T96" s="173">
        <f>'תקציב החברה לפיתוח 2021 '!T96</f>
        <v>0</v>
      </c>
      <c r="U96" s="173">
        <f>'תקציב החברה לפיתוח 2021 '!U96</f>
        <v>1000000</v>
      </c>
      <c r="V96" s="173">
        <f>'תקציב החברה לפיתוח 2021 '!V96</f>
        <v>1000000</v>
      </c>
      <c r="W96" s="173">
        <f>'תקציב החברה לפיתוח 2021 '!W96</f>
        <v>0</v>
      </c>
      <c r="X96" s="173">
        <f>'תקציב החברה לפיתוח 2021 '!X96</f>
        <v>0</v>
      </c>
      <c r="Y96" s="173">
        <f>'תקציב החברה לפיתוח 2021 '!Y96</f>
        <v>0</v>
      </c>
      <c r="Z96" s="173">
        <f>'תקציב החברה לפיתוח 2021 '!Z96</f>
        <v>0</v>
      </c>
      <c r="AA96" s="173">
        <f>'תקציב החברה לפיתוח 2021 '!AA96</f>
        <v>0</v>
      </c>
      <c r="AB96" s="293" t="str">
        <f>'תקציב החברה לפיתוח 2021 '!AB96</f>
        <v xml:space="preserve">בניית אולם ספורט חדש במקום הקיים בבי"ס יוחנני. </v>
      </c>
      <c r="AC96" s="172">
        <f>'תקציב החברה לפיתוח 2021 '!AC96</f>
        <v>829000</v>
      </c>
      <c r="AD96" s="284"/>
      <c r="AE96" s="284"/>
      <c r="AF96" s="166"/>
      <c r="AG96" s="166"/>
      <c r="AH96" s="166"/>
      <c r="AI96" s="166"/>
      <c r="AJ96" s="166"/>
    </row>
    <row r="97" spans="1:36" s="5" customFormat="1" ht="30" customHeight="1">
      <c r="A97" s="172">
        <f t="shared" si="1"/>
        <v>93</v>
      </c>
      <c r="B97" s="172">
        <f>'תקציב החברה לפיתוח 2021 '!B97</f>
        <v>2204</v>
      </c>
      <c r="C97" s="326" t="str">
        <f>'תקציב החברה לפיתוח 2021 '!C97</f>
        <v>בי"ס נוף ים-תוספת 6 כיתות ומקלט</v>
      </c>
      <c r="D97" s="173">
        <f>'תקציב החברה לפיתוח 2021 '!D97</f>
        <v>800000</v>
      </c>
      <c r="E97" s="173">
        <f>'תקציב החברה לפיתוח 2021 '!E97</f>
        <v>0</v>
      </c>
      <c r="F97" s="173">
        <f>'תקציב החברה לפיתוח 2021 '!F97</f>
        <v>800000</v>
      </c>
      <c r="G97" s="173">
        <f>'תקציב החברה לפיתוח 2021 '!G97</f>
        <v>0</v>
      </c>
      <c r="H97" s="173">
        <f>'תקציב החברה לפיתוח 2021 '!H97</f>
        <v>0</v>
      </c>
      <c r="I97" s="173">
        <f>'תקציב החברה לפיתוח 2021 '!I97</f>
        <v>0</v>
      </c>
      <c r="J97" s="173">
        <f>'תקציב החברה לפיתוח 2021 '!J97</f>
        <v>0</v>
      </c>
      <c r="K97" s="173">
        <f>'תקציב החברה לפיתוח 2021 '!K97</f>
        <v>0</v>
      </c>
      <c r="L97" s="173">
        <f>'תקציב החברה לפיתוח 2021 '!L97</f>
        <v>0</v>
      </c>
      <c r="M97" s="173">
        <f>'תקציב החברה לפיתוח 2021 '!M97</f>
        <v>0</v>
      </c>
      <c r="N97" s="173">
        <f>'תקציב החברה לפיתוח 2021 '!N97</f>
        <v>800000</v>
      </c>
      <c r="O97" s="173">
        <f>'תקציב החברה לפיתוח 2021 '!O97</f>
        <v>0</v>
      </c>
      <c r="P97" s="173">
        <f>'תקציב החברה לפיתוח 2021 '!P97</f>
        <v>0</v>
      </c>
      <c r="Q97" s="173">
        <f>'תקציב החברה לפיתוח 2021 '!Q97</f>
        <v>0</v>
      </c>
      <c r="R97" s="173">
        <f>'תקציב החברה לפיתוח 2021 '!R97</f>
        <v>0</v>
      </c>
      <c r="S97" s="173">
        <f>'תקציב החברה לפיתוח 2021 '!S97</f>
        <v>0</v>
      </c>
      <c r="T97" s="173">
        <f>'תקציב החברה לפיתוח 2021 '!T97</f>
        <v>0</v>
      </c>
      <c r="U97" s="173">
        <f>'תקציב החברה לפיתוח 2021 '!U97</f>
        <v>800000</v>
      </c>
      <c r="V97" s="173">
        <f>'תקציב החברה לפיתוח 2021 '!V97</f>
        <v>800000</v>
      </c>
      <c r="W97" s="173">
        <f>'תקציב החברה לפיתוח 2021 '!W97</f>
        <v>0</v>
      </c>
      <c r="X97" s="173">
        <f>'תקציב החברה לפיתוח 2021 '!X97</f>
        <v>0</v>
      </c>
      <c r="Y97" s="173">
        <f>'תקציב החברה לפיתוח 2021 '!Y97</f>
        <v>0</v>
      </c>
      <c r="Z97" s="173">
        <f>'תקציב החברה לפיתוח 2021 '!Z97</f>
        <v>0</v>
      </c>
      <c r="AA97" s="173">
        <f>'תקציב החברה לפיתוח 2021 '!AA97</f>
        <v>0</v>
      </c>
      <c r="AB97" s="293" t="str">
        <f>'תקציב החברה לפיתוח 2021 '!AB97</f>
        <v xml:space="preserve">בדיקת היתכנות להרחבה ל - 18 כיתות.  </v>
      </c>
      <c r="AC97" s="172">
        <f>'תקציב החברה לפיתוח 2021 '!AC97</f>
        <v>810000</v>
      </c>
      <c r="AD97" s="284"/>
      <c r="AE97" s="284"/>
      <c r="AF97" s="166"/>
      <c r="AG97" s="166"/>
      <c r="AH97" s="166"/>
      <c r="AI97" s="166"/>
      <c r="AJ97" s="166"/>
    </row>
    <row r="98" spans="1:36" s="5" customFormat="1" ht="30" customHeight="1">
      <c r="A98" s="172">
        <f t="shared" si="1"/>
        <v>94</v>
      </c>
      <c r="B98" s="172">
        <f>'תקציב החברה לפיתוח 2021 '!B98</f>
        <v>2205</v>
      </c>
      <c r="C98" s="326" t="str">
        <f>'תקציב החברה לפיתוח 2021 '!C98</f>
        <v xml:space="preserve">תיכון היובל </v>
      </c>
      <c r="D98" s="173">
        <f>'תקציב החברה לפיתוח 2021 '!D98</f>
        <v>16000000</v>
      </c>
      <c r="E98" s="173">
        <f>'תקציב החברה לפיתוח 2021 '!E98</f>
        <v>0</v>
      </c>
      <c r="F98" s="173">
        <f>'תקציב החברה לפיתוח 2021 '!F98</f>
        <v>16000000</v>
      </c>
      <c r="G98" s="173">
        <f>'תקציב החברה לפיתוח 2021 '!G98</f>
        <v>0</v>
      </c>
      <c r="H98" s="173">
        <f>'תקציב החברה לפיתוח 2021 '!H98</f>
        <v>0</v>
      </c>
      <c r="I98" s="173">
        <f>'תקציב החברה לפיתוח 2021 '!I98</f>
        <v>0</v>
      </c>
      <c r="J98" s="173">
        <f>'תקציב החברה לפיתוח 2021 '!J98</f>
        <v>0</v>
      </c>
      <c r="K98" s="173">
        <f>'תקציב החברה לפיתוח 2021 '!K98</f>
        <v>0</v>
      </c>
      <c r="L98" s="173">
        <f>'תקציב החברה לפיתוח 2021 '!L98</f>
        <v>0</v>
      </c>
      <c r="M98" s="173">
        <f>'תקציב החברה לפיתוח 2021 '!M98</f>
        <v>0</v>
      </c>
      <c r="N98" s="173">
        <f>'תקציב החברה לפיתוח 2021 '!N98</f>
        <v>500000</v>
      </c>
      <c r="O98" s="173">
        <f>'תקציב החברה לפיתוח 2021 '!O98</f>
        <v>15500000</v>
      </c>
      <c r="P98" s="173">
        <f>'תקציב החברה לפיתוח 2021 '!P98</f>
        <v>0</v>
      </c>
      <c r="Q98" s="173">
        <f>'תקציב החברה לפיתוח 2021 '!Q98</f>
        <v>0</v>
      </c>
      <c r="R98" s="173">
        <f>'תקציב החברה לפיתוח 2021 '!R98</f>
        <v>0</v>
      </c>
      <c r="S98" s="173">
        <f>'תקציב החברה לפיתוח 2021 '!S98</f>
        <v>0</v>
      </c>
      <c r="T98" s="173">
        <f>'תקציב החברה לפיתוח 2021 '!T98</f>
        <v>0</v>
      </c>
      <c r="U98" s="173">
        <f>'תקציב החברה לפיתוח 2021 '!U98</f>
        <v>500000</v>
      </c>
      <c r="V98" s="173">
        <f>'תקציב החברה לפיתוח 2021 '!V98</f>
        <v>500000</v>
      </c>
      <c r="W98" s="173">
        <f>'תקציב החברה לפיתוח 2021 '!W98</f>
        <v>0</v>
      </c>
      <c r="X98" s="173">
        <f>'תקציב החברה לפיתוח 2021 '!X98</f>
        <v>0</v>
      </c>
      <c r="Y98" s="173">
        <f>'תקציב החברה לפיתוח 2021 '!Y98</f>
        <v>0</v>
      </c>
      <c r="Z98" s="173">
        <f>'תקציב החברה לפיתוח 2021 '!Z98</f>
        <v>0</v>
      </c>
      <c r="AA98" s="173">
        <f>'תקציב החברה לפיתוח 2021 '!AA98</f>
        <v>0</v>
      </c>
      <c r="AB98" s="293" t="str">
        <f>'תקציב החברה לפיתוח 2021 '!AB98</f>
        <v xml:space="preserve">תכנון וביצוע של תוספת כיתות ומעבדות בתיכון היובל. </v>
      </c>
      <c r="AC98" s="172">
        <f>'תקציב החברה לפיתוח 2021 '!AC98</f>
        <v>810000</v>
      </c>
      <c r="AD98" s="284"/>
      <c r="AE98" s="284"/>
      <c r="AF98" s="166"/>
      <c r="AG98" s="166"/>
      <c r="AH98" s="166"/>
      <c r="AI98" s="166"/>
      <c r="AJ98" s="166"/>
    </row>
    <row r="99" spans="1:36" s="5" customFormat="1" ht="30" customHeight="1">
      <c r="A99" s="172">
        <f t="shared" si="1"/>
        <v>95</v>
      </c>
      <c r="B99" s="172">
        <f>'תקציב החברה לפיתוח 2021 '!B99</f>
        <v>2206</v>
      </c>
      <c r="C99" s="326" t="str">
        <f>'תקציב החברה לפיתוח 2021 '!C99</f>
        <v>חט"ב באלתרמן</v>
      </c>
      <c r="D99" s="173">
        <f>'תקציב החברה לפיתוח 2021 '!D99</f>
        <v>1000000</v>
      </c>
      <c r="E99" s="173">
        <f>'תקציב החברה לפיתוח 2021 '!E99</f>
        <v>0</v>
      </c>
      <c r="F99" s="173">
        <f>'תקציב החברה לפיתוח 2021 '!F99</f>
        <v>1000000</v>
      </c>
      <c r="G99" s="173">
        <f>'תקציב החברה לפיתוח 2021 '!G99</f>
        <v>0</v>
      </c>
      <c r="H99" s="173">
        <f>'תקציב החברה לפיתוח 2021 '!H99</f>
        <v>0</v>
      </c>
      <c r="I99" s="173">
        <f>'תקציב החברה לפיתוח 2021 '!I99</f>
        <v>0</v>
      </c>
      <c r="J99" s="173">
        <f>'תקציב החברה לפיתוח 2021 '!J99</f>
        <v>0</v>
      </c>
      <c r="K99" s="173">
        <f>'תקציב החברה לפיתוח 2021 '!K99</f>
        <v>0</v>
      </c>
      <c r="L99" s="173">
        <f>'תקציב החברה לפיתוח 2021 '!L99</f>
        <v>0</v>
      </c>
      <c r="M99" s="173">
        <f>'תקציב החברה לפיתוח 2021 '!M99</f>
        <v>0</v>
      </c>
      <c r="N99" s="173">
        <f>'תקציב החברה לפיתוח 2021 '!N99</f>
        <v>1000000</v>
      </c>
      <c r="O99" s="173">
        <f>'תקציב החברה לפיתוח 2021 '!O99</f>
        <v>0</v>
      </c>
      <c r="P99" s="173">
        <f>'תקציב החברה לפיתוח 2021 '!P99</f>
        <v>0</v>
      </c>
      <c r="Q99" s="173">
        <f>'תקציב החברה לפיתוח 2021 '!Q99</f>
        <v>0</v>
      </c>
      <c r="R99" s="173">
        <f>'תקציב החברה לפיתוח 2021 '!R99</f>
        <v>0</v>
      </c>
      <c r="S99" s="173">
        <f>'תקציב החברה לפיתוח 2021 '!S99</f>
        <v>0</v>
      </c>
      <c r="T99" s="173">
        <f>'תקציב החברה לפיתוח 2021 '!T99</f>
        <v>0</v>
      </c>
      <c r="U99" s="173">
        <f>'תקציב החברה לפיתוח 2021 '!U99</f>
        <v>1000000</v>
      </c>
      <c r="V99" s="173">
        <f>'תקציב החברה לפיתוח 2021 '!V99</f>
        <v>1000000</v>
      </c>
      <c r="W99" s="173">
        <f>'תקציב החברה לפיתוח 2021 '!W99</f>
        <v>0</v>
      </c>
      <c r="X99" s="173">
        <f>'תקציב החברה לפיתוח 2021 '!X99</f>
        <v>0</v>
      </c>
      <c r="Y99" s="173">
        <f>'תקציב החברה לפיתוח 2021 '!Y99</f>
        <v>0</v>
      </c>
      <c r="Z99" s="173">
        <f>'תקציב החברה לפיתוח 2021 '!Z99</f>
        <v>0</v>
      </c>
      <c r="AA99" s="173">
        <f>'תקציב החברה לפיתוח 2021 '!AA99</f>
        <v>0</v>
      </c>
      <c r="AB99" s="293" t="str">
        <f>'תקציב החברה לפיתוח 2021 '!AB99</f>
        <v xml:space="preserve">תכנון חט"ב חדשה באלתרמן. </v>
      </c>
      <c r="AC99" s="172">
        <f>'תקציב החברה לפיתוח 2021 '!AC99</f>
        <v>810000</v>
      </c>
      <c r="AD99" s="284"/>
      <c r="AE99" s="284"/>
      <c r="AF99" s="166"/>
      <c r="AG99" s="166"/>
      <c r="AH99" s="166"/>
      <c r="AI99" s="166"/>
      <c r="AJ99" s="166"/>
    </row>
    <row r="100" spans="1:36" s="5" customFormat="1" ht="30" customHeight="1">
      <c r="A100" s="172">
        <f t="shared" si="1"/>
        <v>96</v>
      </c>
      <c r="B100" s="172">
        <f>'תקציב החברה לפיתוח 2021 '!B100</f>
        <v>2207</v>
      </c>
      <c r="C100" s="326" t="str">
        <f>'תקציב החברה לפיתוח 2021 '!C100</f>
        <v>בית כנסת גליל ים</v>
      </c>
      <c r="D100" s="173">
        <f>'תקציב החברה לפיתוח 2021 '!D100</f>
        <v>500000</v>
      </c>
      <c r="E100" s="173">
        <f>'תקציב החברה לפיתוח 2021 '!E100</f>
        <v>0</v>
      </c>
      <c r="F100" s="173">
        <f>'תקציב החברה לפיתוח 2021 '!F100</f>
        <v>500000</v>
      </c>
      <c r="G100" s="173">
        <f>'תקציב החברה לפיתוח 2021 '!G100</f>
        <v>0</v>
      </c>
      <c r="H100" s="173">
        <f>'תקציב החברה לפיתוח 2021 '!H100</f>
        <v>0</v>
      </c>
      <c r="I100" s="173">
        <f>'תקציב החברה לפיתוח 2021 '!I100</f>
        <v>0</v>
      </c>
      <c r="J100" s="173">
        <f>'תקציב החברה לפיתוח 2021 '!J100</f>
        <v>0</v>
      </c>
      <c r="K100" s="173">
        <f>'תקציב החברה לפיתוח 2021 '!K100</f>
        <v>0</v>
      </c>
      <c r="L100" s="173">
        <f>'תקציב החברה לפיתוח 2021 '!L100</f>
        <v>0</v>
      </c>
      <c r="M100" s="173">
        <f>'תקציב החברה לפיתוח 2021 '!M100</f>
        <v>0</v>
      </c>
      <c r="N100" s="173">
        <f>'תקציב החברה לפיתוח 2021 '!N100</f>
        <v>500000</v>
      </c>
      <c r="O100" s="173">
        <f>'תקציב החברה לפיתוח 2021 '!O100</f>
        <v>0</v>
      </c>
      <c r="P100" s="173">
        <f>'תקציב החברה לפיתוח 2021 '!P100</f>
        <v>0</v>
      </c>
      <c r="Q100" s="173">
        <f>'תקציב החברה לפיתוח 2021 '!Q100</f>
        <v>0</v>
      </c>
      <c r="R100" s="173">
        <f>'תקציב החברה לפיתוח 2021 '!R100</f>
        <v>0</v>
      </c>
      <c r="S100" s="173">
        <f>'תקציב החברה לפיתוח 2021 '!S100</f>
        <v>0</v>
      </c>
      <c r="T100" s="173">
        <f>'תקציב החברה לפיתוח 2021 '!T100</f>
        <v>0</v>
      </c>
      <c r="U100" s="173">
        <f>'תקציב החברה לפיתוח 2021 '!U100</f>
        <v>500000</v>
      </c>
      <c r="V100" s="173">
        <f>'תקציב החברה לפיתוח 2021 '!V100</f>
        <v>500000</v>
      </c>
      <c r="W100" s="173">
        <f>'תקציב החברה לפיתוח 2021 '!W100</f>
        <v>0</v>
      </c>
      <c r="X100" s="173">
        <f>'תקציב החברה לפיתוח 2021 '!X100</f>
        <v>0</v>
      </c>
      <c r="Y100" s="173">
        <f>'תקציב החברה לפיתוח 2021 '!Y100</f>
        <v>0</v>
      </c>
      <c r="Z100" s="173">
        <f>'תקציב החברה לפיתוח 2021 '!Z100</f>
        <v>0</v>
      </c>
      <c r="AA100" s="173">
        <f>'תקציב החברה לפיתוח 2021 '!AA100</f>
        <v>0</v>
      </c>
      <c r="AB100" s="293" t="str">
        <f>'תקציב החברה לפיתוח 2021 '!AB100</f>
        <v>תכנון ביכנ"ס במתחם גליל ים.</v>
      </c>
      <c r="AC100" s="172">
        <f>'תקציב החברה לפיתוח 2021 '!AC100</f>
        <v>850000</v>
      </c>
      <c r="AD100" s="284"/>
      <c r="AE100" s="284"/>
      <c r="AF100" s="166"/>
      <c r="AG100" s="166"/>
      <c r="AH100" s="166"/>
      <c r="AI100" s="166"/>
      <c r="AJ100" s="166"/>
    </row>
    <row r="101" spans="1:36" s="5" customFormat="1" ht="30" customHeight="1">
      <c r="A101" s="172">
        <f t="shared" si="1"/>
        <v>97</v>
      </c>
      <c r="B101" s="172">
        <f>'תקציב החברה לפיתוח 2021 '!B101</f>
        <v>2208</v>
      </c>
      <c r="C101" s="326" t="str">
        <f>'תקציב החברה לפיתוח 2021 '!C101</f>
        <v>מקווה גליל ים</v>
      </c>
      <c r="D101" s="173">
        <f>'תקציב החברה לפיתוח 2021 '!D101</f>
        <v>500000</v>
      </c>
      <c r="E101" s="173">
        <f>'תקציב החברה לפיתוח 2021 '!E101</f>
        <v>0</v>
      </c>
      <c r="F101" s="173">
        <f>'תקציב החברה לפיתוח 2021 '!F101</f>
        <v>500000</v>
      </c>
      <c r="G101" s="173">
        <f>'תקציב החברה לפיתוח 2021 '!G101</f>
        <v>0</v>
      </c>
      <c r="H101" s="173">
        <f>'תקציב החברה לפיתוח 2021 '!H101</f>
        <v>0</v>
      </c>
      <c r="I101" s="173">
        <f>'תקציב החברה לפיתוח 2021 '!I101</f>
        <v>0</v>
      </c>
      <c r="J101" s="173">
        <f>'תקציב החברה לפיתוח 2021 '!J101</f>
        <v>0</v>
      </c>
      <c r="K101" s="173">
        <f>'תקציב החברה לפיתוח 2021 '!K101</f>
        <v>0</v>
      </c>
      <c r="L101" s="173">
        <f>'תקציב החברה לפיתוח 2021 '!L101</f>
        <v>0</v>
      </c>
      <c r="M101" s="173">
        <f>'תקציב החברה לפיתוח 2021 '!M101</f>
        <v>0</v>
      </c>
      <c r="N101" s="173">
        <f>'תקציב החברה לפיתוח 2021 '!N101</f>
        <v>500000</v>
      </c>
      <c r="O101" s="173">
        <f>'תקציב החברה לפיתוח 2021 '!O101</f>
        <v>0</v>
      </c>
      <c r="P101" s="173">
        <f>'תקציב החברה לפיתוח 2021 '!P101</f>
        <v>0</v>
      </c>
      <c r="Q101" s="173">
        <f>'תקציב החברה לפיתוח 2021 '!Q101</f>
        <v>0</v>
      </c>
      <c r="R101" s="173">
        <f>'תקציב החברה לפיתוח 2021 '!R101</f>
        <v>0</v>
      </c>
      <c r="S101" s="173">
        <f>'תקציב החברה לפיתוח 2021 '!S101</f>
        <v>0</v>
      </c>
      <c r="T101" s="173">
        <f>'תקציב החברה לפיתוח 2021 '!T101</f>
        <v>0</v>
      </c>
      <c r="U101" s="173">
        <f>'תקציב החברה לפיתוח 2021 '!U101</f>
        <v>500000</v>
      </c>
      <c r="V101" s="173">
        <f>'תקציב החברה לפיתוח 2021 '!V101</f>
        <v>500000</v>
      </c>
      <c r="W101" s="173">
        <f>'תקציב החברה לפיתוח 2021 '!W101</f>
        <v>0</v>
      </c>
      <c r="X101" s="173">
        <f>'תקציב החברה לפיתוח 2021 '!X101</f>
        <v>0</v>
      </c>
      <c r="Y101" s="173">
        <f>'תקציב החברה לפיתוח 2021 '!Y101</f>
        <v>0</v>
      </c>
      <c r="Z101" s="173">
        <f>'תקציב החברה לפיתוח 2021 '!Z101</f>
        <v>0</v>
      </c>
      <c r="AA101" s="173">
        <f>'תקציב החברה לפיתוח 2021 '!AA101</f>
        <v>0</v>
      </c>
      <c r="AB101" s="293" t="str">
        <f>'תקציב החברה לפיתוח 2021 '!AB101</f>
        <v>תכנון מקווה במתחם גליל ים.</v>
      </c>
      <c r="AC101" s="172">
        <f>'תקציב החברה לפיתוח 2021 '!AC101</f>
        <v>850000</v>
      </c>
      <c r="AD101" s="284"/>
      <c r="AE101" s="284"/>
      <c r="AF101" s="166"/>
      <c r="AG101" s="166"/>
      <c r="AH101" s="166"/>
      <c r="AI101" s="166"/>
      <c r="AJ101" s="166"/>
    </row>
    <row r="102" spans="1:36" s="5" customFormat="1" ht="30" customHeight="1">
      <c r="A102" s="172">
        <f t="shared" si="1"/>
        <v>98</v>
      </c>
      <c r="B102" s="172">
        <f>'תקציב החברה לפיתוח 2021 '!B102</f>
        <v>2209</v>
      </c>
      <c r="C102" s="326" t="str">
        <f>'תקציב החברה לפיתוח 2021 '!C102</f>
        <v>בית ספר ברנר (תוספת 6 כיתות)</v>
      </c>
      <c r="D102" s="173">
        <f>'תקציב החברה לפיתוח 2021 '!D102</f>
        <v>500000</v>
      </c>
      <c r="E102" s="173">
        <f>'תקציב החברה לפיתוח 2021 '!E102</f>
        <v>0</v>
      </c>
      <c r="F102" s="173">
        <f>'תקציב החברה לפיתוח 2021 '!F102</f>
        <v>500000</v>
      </c>
      <c r="G102" s="173">
        <f>'תקציב החברה לפיתוח 2021 '!G102</f>
        <v>0</v>
      </c>
      <c r="H102" s="173">
        <f>'תקציב החברה לפיתוח 2021 '!H102</f>
        <v>0</v>
      </c>
      <c r="I102" s="173">
        <f>'תקציב החברה לפיתוח 2021 '!I102</f>
        <v>0</v>
      </c>
      <c r="J102" s="173">
        <f>'תקציב החברה לפיתוח 2021 '!J102</f>
        <v>0</v>
      </c>
      <c r="K102" s="173">
        <f>'תקציב החברה לפיתוח 2021 '!K102</f>
        <v>0</v>
      </c>
      <c r="L102" s="173">
        <f>'תקציב החברה לפיתוח 2021 '!L102</f>
        <v>0</v>
      </c>
      <c r="M102" s="173">
        <f>'תקציב החברה לפיתוח 2021 '!M102</f>
        <v>0</v>
      </c>
      <c r="N102" s="173">
        <f>'תקציב החברה לפיתוח 2021 '!N102</f>
        <v>500000</v>
      </c>
      <c r="O102" s="173">
        <f>'תקציב החברה לפיתוח 2021 '!O102</f>
        <v>0</v>
      </c>
      <c r="P102" s="173">
        <f>'תקציב החברה לפיתוח 2021 '!P102</f>
        <v>0</v>
      </c>
      <c r="Q102" s="173">
        <f>'תקציב החברה לפיתוח 2021 '!Q102</f>
        <v>0</v>
      </c>
      <c r="R102" s="173">
        <f>'תקציב החברה לפיתוח 2021 '!R102</f>
        <v>0</v>
      </c>
      <c r="S102" s="173">
        <f>'תקציב החברה לפיתוח 2021 '!S102</f>
        <v>0</v>
      </c>
      <c r="T102" s="173">
        <f>'תקציב החברה לפיתוח 2021 '!T102</f>
        <v>0</v>
      </c>
      <c r="U102" s="173">
        <f>'תקציב החברה לפיתוח 2021 '!U102</f>
        <v>500000</v>
      </c>
      <c r="V102" s="173">
        <f>'תקציב החברה לפיתוח 2021 '!V102</f>
        <v>500000</v>
      </c>
      <c r="W102" s="173">
        <f>'תקציב החברה לפיתוח 2021 '!W102</f>
        <v>0</v>
      </c>
      <c r="X102" s="173">
        <f>'תקציב החברה לפיתוח 2021 '!X102</f>
        <v>0</v>
      </c>
      <c r="Y102" s="173">
        <f>'תקציב החברה לפיתוח 2021 '!Y102</f>
        <v>0</v>
      </c>
      <c r="Z102" s="173">
        <f>'תקציב החברה לפיתוח 2021 '!Z102</f>
        <v>0</v>
      </c>
      <c r="AA102" s="173">
        <f>'תקציב החברה לפיתוח 2021 '!AA102</f>
        <v>0</v>
      </c>
      <c r="AB102" s="293" t="str">
        <f>'תקציב החברה לפיתוח 2021 '!AB102</f>
        <v xml:space="preserve">תכנון תוספת 6 כיתות בי"ס ברנר. </v>
      </c>
      <c r="AC102" s="172">
        <f>'תקציב החברה לפיתוח 2021 '!AC102</f>
        <v>810000</v>
      </c>
      <c r="AD102" s="284"/>
      <c r="AE102" s="284"/>
      <c r="AF102" s="166"/>
      <c r="AG102" s="166"/>
      <c r="AH102" s="166"/>
      <c r="AI102" s="166"/>
      <c r="AJ102" s="166"/>
    </row>
    <row r="103" spans="1:36" s="5" customFormat="1" ht="30" customHeight="1">
      <c r="A103" s="172">
        <f t="shared" si="1"/>
        <v>99</v>
      </c>
      <c r="B103" s="172">
        <f>'תקציב החברה לפיתוח 2021 '!B103</f>
        <v>2210</v>
      </c>
      <c r="C103" s="326" t="str">
        <f>'תקציב החברה לפיתוח 2021 '!C103</f>
        <v>גנ"י (2) בסמטת סמדר</v>
      </c>
      <c r="D103" s="173">
        <f>'תקציב החברה לפיתוח 2021 '!D103</f>
        <v>1000000</v>
      </c>
      <c r="E103" s="173">
        <f>'תקציב החברה לפיתוח 2021 '!E103</f>
        <v>0</v>
      </c>
      <c r="F103" s="173">
        <f>'תקציב החברה לפיתוח 2021 '!F103</f>
        <v>1000000</v>
      </c>
      <c r="G103" s="173">
        <f>'תקציב החברה לפיתוח 2021 '!G103</f>
        <v>0</v>
      </c>
      <c r="H103" s="173">
        <f>'תקציב החברה לפיתוח 2021 '!H103</f>
        <v>0</v>
      </c>
      <c r="I103" s="173">
        <f>'תקציב החברה לפיתוח 2021 '!I103</f>
        <v>0</v>
      </c>
      <c r="J103" s="173">
        <f>'תקציב החברה לפיתוח 2021 '!J103</f>
        <v>0</v>
      </c>
      <c r="K103" s="173">
        <f>'תקציב החברה לפיתוח 2021 '!K103</f>
        <v>0</v>
      </c>
      <c r="L103" s="173">
        <f>'תקציב החברה לפיתוח 2021 '!L103</f>
        <v>0</v>
      </c>
      <c r="M103" s="173">
        <f>'תקציב החברה לפיתוח 2021 '!M103</f>
        <v>0</v>
      </c>
      <c r="N103" s="173">
        <f>'תקציב החברה לפיתוח 2021 '!N103</f>
        <v>500000</v>
      </c>
      <c r="O103" s="173">
        <f>'תקציב החברה לפיתוח 2021 '!O103</f>
        <v>500000</v>
      </c>
      <c r="P103" s="173">
        <f>'תקציב החברה לפיתוח 2021 '!P103</f>
        <v>0</v>
      </c>
      <c r="Q103" s="173">
        <f>'תקציב החברה לפיתוח 2021 '!Q103</f>
        <v>0</v>
      </c>
      <c r="R103" s="173">
        <f>'תקציב החברה לפיתוח 2021 '!R103</f>
        <v>0</v>
      </c>
      <c r="S103" s="173">
        <f>'תקציב החברה לפיתוח 2021 '!S103</f>
        <v>0</v>
      </c>
      <c r="T103" s="173">
        <f>'תקציב החברה לפיתוח 2021 '!T103</f>
        <v>0</v>
      </c>
      <c r="U103" s="173">
        <f>'תקציב החברה לפיתוח 2021 '!U103</f>
        <v>500000</v>
      </c>
      <c r="V103" s="173">
        <f>'תקציב החברה לפיתוח 2021 '!V103</f>
        <v>500000</v>
      </c>
      <c r="W103" s="173">
        <f>'תקציב החברה לפיתוח 2021 '!W103</f>
        <v>0</v>
      </c>
      <c r="X103" s="173">
        <f>'תקציב החברה לפיתוח 2021 '!X103</f>
        <v>0</v>
      </c>
      <c r="Y103" s="173">
        <f>'תקציב החברה לפיתוח 2021 '!Y103</f>
        <v>0</v>
      </c>
      <c r="Z103" s="173">
        <f>'תקציב החברה לפיתוח 2021 '!Z103</f>
        <v>0</v>
      </c>
      <c r="AA103" s="173">
        <f>'תקציב החברה לפיתוח 2021 '!AA103</f>
        <v>0</v>
      </c>
      <c r="AB103" s="293" t="str">
        <f>'תקציב החברה לפיתוח 2021 '!AB103</f>
        <v>תכנון 2 כיתות גן.</v>
      </c>
      <c r="AC103" s="172">
        <f>'תקציב החברה לפיתוח 2021 '!AC103</f>
        <v>810000</v>
      </c>
      <c r="AD103" s="284"/>
      <c r="AE103" s="284"/>
      <c r="AF103" s="166"/>
      <c r="AG103" s="166"/>
      <c r="AH103" s="166"/>
      <c r="AI103" s="166"/>
      <c r="AJ103" s="166"/>
    </row>
    <row r="104" spans="1:36" s="296" customFormat="1" ht="30" customHeight="1">
      <c r="A104" s="178"/>
      <c r="B104" s="295"/>
      <c r="C104" s="192" t="s">
        <v>236</v>
      </c>
      <c r="D104" s="180">
        <f>SUM(D5:D103)</f>
        <v>1995546982</v>
      </c>
      <c r="E104" s="180">
        <f t="shared" ref="E104:AA104" si="2">SUM(E5:E103)</f>
        <v>1793014125</v>
      </c>
      <c r="F104" s="180">
        <f t="shared" si="2"/>
        <v>202532857</v>
      </c>
      <c r="G104" s="180">
        <f t="shared" si="2"/>
        <v>946006287</v>
      </c>
      <c r="H104" s="180">
        <f t="shared" si="2"/>
        <v>710389355</v>
      </c>
      <c r="I104" s="180">
        <f t="shared" si="2"/>
        <v>2556499</v>
      </c>
      <c r="J104" s="180">
        <f t="shared" si="2"/>
        <v>29563032</v>
      </c>
      <c r="K104" s="180">
        <f t="shared" si="2"/>
        <v>32119531</v>
      </c>
      <c r="L104" s="180">
        <f t="shared" si="2"/>
        <v>742508886</v>
      </c>
      <c r="M104" s="180">
        <f t="shared" si="2"/>
        <v>194548401</v>
      </c>
      <c r="N104" s="180">
        <f t="shared" si="2"/>
        <v>206220160</v>
      </c>
      <c r="O104" s="180">
        <f t="shared" si="2"/>
        <v>852269535</v>
      </c>
      <c r="P104" s="180">
        <f t="shared" si="2"/>
        <v>203497401</v>
      </c>
      <c r="Q104" s="180">
        <f t="shared" si="2"/>
        <v>0</v>
      </c>
      <c r="R104" s="180">
        <f t="shared" si="2"/>
        <v>0</v>
      </c>
      <c r="S104" s="180">
        <f t="shared" si="2"/>
        <v>0</v>
      </c>
      <c r="T104" s="180">
        <f t="shared" si="2"/>
        <v>8949000</v>
      </c>
      <c r="U104" s="180">
        <f t="shared" si="2"/>
        <v>197271160</v>
      </c>
      <c r="V104" s="180">
        <f t="shared" si="2"/>
        <v>172621888</v>
      </c>
      <c r="W104" s="180">
        <f t="shared" si="2"/>
        <v>0</v>
      </c>
      <c r="X104" s="180">
        <f t="shared" si="2"/>
        <v>0</v>
      </c>
      <c r="Y104" s="180">
        <f t="shared" si="2"/>
        <v>0</v>
      </c>
      <c r="Z104" s="180">
        <f t="shared" si="2"/>
        <v>0</v>
      </c>
      <c r="AA104" s="180">
        <f t="shared" si="2"/>
        <v>24649272</v>
      </c>
      <c r="AB104" s="169">
        <f>SUM(AB5:AB62)</f>
        <v>0</v>
      </c>
      <c r="AC104" s="172"/>
      <c r="AD104" s="284"/>
      <c r="AE104" s="284"/>
      <c r="AF104" s="166"/>
      <c r="AG104" s="166"/>
      <c r="AH104" s="166"/>
      <c r="AI104" s="166"/>
      <c r="AJ104" s="166"/>
    </row>
    <row r="105" spans="1:36" s="296" customFormat="1" ht="30" hidden="1" customHeight="1">
      <c r="A105" s="178"/>
      <c r="B105" s="295"/>
      <c r="C105" s="192"/>
      <c r="D105" s="180"/>
      <c r="E105" s="180"/>
      <c r="F105" s="180"/>
      <c r="G105" s="180"/>
      <c r="H105" s="180"/>
      <c r="I105" s="180"/>
      <c r="J105" s="180"/>
      <c r="K105" s="180"/>
      <c r="L105" s="180">
        <f>K104+H104</f>
        <v>742508886</v>
      </c>
      <c r="M105" s="180"/>
      <c r="N105" s="180"/>
      <c r="O105" s="180"/>
      <c r="P105" s="173">
        <f>G104-L105</f>
        <v>203497401</v>
      </c>
      <c r="Q105" s="180"/>
      <c r="R105" s="180"/>
      <c r="S105" s="180"/>
      <c r="T105" s="180">
        <f>P105-M104</f>
        <v>8949000</v>
      </c>
      <c r="U105" s="180"/>
      <c r="V105" s="180"/>
      <c r="W105" s="180"/>
      <c r="X105" s="180"/>
      <c r="Y105" s="180"/>
      <c r="Z105" s="180"/>
      <c r="AA105" s="180"/>
      <c r="AB105" s="169"/>
      <c r="AC105" s="172"/>
      <c r="AD105" s="284"/>
      <c r="AE105" s="284"/>
      <c r="AF105" s="166"/>
      <c r="AG105" s="166"/>
      <c r="AH105" s="166"/>
      <c r="AI105" s="166"/>
      <c r="AJ105" s="166"/>
    </row>
    <row r="106" spans="1:36" s="296" customFormat="1" ht="30" customHeight="1">
      <c r="A106" s="178"/>
      <c r="B106" s="295"/>
      <c r="C106" s="192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73">
        <f t="shared" ref="P106:P107" si="3">G106-L106</f>
        <v>0</v>
      </c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69"/>
      <c r="AC106" s="172"/>
      <c r="AD106" s="284"/>
      <c r="AE106" s="284"/>
      <c r="AF106" s="166"/>
      <c r="AG106" s="166"/>
      <c r="AH106" s="166"/>
      <c r="AI106" s="166"/>
      <c r="AJ106" s="166"/>
    </row>
    <row r="107" spans="1:36" s="296" customFormat="1" ht="30" customHeight="1">
      <c r="A107" s="178"/>
      <c r="B107" s="295"/>
      <c r="C107" s="192" t="s">
        <v>174</v>
      </c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73">
        <f t="shared" si="3"/>
        <v>0</v>
      </c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69"/>
      <c r="AC107" s="172"/>
      <c r="AD107" s="284"/>
      <c r="AE107" s="284"/>
      <c r="AF107" s="166"/>
      <c r="AG107" s="166"/>
      <c r="AH107" s="166"/>
      <c r="AI107" s="166"/>
      <c r="AJ107" s="166"/>
    </row>
    <row r="108" spans="1:36" s="176" customFormat="1" ht="30" customHeight="1">
      <c r="A108" s="172">
        <f>A103+1</f>
        <v>100</v>
      </c>
      <c r="B108" s="172">
        <f>'תקציב החברה לפיתוח 2021 '!B108</f>
        <v>1547</v>
      </c>
      <c r="C108" s="326" t="str">
        <f>'תקציב החברה לפיתוח 2021 '!C108</f>
        <v>פיתוח מתחם גליל ים הר' 1985 א'</v>
      </c>
      <c r="D108" s="173">
        <f>'תקציב החברה לפיתוח 2021 '!D108</f>
        <v>144000000</v>
      </c>
      <c r="E108" s="173">
        <f>'תקציב החברה לפיתוח 2021 '!E108</f>
        <v>144000000</v>
      </c>
      <c r="F108" s="173">
        <f>'תקציב החברה לפיתוח 2021 '!F108</f>
        <v>0</v>
      </c>
      <c r="G108" s="173">
        <f>'תקציב החברה לפיתוח 2021 '!G108</f>
        <v>144000000</v>
      </c>
      <c r="H108" s="173">
        <f>'תקציב החברה לפיתוח 2021 '!H108</f>
        <v>103040054</v>
      </c>
      <c r="I108" s="173">
        <f>'תקציב החברה לפיתוח 2021 '!I108</f>
        <v>941728</v>
      </c>
      <c r="J108" s="173">
        <f>'תקציב החברה לפיתוח 2021 '!J108</f>
        <v>243985</v>
      </c>
      <c r="K108" s="173">
        <f>'תקציב החברה לפיתוח 2021 '!K108</f>
        <v>1185713</v>
      </c>
      <c r="L108" s="173">
        <f>'תקציב החברה לפיתוח 2021 '!L108</f>
        <v>104225767</v>
      </c>
      <c r="M108" s="173">
        <f>'תקציב החברה לפיתוח 2021 '!M108</f>
        <v>9774233</v>
      </c>
      <c r="N108" s="173">
        <f>'תקציב החברה לפיתוח 2021 '!N108</f>
        <v>0</v>
      </c>
      <c r="O108" s="173">
        <f>'תקציב החברה לפיתוח 2021 '!O108</f>
        <v>30000000</v>
      </c>
      <c r="P108" s="173">
        <f>'תקציב החברה לפיתוח 2021 '!P108</f>
        <v>39774233</v>
      </c>
      <c r="Q108" s="173">
        <f>'תקציב החברה לפיתוח 2021 '!Q108</f>
        <v>0</v>
      </c>
      <c r="R108" s="173">
        <f>'תקציב החברה לפיתוח 2021 '!R108</f>
        <v>0</v>
      </c>
      <c r="S108" s="173">
        <f>'תקציב החברה לפיתוח 2021 '!S108</f>
        <v>0</v>
      </c>
      <c r="T108" s="173">
        <f>'תקציב החברה לפיתוח 2021 '!T108</f>
        <v>30000000</v>
      </c>
      <c r="U108" s="173">
        <f>'תקציב החברה לפיתוח 2021 '!U108</f>
        <v>-30000000</v>
      </c>
      <c r="V108" s="173">
        <f>'תקציב החברה לפיתוח 2021 '!V108</f>
        <v>-15000000</v>
      </c>
      <c r="W108" s="173">
        <f>'תקציב החברה לפיתוח 2021 '!W108</f>
        <v>0</v>
      </c>
      <c r="X108" s="173">
        <f>'תקציב החברה לפיתוח 2021 '!X108</f>
        <v>0</v>
      </c>
      <c r="Y108" s="173">
        <f>'תקציב החברה לפיתוח 2021 '!Y108</f>
        <v>-15000000</v>
      </c>
      <c r="Z108" s="173">
        <f>'תקציב החברה לפיתוח 2021 '!Z108</f>
        <v>0</v>
      </c>
      <c r="AA108" s="173">
        <f>'תקציב החברה לפיתוח 2021 '!AA108</f>
        <v>0</v>
      </c>
      <c r="AB108" s="293" t="str">
        <f>'תקציב החברה לפיתוח 2021 '!AB108</f>
        <v>עבודות פיתוח. מימון רמ"י במסגרת הסכם "הגג".</v>
      </c>
      <c r="AC108" s="172">
        <f>'תקציב החברה לפיתוח 2021 '!AC108</f>
        <v>742000</v>
      </c>
      <c r="AD108" s="284"/>
      <c r="AE108" s="284"/>
      <c r="AF108" s="166"/>
      <c r="AG108" s="166"/>
      <c r="AH108" s="166"/>
      <c r="AI108" s="166"/>
      <c r="AJ108" s="166"/>
    </row>
    <row r="109" spans="1:36" ht="30" customHeight="1">
      <c r="A109" s="172">
        <f>A108+1</f>
        <v>101</v>
      </c>
      <c r="B109" s="172">
        <f>'תקציב החברה לפיתוח 2021 '!B109</f>
        <v>1827</v>
      </c>
      <c r="C109" s="326" t="str">
        <f>'תקציב החברה לפיתוח 2021 '!C109</f>
        <v xml:space="preserve">פארק גליל ים </v>
      </c>
      <c r="D109" s="173">
        <f>'תקציב החברה לפיתוח 2021 '!D109</f>
        <v>100000000</v>
      </c>
      <c r="E109" s="173">
        <f>'תקציב החברה לפיתוח 2021 '!E109</f>
        <v>100000000</v>
      </c>
      <c r="F109" s="173">
        <f>'תקציב החברה לפיתוח 2021 '!F109</f>
        <v>0</v>
      </c>
      <c r="G109" s="173">
        <f>'תקציב החברה לפיתוח 2021 '!G109</f>
        <v>83771629</v>
      </c>
      <c r="H109" s="173">
        <f>'תקציב החברה לפיתוח 2021 '!H109</f>
        <v>69667842</v>
      </c>
      <c r="I109" s="173">
        <f>'תקציב החברה לפיתוח 2021 '!I109</f>
        <v>0</v>
      </c>
      <c r="J109" s="173">
        <f>'תקציב החברה לפיתוח 2021 '!J109</f>
        <v>4975071</v>
      </c>
      <c r="K109" s="173">
        <f>'תקציב החברה לפיתוח 2021 '!K109</f>
        <v>4975071</v>
      </c>
      <c r="L109" s="173">
        <f>'תקציב החברה לפיתוח 2021 '!L109</f>
        <v>74642913</v>
      </c>
      <c r="M109" s="173">
        <f>'תקציב החברה לפיתוח 2021 '!M109</f>
        <v>9128716</v>
      </c>
      <c r="N109" s="173">
        <f>'תקציב החברה לפיתוח 2021 '!N109</f>
        <v>16228371</v>
      </c>
      <c r="O109" s="173">
        <f>'תקציב החברה לפיתוח 2021 '!O109</f>
        <v>0</v>
      </c>
      <c r="P109" s="173">
        <f>'תקציב החברה לפיתוח 2021 '!P109</f>
        <v>9128716</v>
      </c>
      <c r="Q109" s="173">
        <f>'תקציב החברה לפיתוח 2021 '!Q109</f>
        <v>0</v>
      </c>
      <c r="R109" s="173">
        <f>'תקציב החברה לפיתוח 2021 '!R109</f>
        <v>0</v>
      </c>
      <c r="S109" s="173">
        <f>'תקציב החברה לפיתוח 2021 '!S109</f>
        <v>0</v>
      </c>
      <c r="T109" s="173">
        <f>'תקציב החברה לפיתוח 2021 '!T109</f>
        <v>0</v>
      </c>
      <c r="U109" s="173">
        <f>'תקציב החברה לפיתוח 2021 '!U109</f>
        <v>16228371</v>
      </c>
      <c r="V109" s="173">
        <f>'תקציב החברה לפיתוח 2021 '!V109</f>
        <v>0</v>
      </c>
      <c r="W109" s="173">
        <f>'תקציב החברה לפיתוח 2021 '!W109</f>
        <v>0</v>
      </c>
      <c r="X109" s="173">
        <f>'תקציב החברה לפיתוח 2021 '!X109</f>
        <v>0</v>
      </c>
      <c r="Y109" s="173">
        <f>'תקציב החברה לפיתוח 2021 '!Y109</f>
        <v>0</v>
      </c>
      <c r="Z109" s="173">
        <f>'תקציב החברה לפיתוח 2021 '!Z109</f>
        <v>0</v>
      </c>
      <c r="AA109" s="173">
        <f>'תקציב החברה לפיתוח 2021 '!AA109</f>
        <v>16228371</v>
      </c>
      <c r="AB109" s="293" t="str">
        <f>'תקציב החברה לפיתוח 2021 '!AB109</f>
        <v>עבודות פיתוח. מימון רמ"י במסגרת הסכם "הגג".</v>
      </c>
      <c r="AC109" s="172">
        <f>'תקציב החברה לפיתוח 2021 '!AC109</f>
        <v>746000</v>
      </c>
    </row>
    <row r="110" spans="1:36" s="176" customFormat="1" ht="30" customHeight="1">
      <c r="A110" s="172">
        <f>A109+1</f>
        <v>102</v>
      </c>
      <c r="B110" s="172">
        <f>'תקציב החברה לפיתוח 2021 '!B110</f>
        <v>1905</v>
      </c>
      <c r="C110" s="326" t="str">
        <f>'תקציב החברה לפיתוח 2021 '!C110</f>
        <v>שצ"פ מערב קיר אקוסטי גליל ים ב'</v>
      </c>
      <c r="D110" s="173">
        <f>'תקציב החברה לפיתוח 2021 '!D110</f>
        <v>3366000</v>
      </c>
      <c r="E110" s="173">
        <f>'תקציב החברה לפיתוח 2021 '!E110</f>
        <v>3366000</v>
      </c>
      <c r="F110" s="173">
        <f>'תקציב החברה לפיתוח 2021 '!F110</f>
        <v>0</v>
      </c>
      <c r="G110" s="173">
        <f>'תקציב החברה לפיתוח 2021 '!G110</f>
        <v>3366000</v>
      </c>
      <c r="H110" s="173">
        <f>'תקציב החברה לפיתוח 2021 '!H110</f>
        <v>0</v>
      </c>
      <c r="I110" s="173">
        <f>'תקציב החברה לפיתוח 2021 '!I110</f>
        <v>0</v>
      </c>
      <c r="J110" s="173">
        <f>'תקציב החברה לפיתוח 2021 '!J110</f>
        <v>0</v>
      </c>
      <c r="K110" s="173">
        <f>'תקציב החברה לפיתוח 2021 '!K110</f>
        <v>0</v>
      </c>
      <c r="L110" s="173">
        <f>'תקציב החברה לפיתוח 2021 '!L110</f>
        <v>0</v>
      </c>
      <c r="M110" s="173">
        <f>'תקציב החברה לפיתוח 2021 '!M110</f>
        <v>3366000</v>
      </c>
      <c r="N110" s="173">
        <f>'תקציב החברה לפיתוח 2021 '!N110</f>
        <v>0</v>
      </c>
      <c r="O110" s="173">
        <f>'תקציב החברה לפיתוח 2021 '!O110</f>
        <v>0</v>
      </c>
      <c r="P110" s="173">
        <f>'תקציב החברה לפיתוח 2021 '!P110</f>
        <v>3366000</v>
      </c>
      <c r="Q110" s="173">
        <f>'תקציב החברה לפיתוח 2021 '!Q110</f>
        <v>0</v>
      </c>
      <c r="R110" s="173">
        <f>'תקציב החברה לפיתוח 2021 '!R110</f>
        <v>0</v>
      </c>
      <c r="S110" s="173">
        <f>'תקציב החברה לפיתוח 2021 '!S110</f>
        <v>0</v>
      </c>
      <c r="T110" s="173">
        <f>'תקציב החברה לפיתוח 2021 '!T110</f>
        <v>0</v>
      </c>
      <c r="U110" s="173">
        <f>'תקציב החברה לפיתוח 2021 '!U110</f>
        <v>0</v>
      </c>
      <c r="V110" s="173">
        <f>'תקציב החברה לפיתוח 2021 '!V110</f>
        <v>0</v>
      </c>
      <c r="W110" s="173">
        <f>'תקציב החברה לפיתוח 2021 '!W110</f>
        <v>0</v>
      </c>
      <c r="X110" s="173">
        <f>'תקציב החברה לפיתוח 2021 '!X110</f>
        <v>0</v>
      </c>
      <c r="Y110" s="173">
        <f>'תקציב החברה לפיתוח 2021 '!Y110</f>
        <v>0</v>
      </c>
      <c r="Z110" s="173">
        <f>'תקציב החברה לפיתוח 2021 '!Z110</f>
        <v>0</v>
      </c>
      <c r="AA110" s="173">
        <f>'תקציב החברה לפיתוח 2021 '!AA110</f>
        <v>0</v>
      </c>
      <c r="AB110" s="293" t="str">
        <f>'תקציב החברה לפיתוח 2021 '!AB110</f>
        <v>מימון רמ"י במסגרת הסכם "הגג".</v>
      </c>
      <c r="AC110" s="172">
        <f>'תקציב החברה לפיתוח 2021 '!AC110</f>
        <v>746000</v>
      </c>
      <c r="AD110" s="284"/>
      <c r="AE110" s="284"/>
      <c r="AF110" s="166"/>
      <c r="AG110" s="166"/>
      <c r="AH110" s="166"/>
      <c r="AI110" s="166"/>
      <c r="AJ110" s="166"/>
    </row>
    <row r="111" spans="1:36" s="176" customFormat="1" ht="30" customHeight="1">
      <c r="A111" s="172">
        <f t="shared" ref="A111:A120" si="4">A110+1</f>
        <v>103</v>
      </c>
      <c r="B111" s="172">
        <f>'תקציב החברה לפיתוח 2021 '!B111</f>
        <v>1908</v>
      </c>
      <c r="C111" s="326" t="str">
        <f>'תקציב החברה לפיתוח 2021 '!C111</f>
        <v>כיתות מעון וגן שטח 303 גליל ים א'</v>
      </c>
      <c r="D111" s="173">
        <f>'תקציב החברה לפיתוח 2021 '!D111</f>
        <v>19080000</v>
      </c>
      <c r="E111" s="173">
        <f>'תקציב החברה לפיתוח 2021 '!E111</f>
        <v>19080000</v>
      </c>
      <c r="F111" s="173">
        <f>'תקציב החברה לפיתוח 2021 '!F111</f>
        <v>0</v>
      </c>
      <c r="G111" s="173">
        <f>'תקציב החברה לפיתוח 2021 '!G111</f>
        <v>10943329</v>
      </c>
      <c r="H111" s="173">
        <f>'תקציב החברה לפיתוח 2021 '!H111</f>
        <v>674770</v>
      </c>
      <c r="I111" s="173">
        <f>'תקציב החברה לפיתוח 2021 '!I111</f>
        <v>0</v>
      </c>
      <c r="J111" s="173">
        <f>'תקציב החברה לפיתוח 2021 '!J111</f>
        <v>655530</v>
      </c>
      <c r="K111" s="173">
        <f>'תקציב החברה לפיתוח 2021 '!K111</f>
        <v>655530</v>
      </c>
      <c r="L111" s="173">
        <f>'תקציב החברה לפיתוח 2021 '!L111</f>
        <v>1330300</v>
      </c>
      <c r="M111" s="173">
        <f>'תקציב החברה לפיתוח 2021 '!M111</f>
        <v>9613029</v>
      </c>
      <c r="N111" s="173">
        <f>'תקציב החברה לפיתוח 2021 '!N111</f>
        <v>8136671</v>
      </c>
      <c r="O111" s="173">
        <f>'תקציב החברה לפיתוח 2021 '!O111</f>
        <v>0</v>
      </c>
      <c r="P111" s="173">
        <f>'תקציב החברה לפיתוח 2021 '!P111</f>
        <v>9613029</v>
      </c>
      <c r="Q111" s="173">
        <f>'תקציב החברה לפיתוח 2021 '!Q111</f>
        <v>0</v>
      </c>
      <c r="R111" s="173">
        <f>'תקציב החברה לפיתוח 2021 '!R111</f>
        <v>0</v>
      </c>
      <c r="S111" s="173">
        <f>'תקציב החברה לפיתוח 2021 '!S111</f>
        <v>0</v>
      </c>
      <c r="T111" s="173">
        <f>'תקציב החברה לפיתוח 2021 '!T111</f>
        <v>0</v>
      </c>
      <c r="U111" s="173">
        <f>'תקציב החברה לפיתוח 2021 '!U111</f>
        <v>8136671</v>
      </c>
      <c r="V111" s="173">
        <f>'תקציב החברה לפיתוח 2021 '!V111</f>
        <v>6611167</v>
      </c>
      <c r="W111" s="173">
        <f>'תקציב החברה לפיתוח 2021 '!W111</f>
        <v>0</v>
      </c>
      <c r="X111" s="173">
        <f>'תקציב החברה לפיתוח 2021 '!X111</f>
        <v>0</v>
      </c>
      <c r="Y111" s="173">
        <f>'תקציב החברה לפיתוח 2021 '!Y111</f>
        <v>0</v>
      </c>
      <c r="Z111" s="173">
        <f>'תקציב החברה לפיתוח 2021 '!Z111</f>
        <v>0</v>
      </c>
      <c r="AA111" s="173">
        <f>'תקציב החברה לפיתוח 2021 '!AA111</f>
        <v>1525504</v>
      </c>
      <c r="AB111" s="293" t="str">
        <f>'תקציב החברה לפיתוח 2021 '!AB111</f>
        <v xml:space="preserve"> כיתות גן (7) . לו"ז איכלוס 9/2021. 2 כיתות גן מימון מ.החינוך .</v>
      </c>
      <c r="AC111" s="172">
        <f>'תקציב החברה לפיתוח 2021 '!AC111</f>
        <v>810000</v>
      </c>
      <c r="AD111" s="284"/>
      <c r="AE111" s="284"/>
      <c r="AF111" s="166"/>
      <c r="AG111" s="166"/>
      <c r="AH111" s="166"/>
      <c r="AI111" s="166"/>
      <c r="AJ111" s="166"/>
    </row>
    <row r="112" spans="1:36" ht="84">
      <c r="A112" s="172">
        <f t="shared" si="4"/>
        <v>104</v>
      </c>
      <c r="B112" s="172">
        <f>'תקציב החברה לפיתוח 2021 '!B112</f>
        <v>1909</v>
      </c>
      <c r="C112" s="326" t="str">
        <f>'תקציב החברה לפיתוח 2021 '!C112</f>
        <v xml:space="preserve">שטח 408 גליל ים ב'-גנ"י, בי"ס, ספריה </v>
      </c>
      <c r="D112" s="173">
        <f>'תקציב החברה לפיתוח 2021 '!D112</f>
        <v>184500000</v>
      </c>
      <c r="E112" s="173">
        <f>'תקציב החברה לפיתוח 2021 '!E112</f>
        <v>184500000</v>
      </c>
      <c r="F112" s="173">
        <f>'תקציב החברה לפיתוח 2021 '!F112</f>
        <v>0</v>
      </c>
      <c r="G112" s="173">
        <f>'תקציב החברה לפיתוח 2021 '!G112</f>
        <v>10150000</v>
      </c>
      <c r="H112" s="173">
        <f>'תקציב החברה לפיתוח 2021 '!H112</f>
        <v>6040958</v>
      </c>
      <c r="I112" s="173">
        <f>'תקציב החברה לפיתוח 2021 '!I112</f>
        <v>0</v>
      </c>
      <c r="J112" s="173">
        <f>'תקציב החברה לפיתוח 2021 '!J112</f>
        <v>149036</v>
      </c>
      <c r="K112" s="173">
        <f>'תקציב החברה לפיתוח 2021 '!K112</f>
        <v>149036</v>
      </c>
      <c r="L112" s="173">
        <f>'תקציב החברה לפיתוח 2021 '!L112</f>
        <v>6189994</v>
      </c>
      <c r="M112" s="173">
        <f>'תקציב החברה לפיתוח 2021 '!M112</f>
        <v>35460006</v>
      </c>
      <c r="N112" s="173">
        <f>'תקציב החברה לפיתוח 2021 '!N112</f>
        <v>40000000</v>
      </c>
      <c r="O112" s="173">
        <f>'תקציב החברה לפיתוח 2021 '!O112</f>
        <v>102850000</v>
      </c>
      <c r="P112" s="173">
        <f>'תקציב החברה לפיתוח 2021 '!P112</f>
        <v>3960006</v>
      </c>
      <c r="Q112" s="173">
        <f>'תקציב החברה לפיתוח 2021 '!Q112</f>
        <v>31500000</v>
      </c>
      <c r="R112" s="173">
        <f>'תקציב החברה לפיתוח 2021 '!R112</f>
        <v>0</v>
      </c>
      <c r="S112" s="173">
        <f>'תקציב החברה לפיתוח 2021 '!S112</f>
        <v>31500000</v>
      </c>
      <c r="T112" s="173">
        <f>'תקציב החברה לפיתוח 2021 '!T112</f>
        <v>0</v>
      </c>
      <c r="U112" s="173">
        <f>'תקציב החברה לפיתוח 2021 '!U112</f>
        <v>40000000</v>
      </c>
      <c r="V112" s="173">
        <f>'תקציב החברה לפיתוח 2021 '!V112</f>
        <v>6105210</v>
      </c>
      <c r="W112" s="173">
        <f>'תקציב החברה לפיתוח 2021 '!W112</f>
        <v>0</v>
      </c>
      <c r="X112" s="173">
        <f>'תקציב החברה לפיתוח 2021 '!X112</f>
        <v>0</v>
      </c>
      <c r="Y112" s="173">
        <f>'תקציב החברה לפיתוח 2021 '!Y112</f>
        <v>15000000</v>
      </c>
      <c r="Z112" s="173">
        <f>'תקציב החברה לפיתוח 2021 '!Z112</f>
        <v>0</v>
      </c>
      <c r="AA112" s="173">
        <f>'תקציב החברה לפיתוח 2021 '!AA112</f>
        <v>18894790</v>
      </c>
      <c r="AB112" s="293" t="str">
        <f>'תקציב החברה לפיתוח 2021 '!AB112</f>
        <v>בניית בי"ס יסודי 18 כיתות, 5 כיתות גן, מועדון תנועת נוער, אולם ספורט בינוני , מגרש ספורט משולב, חניון תתקרקעי 2 מפלסים. לו"ז לאיכלוס 9.2021/2022. מימון מ. החינוך בי"ס,גנ"י.</v>
      </c>
      <c r="AC112" s="172">
        <f>'תקציב החברה לפיתוח 2021 '!AC112</f>
        <v>810000</v>
      </c>
    </row>
    <row r="113" spans="1:36" ht="42">
      <c r="A113" s="172">
        <f t="shared" si="4"/>
        <v>105</v>
      </c>
      <c r="B113" s="172">
        <f>'תקציב החברה לפיתוח 2021 '!B113</f>
        <v>1911</v>
      </c>
      <c r="C113" s="326" t="str">
        <f>'תקציב החברה לפיתוח 2021 '!C113</f>
        <v xml:space="preserve">כיתות מעון 5 יום 5 כיתות גן-. 404 גליל ים ב' </v>
      </c>
      <c r="D113" s="173">
        <f>'תקציב החברה לפיתוח 2021 '!D113</f>
        <v>29050000</v>
      </c>
      <c r="E113" s="173">
        <f>'תקציב החברה לפיתוח 2021 '!E113</f>
        <v>29050000</v>
      </c>
      <c r="F113" s="173">
        <f>'תקציב החברה לפיתוח 2021 '!F113</f>
        <v>0</v>
      </c>
      <c r="G113" s="173">
        <f>'תקציב החברה לפיתוח 2021 '!G113</f>
        <v>9182067</v>
      </c>
      <c r="H113" s="173">
        <f>'תקציב החברה לפיתוח 2021 '!H113</f>
        <v>859093</v>
      </c>
      <c r="I113" s="173">
        <f>'תקציב החברה לפיתוח 2021 '!I113</f>
        <v>0</v>
      </c>
      <c r="J113" s="173">
        <f>'תקציב החברה לפיתוח 2021 '!J113</f>
        <v>280171</v>
      </c>
      <c r="K113" s="173">
        <f>'תקציב החברה לפיתוח 2021 '!K113</f>
        <v>280171</v>
      </c>
      <c r="L113" s="173">
        <f>'תקציב החברה לפיתוח 2021 '!L113</f>
        <v>1139264</v>
      </c>
      <c r="M113" s="173">
        <f>'תקציב החברה לפיתוח 2021 '!M113</f>
        <v>8042803</v>
      </c>
      <c r="N113" s="173">
        <f>'תקציב החברה לפיתוח 2021 '!N113</f>
        <v>19867933</v>
      </c>
      <c r="O113" s="173">
        <f>'תקציב החברה לפיתוח 2021 '!O113</f>
        <v>0</v>
      </c>
      <c r="P113" s="173">
        <f>'תקציב החברה לפיתוח 2021 '!P113</f>
        <v>8042803</v>
      </c>
      <c r="Q113" s="173">
        <f>'תקציב החברה לפיתוח 2021 '!Q113</f>
        <v>0</v>
      </c>
      <c r="R113" s="173">
        <f>'תקציב החברה לפיתוח 2021 '!R113</f>
        <v>0</v>
      </c>
      <c r="S113" s="173">
        <f>'תקציב החברה לפיתוח 2021 '!S113</f>
        <v>0</v>
      </c>
      <c r="T113" s="173">
        <f>'תקציב החברה לפיתוח 2021 '!T113</f>
        <v>0</v>
      </c>
      <c r="U113" s="173">
        <f>'תקציב החברה לפיתוח 2021 '!U113</f>
        <v>19867933</v>
      </c>
      <c r="V113" s="173">
        <f>'תקציב החברה לפיתוח 2021 '!V113</f>
        <v>16054173</v>
      </c>
      <c r="W113" s="173">
        <f>'תקציב החברה לפיתוח 2021 '!W113</f>
        <v>0</v>
      </c>
      <c r="X113" s="173">
        <f>'תקציב החברה לפיתוח 2021 '!X113</f>
        <v>0</v>
      </c>
      <c r="Y113" s="173">
        <f>'תקציב החברה לפיתוח 2021 '!Y113</f>
        <v>0</v>
      </c>
      <c r="Z113" s="173">
        <f>'תקציב החברה לפיתוח 2021 '!Z113</f>
        <v>0</v>
      </c>
      <c r="AA113" s="173">
        <f>'תקציב החברה לפיתוח 2021 '!AA113</f>
        <v>3813760</v>
      </c>
      <c r="AB113" s="293" t="str">
        <f>'תקציב החברה לפיתוח 2021 '!AB113</f>
        <v>בניית 10 כיתות גן .  לו"ז לאיכלוס 9/2021. מימון מ. החינוך .</v>
      </c>
      <c r="AC113" s="172">
        <f>'תקציב החברה לפיתוח 2021 '!AC113</f>
        <v>810000</v>
      </c>
    </row>
    <row r="114" spans="1:36" ht="56">
      <c r="A114" s="172">
        <f t="shared" si="4"/>
        <v>106</v>
      </c>
      <c r="B114" s="172">
        <f>'תקציב החברה לפיתוח 2021 '!B114</f>
        <v>1912</v>
      </c>
      <c r="C114" s="326" t="str">
        <f>'תקציב החברה לפיתוח 2021 '!C114</f>
        <v xml:space="preserve">קיריית החינוך ( מגרש 406)-ספריה, מרכז קהילתי </v>
      </c>
      <c r="D114" s="173">
        <f>'תקציב החברה לפיתוח 2021 '!D114</f>
        <v>310000000</v>
      </c>
      <c r="E114" s="173">
        <f>'תקציב החברה לפיתוח 2021 '!E114</f>
        <v>310000000</v>
      </c>
      <c r="F114" s="173">
        <f>'תקציב החברה לפיתוח 2021 '!F114</f>
        <v>0</v>
      </c>
      <c r="G114" s="173">
        <f>'תקציב החברה לפיתוח 2021 '!G114</f>
        <v>11500000</v>
      </c>
      <c r="H114" s="173">
        <f>'תקציב החברה לפיתוח 2021 '!H114</f>
        <v>8515795</v>
      </c>
      <c r="I114" s="173">
        <f>'תקציב החברה לפיתוח 2021 '!I114</f>
        <v>0</v>
      </c>
      <c r="J114" s="173">
        <f>'תקציב החברה לפיתוח 2021 '!J114</f>
        <v>2967182</v>
      </c>
      <c r="K114" s="173">
        <f>'תקציב החברה לפיתוח 2021 '!K114</f>
        <v>2967182</v>
      </c>
      <c r="L114" s="173">
        <f>'תקציב החברה לפיתוח 2021 '!L114</f>
        <v>11482977</v>
      </c>
      <c r="M114" s="173">
        <f>'תקציב החברה לפיתוח 2021 '!M114</f>
        <v>32017023</v>
      </c>
      <c r="N114" s="173">
        <f>'תקציב החברה לפיתוח 2021 '!N114</f>
        <v>45000000</v>
      </c>
      <c r="O114" s="173">
        <f>'תקציב החברה לפיתוח 2021 '!O114</f>
        <v>221500000</v>
      </c>
      <c r="P114" s="173">
        <f>'תקציב החברה לפיתוח 2021 '!P114</f>
        <v>17023</v>
      </c>
      <c r="Q114" s="173">
        <f>'תקציב החברה לפיתוח 2021 '!Q114</f>
        <v>32000000</v>
      </c>
      <c r="R114" s="173">
        <f>'תקציב החברה לפיתוח 2021 '!R114</f>
        <v>0</v>
      </c>
      <c r="S114" s="173">
        <f>'תקציב החברה לפיתוח 2021 '!S114</f>
        <v>32000000</v>
      </c>
      <c r="T114" s="173">
        <f>'תקציב החברה לפיתוח 2021 '!T114</f>
        <v>0</v>
      </c>
      <c r="U114" s="173">
        <f>'תקציב החברה לפיתוח 2021 '!U114</f>
        <v>45000000</v>
      </c>
      <c r="V114" s="173">
        <f>'תקציב החברה לפיתוח 2021 '!V114</f>
        <v>11792920</v>
      </c>
      <c r="W114" s="173">
        <f>'תקציב החברה לפיתוח 2021 '!W114</f>
        <v>0</v>
      </c>
      <c r="X114" s="173">
        <f>'תקציב החברה לפיתוח 2021 '!X114</f>
        <v>0</v>
      </c>
      <c r="Y114" s="173">
        <f>'תקציב החברה לפיתוח 2021 '!Y114</f>
        <v>18000000</v>
      </c>
      <c r="Z114" s="173">
        <f>'תקציב החברה לפיתוח 2021 '!Z114</f>
        <v>0</v>
      </c>
      <c r="AA114" s="173">
        <f>'תקציב החברה לפיתוח 2021 '!AA114</f>
        <v>15207080</v>
      </c>
      <c r="AB114" s="293" t="str">
        <f>'תקציב החברה לפיתוח 2021 '!AB114</f>
        <v>בניית בי"ס יסודי 18 כיתות לו"ז לאיכלוס 9/2022,  אולם ספורט בינוני , מגרש ספורט , חניון תתקרקעי 2 מפלסים. מימון מ. החינוך בי"ס.</v>
      </c>
      <c r="AC114" s="172">
        <f>'תקציב החברה לפיתוח 2021 '!AC114</f>
        <v>810000</v>
      </c>
    </row>
    <row r="115" spans="1:36" ht="30" customHeight="1">
      <c r="A115" s="172">
        <f t="shared" si="4"/>
        <v>107</v>
      </c>
      <c r="B115" s="172">
        <f>'תקציב החברה לפיתוח 2021 '!B115</f>
        <v>1914</v>
      </c>
      <c r="C115" s="326" t="str">
        <f>'תקציב החברה לפיתוח 2021 '!C115</f>
        <v>גן 3 כיתות 401 גליל ים ב'</v>
      </c>
      <c r="D115" s="173">
        <f>'תקציב החברה לפיתוח 2021 '!D115</f>
        <v>8100000</v>
      </c>
      <c r="E115" s="173">
        <f>'תקציב החברה לפיתוח 2021 '!E115</f>
        <v>8100000</v>
      </c>
      <c r="F115" s="173">
        <f>'תקציב החברה לפיתוח 2021 '!F115</f>
        <v>0</v>
      </c>
      <c r="G115" s="173">
        <f>'תקציב החברה לפיתוח 2021 '!G115</f>
        <v>8100000</v>
      </c>
      <c r="H115" s="173">
        <f>'תקציב החברה לפיתוח 2021 '!H115</f>
        <v>6285512</v>
      </c>
      <c r="I115" s="173">
        <f>'תקציב החברה לפיתוח 2021 '!I115</f>
        <v>0</v>
      </c>
      <c r="J115" s="173">
        <f>'תקציב החברה לפיתוח 2021 '!J115</f>
        <v>915534</v>
      </c>
      <c r="K115" s="173">
        <f>'תקציב החברה לפיתוח 2021 '!K115</f>
        <v>915534</v>
      </c>
      <c r="L115" s="173">
        <f>'תקציב החברה לפיתוח 2021 '!L115</f>
        <v>7201046</v>
      </c>
      <c r="M115" s="173">
        <f>'תקציב החברה לפיתוח 2021 '!M115</f>
        <v>898954</v>
      </c>
      <c r="N115" s="173">
        <f>'תקציב החברה לפיתוח 2021 '!N115</f>
        <v>0</v>
      </c>
      <c r="O115" s="173">
        <f>'תקציב החברה לפיתוח 2021 '!O115</f>
        <v>0</v>
      </c>
      <c r="P115" s="173">
        <f>'תקציב החברה לפיתוח 2021 '!P115</f>
        <v>898954</v>
      </c>
      <c r="Q115" s="173">
        <f>'תקציב החברה לפיתוח 2021 '!Q115</f>
        <v>0</v>
      </c>
      <c r="R115" s="173">
        <f>'תקציב החברה לפיתוח 2021 '!R115</f>
        <v>0</v>
      </c>
      <c r="S115" s="173">
        <f>'תקציב החברה לפיתוח 2021 '!S115</f>
        <v>0</v>
      </c>
      <c r="T115" s="173">
        <f>'תקציב החברה לפיתוח 2021 '!T115</f>
        <v>0</v>
      </c>
      <c r="U115" s="173">
        <f>'תקציב החברה לפיתוח 2021 '!U115</f>
        <v>0</v>
      </c>
      <c r="V115" s="173">
        <f>'תקציב החברה לפיתוח 2021 '!V115</f>
        <v>0</v>
      </c>
      <c r="W115" s="173">
        <f>'תקציב החברה לפיתוח 2021 '!W115</f>
        <v>0</v>
      </c>
      <c r="X115" s="173">
        <f>'תקציב החברה לפיתוח 2021 '!X115</f>
        <v>0</v>
      </c>
      <c r="Y115" s="173">
        <f>'תקציב החברה לפיתוח 2021 '!Y115</f>
        <v>0</v>
      </c>
      <c r="Z115" s="173">
        <f>'תקציב החברה לפיתוח 2021 '!Z115</f>
        <v>0</v>
      </c>
      <c r="AA115" s="173">
        <f>'תקציב החברה לפיתוח 2021 '!AA115</f>
        <v>0</v>
      </c>
      <c r="AB115" s="293" t="str">
        <f>'תקציב החברה לפיתוח 2021 '!AB115</f>
        <v>במקביל,תבר הצטיידות בחינוך .</v>
      </c>
      <c r="AC115" s="172">
        <f>'תקציב החברה לפיתוח 2021 '!AC115</f>
        <v>810000</v>
      </c>
    </row>
    <row r="116" spans="1:36" ht="30" customHeight="1">
      <c r="A116" s="172">
        <f t="shared" si="4"/>
        <v>108</v>
      </c>
      <c r="B116" s="172">
        <f>'תקציב החברה לפיתוח 2021 '!B116</f>
        <v>1919</v>
      </c>
      <c r="C116" s="326" t="str">
        <f>'תקציב החברה לפיתוח 2021 '!C116</f>
        <v>פיתוח גליל ים ב'</v>
      </c>
      <c r="D116" s="173">
        <f>'תקציב החברה לפיתוח 2021 '!D116</f>
        <v>135100000</v>
      </c>
      <c r="E116" s="173">
        <f>'תקציב החברה לפיתוח 2021 '!E116</f>
        <v>135100000</v>
      </c>
      <c r="F116" s="173">
        <f>'תקציב החברה לפיתוח 2021 '!F116</f>
        <v>0</v>
      </c>
      <c r="G116" s="173">
        <f>'תקציב החברה לפיתוח 2021 '!G116</f>
        <v>70359741</v>
      </c>
      <c r="H116" s="173">
        <f>'תקציב החברה לפיתוח 2021 '!H116</f>
        <v>48115329</v>
      </c>
      <c r="I116" s="173">
        <f>'תקציב החברה לפיתוח 2021 '!I116</f>
        <v>0</v>
      </c>
      <c r="J116" s="173">
        <f>'תקציב החברה לפיתוח 2021 '!J116</f>
        <v>5704221</v>
      </c>
      <c r="K116" s="173">
        <f>'תקציב החברה לפיתוח 2021 '!K116</f>
        <v>5704221</v>
      </c>
      <c r="L116" s="173">
        <f>'תקציב החברה לפיתוח 2021 '!L116</f>
        <v>53819550</v>
      </c>
      <c r="M116" s="173">
        <f>'תקציב החברה לפיתוח 2021 '!M116</f>
        <v>16540191</v>
      </c>
      <c r="N116" s="173">
        <f>'תקציב החברה לפיתוח 2021 '!N116</f>
        <v>0</v>
      </c>
      <c r="O116" s="173">
        <f>'תקציב החברה לפיתוח 2021 '!O116</f>
        <v>64740259</v>
      </c>
      <c r="P116" s="173">
        <f>'תקציב החברה לפיתוח 2021 '!P116</f>
        <v>16540191</v>
      </c>
      <c r="Q116" s="173">
        <f>'תקציב החברה לפיתוח 2021 '!Q116</f>
        <v>0</v>
      </c>
      <c r="R116" s="173">
        <f>'תקציב החברה לפיתוח 2021 '!R116</f>
        <v>0</v>
      </c>
      <c r="S116" s="173">
        <f>'תקציב החברה לפיתוח 2021 '!S116</f>
        <v>0</v>
      </c>
      <c r="T116" s="173">
        <f>'תקציב החברה לפיתוח 2021 '!T116</f>
        <v>0</v>
      </c>
      <c r="U116" s="173">
        <f>'תקציב החברה לפיתוח 2021 '!U116</f>
        <v>0</v>
      </c>
      <c r="V116" s="173">
        <f>'תקציב החברה לפיתוח 2021 '!V116</f>
        <v>0</v>
      </c>
      <c r="W116" s="173">
        <f>'תקציב החברה לפיתוח 2021 '!W116</f>
        <v>0</v>
      </c>
      <c r="X116" s="173">
        <f>'תקציב החברה לפיתוח 2021 '!X116</f>
        <v>0</v>
      </c>
      <c r="Y116" s="173">
        <f>'תקציב החברה לפיתוח 2021 '!Y116</f>
        <v>0</v>
      </c>
      <c r="Z116" s="173">
        <f>'תקציב החברה לפיתוח 2021 '!Z116</f>
        <v>0</v>
      </c>
      <c r="AA116" s="173">
        <f>'תקציב החברה לפיתוח 2021 '!AA116</f>
        <v>0</v>
      </c>
      <c r="AB116" s="293" t="str">
        <f>'תקציב החברה לפיתוח 2021 '!AB116</f>
        <v xml:space="preserve">עבודות פיתוח. מימון רמ"י במסגרת הסכם "הגג". </v>
      </c>
      <c r="AC116" s="172">
        <f>'תקציב החברה לפיתוח 2021 '!AC116</f>
        <v>742000</v>
      </c>
    </row>
    <row r="117" spans="1:36" ht="42">
      <c r="A117" s="172">
        <f t="shared" si="4"/>
        <v>109</v>
      </c>
      <c r="B117" s="172">
        <f>'תקציב החברה לפיתוח 2021 '!B117</f>
        <v>1960</v>
      </c>
      <c r="C117" s="326" t="str">
        <f>'תקציב החברה לפיתוח 2021 '!C117</f>
        <v>גן 3 כיתות 402 גליל ים ב'(כולל חניון)</v>
      </c>
      <c r="D117" s="173">
        <f>'תקציב החברה לפיתוח 2021 '!D117</f>
        <v>24710000</v>
      </c>
      <c r="E117" s="173">
        <f>'תקציב החברה לפיתוח 2021 '!E117</f>
        <v>24710000</v>
      </c>
      <c r="F117" s="173">
        <f>'תקציב החברה לפיתוח 2021 '!F117</f>
        <v>0</v>
      </c>
      <c r="G117" s="173">
        <f>'תקציב החברה לפיתוח 2021 '!G117</f>
        <v>1250000</v>
      </c>
      <c r="H117" s="173">
        <f>'תקציב החברה לפיתוח 2021 '!H117</f>
        <v>694659</v>
      </c>
      <c r="I117" s="173">
        <f>'תקציב החברה לפיתוח 2021 '!I117</f>
        <v>0</v>
      </c>
      <c r="J117" s="173">
        <f>'תקציב החברה לפיתוח 2021 '!J117</f>
        <v>548120</v>
      </c>
      <c r="K117" s="173">
        <f>'תקציב החברה לפיתוח 2021 '!K117</f>
        <v>548120</v>
      </c>
      <c r="L117" s="173">
        <f>'תקציב החברה לפיתוח 2021 '!L117</f>
        <v>1242779</v>
      </c>
      <c r="M117" s="173">
        <f>'תקציב החברה לפיתוח 2021 '!M117</f>
        <v>9779317</v>
      </c>
      <c r="N117" s="173">
        <f>'תקציב החברה לפיתוח 2021 '!N117</f>
        <v>13687904</v>
      </c>
      <c r="O117" s="173">
        <f>'תקציב החברה לפיתוח 2021 '!O117</f>
        <v>0</v>
      </c>
      <c r="P117" s="173">
        <f>'תקציב החברה לפיתוח 2021 '!P117</f>
        <v>7221</v>
      </c>
      <c r="Q117" s="173">
        <f>'תקציב החברה לפיתוח 2021 '!Q117</f>
        <v>9772096</v>
      </c>
      <c r="R117" s="173">
        <f>'תקציב החברה לפיתוח 2021 '!R117</f>
        <v>0</v>
      </c>
      <c r="S117" s="173">
        <f>'תקציב החברה לפיתוח 2021 '!S117</f>
        <v>9772096</v>
      </c>
      <c r="T117" s="173">
        <f>'תקציב החברה לפיתוח 2021 '!T117</f>
        <v>0</v>
      </c>
      <c r="U117" s="173">
        <f>'תקציב החברה לפיתוח 2021 '!U117</f>
        <v>13687904</v>
      </c>
      <c r="V117" s="173">
        <f>'תקציב החברה לפיתוח 2021 '!V117</f>
        <v>3551505</v>
      </c>
      <c r="W117" s="173">
        <f>'תקציב החברה לפיתוח 2021 '!W117</f>
        <v>0</v>
      </c>
      <c r="X117" s="173">
        <f>'תקציב החברה לפיתוח 2021 '!X117</f>
        <v>0</v>
      </c>
      <c r="Y117" s="173">
        <f>'תקציב החברה לפיתוח 2021 '!Y117</f>
        <v>0</v>
      </c>
      <c r="Z117" s="173">
        <f>'תקציב החברה לפיתוח 2021 '!Z117</f>
        <v>0</v>
      </c>
      <c r="AA117" s="173">
        <f>'תקציב החברה לפיתוח 2021 '!AA117</f>
        <v>10136399</v>
      </c>
      <c r="AB117" s="293" t="str">
        <f>'תקציב החברה לפיתוח 2021 '!AB117</f>
        <v xml:space="preserve">בניית 3 כיתות גן לו"ז לאיכלוס 3/2022, בניית החניון במימון  חברת אפריקה ישראל. גנ"י:  מימון מ. החינוך. </v>
      </c>
      <c r="AC117" s="172">
        <f>'תקציב החברה לפיתוח 2021 '!AC117</f>
        <v>810000</v>
      </c>
    </row>
    <row r="118" spans="1:36" ht="30" customHeight="1">
      <c r="A118" s="172">
        <f t="shared" si="4"/>
        <v>110</v>
      </c>
      <c r="B118" s="172">
        <f>'תקציב החברה לפיתוח 2021 '!B118</f>
        <v>1962</v>
      </c>
      <c r="C118" s="326" t="str">
        <f>'תקציב החברה לפיתוח 2021 '!C118</f>
        <v>גשר הולכי רגל מעל שבעת הכוכבים</v>
      </c>
      <c r="D118" s="173">
        <f>'תקציב החברה לפיתוח 2021 '!D118</f>
        <v>20000000</v>
      </c>
      <c r="E118" s="173">
        <f>'תקציב החברה לפיתוח 2021 '!E118</f>
        <v>20000000</v>
      </c>
      <c r="F118" s="173">
        <f>'תקציב החברה לפיתוח 2021 '!F118</f>
        <v>0</v>
      </c>
      <c r="G118" s="173">
        <f>'תקציב החברה לפיתוח 2021 '!G118</f>
        <v>1000000</v>
      </c>
      <c r="H118" s="173">
        <f>'תקציב החברה לפיתוח 2021 '!H118</f>
        <v>0</v>
      </c>
      <c r="I118" s="173">
        <f>'תקציב החברה לפיתוח 2021 '!I118</f>
        <v>0</v>
      </c>
      <c r="J118" s="173">
        <f>'תקציב החברה לפיתוח 2021 '!J118</f>
        <v>0</v>
      </c>
      <c r="K118" s="173">
        <f>'תקציב החברה לפיתוח 2021 '!K118</f>
        <v>0</v>
      </c>
      <c r="L118" s="173">
        <f>'תקציב החברה לפיתוח 2021 '!L118</f>
        <v>0</v>
      </c>
      <c r="M118" s="173">
        <f>'תקציב החברה לפיתוח 2021 '!M118</f>
        <v>1000000</v>
      </c>
      <c r="N118" s="173">
        <f>'תקציב החברה לפיתוח 2021 '!N118</f>
        <v>0</v>
      </c>
      <c r="O118" s="173">
        <f>'תקציב החברה לפיתוח 2021 '!O118</f>
        <v>19000000</v>
      </c>
      <c r="P118" s="173">
        <f>'תקציב החברה לפיתוח 2021 '!P118</f>
        <v>1000000</v>
      </c>
      <c r="Q118" s="173">
        <f>'תקציב החברה לפיתוח 2021 '!Q118</f>
        <v>0</v>
      </c>
      <c r="R118" s="173">
        <f>'תקציב החברה לפיתוח 2021 '!R118</f>
        <v>0</v>
      </c>
      <c r="S118" s="173">
        <f>'תקציב החברה לפיתוח 2021 '!S118</f>
        <v>0</v>
      </c>
      <c r="T118" s="173">
        <f>'תקציב החברה לפיתוח 2021 '!T118</f>
        <v>0</v>
      </c>
      <c r="U118" s="173">
        <f>'תקציב החברה לפיתוח 2021 '!U118</f>
        <v>0</v>
      </c>
      <c r="V118" s="173">
        <f>'תקציב החברה לפיתוח 2021 '!V118</f>
        <v>0</v>
      </c>
      <c r="W118" s="173">
        <f>'תקציב החברה לפיתוח 2021 '!W118</f>
        <v>0</v>
      </c>
      <c r="X118" s="173">
        <f>'תקציב החברה לפיתוח 2021 '!X118</f>
        <v>0</v>
      </c>
      <c r="Y118" s="173">
        <f>'תקציב החברה לפיתוח 2021 '!Y118</f>
        <v>0</v>
      </c>
      <c r="Z118" s="173">
        <f>'תקציב החברה לפיתוח 2021 '!Z118</f>
        <v>0</v>
      </c>
      <c r="AA118" s="173">
        <f>'תקציב החברה לפיתוח 2021 '!AA118</f>
        <v>0</v>
      </c>
      <c r="AB118" s="293" t="str">
        <f>'תקציב החברה לפיתוח 2021 '!AB118</f>
        <v>גשר מחבר בין הפארק לבין שבעת הכוכבים.</v>
      </c>
      <c r="AC118" s="172">
        <f>'תקציב החברה לפיתוח 2021 '!AC118</f>
        <v>742000</v>
      </c>
    </row>
    <row r="119" spans="1:36" ht="40.25" customHeight="1">
      <c r="A119" s="172">
        <f t="shared" si="4"/>
        <v>111</v>
      </c>
      <c r="B119" s="172">
        <f>'תקציב החברה לפיתוח 2021 '!B119</f>
        <v>1965</v>
      </c>
      <c r="C119" s="326" t="str">
        <f>'תקציב החברה לפיתוח 2021 '!C119</f>
        <v>בית ספר יסודי 18 כיתות מגרש 304 גלילי ים א'</v>
      </c>
      <c r="D119" s="173">
        <f>'תקציב החברה לפיתוח 2021 '!D119</f>
        <v>35000000</v>
      </c>
      <c r="E119" s="173">
        <f>'תקציב החברה לפיתוח 2021 '!E119</f>
        <v>35000000</v>
      </c>
      <c r="F119" s="173">
        <f>'תקציב החברה לפיתוח 2021 '!F119</f>
        <v>0</v>
      </c>
      <c r="G119" s="173">
        <f>'תקציב החברה לפיתוח 2021 '!G119</f>
        <v>100000</v>
      </c>
      <c r="H119" s="173">
        <f>'תקציב החברה לפיתוח 2021 '!H119</f>
        <v>54243</v>
      </c>
      <c r="I119" s="173">
        <f>'תקציב החברה לפיתוח 2021 '!I119</f>
        <v>0</v>
      </c>
      <c r="J119" s="173">
        <f>'תקציב החברה לפיתוח 2021 '!J119</f>
        <v>45755</v>
      </c>
      <c r="K119" s="173">
        <f>'תקציב החברה לפיתוח 2021 '!K119</f>
        <v>45755</v>
      </c>
      <c r="L119" s="173">
        <f>'תקציב החברה לפיתוח 2021 '!L119</f>
        <v>99998</v>
      </c>
      <c r="M119" s="173">
        <f>'תקציב החברה לפיתוח 2021 '!M119</f>
        <v>1000002</v>
      </c>
      <c r="N119" s="173">
        <f>'תקציב החברה לפיתוח 2021 '!N119</f>
        <v>1000000</v>
      </c>
      <c r="O119" s="173">
        <f>'תקציב החברה לפיתוח 2021 '!O119</f>
        <v>32900000</v>
      </c>
      <c r="P119" s="173">
        <f>'תקציב החברה לפיתוח 2021 '!P119</f>
        <v>2</v>
      </c>
      <c r="Q119" s="173">
        <f>'תקציב החברה לפיתוח 2021 '!Q119</f>
        <v>1000000</v>
      </c>
      <c r="R119" s="173">
        <f>'תקציב החברה לפיתוח 2021 '!R119</f>
        <v>0</v>
      </c>
      <c r="S119" s="173">
        <f>'תקציב החברה לפיתוח 2021 '!S119</f>
        <v>1000000</v>
      </c>
      <c r="T119" s="173">
        <f>'תקציב החברה לפיתוח 2021 '!T119</f>
        <v>0</v>
      </c>
      <c r="U119" s="173">
        <f>'תקציב החברה לפיתוח 2021 '!U119</f>
        <v>1000000</v>
      </c>
      <c r="V119" s="173">
        <f>'תקציב החברה לפיתוח 2021 '!V119</f>
        <v>1000000</v>
      </c>
      <c r="W119" s="173">
        <f>'תקציב החברה לפיתוח 2021 '!W119</f>
        <v>0</v>
      </c>
      <c r="X119" s="173">
        <f>'תקציב החברה לפיתוח 2021 '!X119</f>
        <v>0</v>
      </c>
      <c r="Y119" s="173">
        <f>'תקציב החברה לפיתוח 2021 '!Y119</f>
        <v>0</v>
      </c>
      <c r="Z119" s="173">
        <f>'תקציב החברה לפיתוח 2021 '!Z119</f>
        <v>0</v>
      </c>
      <c r="AA119" s="173">
        <f>'תקציב החברה לפיתוח 2021 '!AA119</f>
        <v>0</v>
      </c>
      <c r="AB119" s="293" t="str">
        <f>'תקציב החברה לפיתוח 2021 '!AB119</f>
        <v xml:space="preserve">בי"ס יסודי בשטח 304.ב - 2021: תכנון. </v>
      </c>
      <c r="AC119" s="172">
        <f>'תקציב החברה לפיתוח 2021 '!AC119</f>
        <v>810000</v>
      </c>
    </row>
    <row r="120" spans="1:36" s="5" customFormat="1" ht="30" customHeight="1">
      <c r="A120" s="172">
        <f t="shared" si="4"/>
        <v>112</v>
      </c>
      <c r="B120" s="172">
        <f>'תקציב החברה לפיתוח 2021 '!B120</f>
        <v>2186</v>
      </c>
      <c r="C120" s="326" t="str">
        <f>'תקציב החברה לפיתוח 2021 '!C120</f>
        <v>כיתות גן 3 נוספות מגרש 302 גליל ים</v>
      </c>
      <c r="D120" s="173">
        <f>'תקציב החברה לפיתוח 2021 '!D120</f>
        <v>8100000</v>
      </c>
      <c r="E120" s="173">
        <f>'תקציב החברה לפיתוח 2021 '!E120</f>
        <v>8100000</v>
      </c>
      <c r="F120" s="173">
        <f>'תקציב החברה לפיתוח 2021 '!F120</f>
        <v>0</v>
      </c>
      <c r="G120" s="173">
        <f>'תקציב החברה לפיתוח 2021 '!G120</f>
        <v>3200000</v>
      </c>
      <c r="H120" s="173">
        <f>'תקציב החברה לפיתוח 2021 '!H120</f>
        <v>0</v>
      </c>
      <c r="I120" s="173">
        <f>'תקציב החברה לפיתוח 2021 '!I120</f>
        <v>0</v>
      </c>
      <c r="J120" s="173">
        <f>'תקציב החברה לפיתוח 2021 '!J120</f>
        <v>0</v>
      </c>
      <c r="K120" s="173">
        <f>'תקציב החברה לפיתוח 2021 '!K120</f>
        <v>0</v>
      </c>
      <c r="L120" s="173">
        <f>'תקציב החברה לפיתוח 2021 '!L120</f>
        <v>0</v>
      </c>
      <c r="M120" s="173">
        <f>'תקציב החברה לפיתוח 2021 '!M120</f>
        <v>3200000</v>
      </c>
      <c r="N120" s="173">
        <f>'תקציב החברה לפיתוח 2021 '!N120</f>
        <v>4900000</v>
      </c>
      <c r="O120" s="173">
        <f>'תקציב החברה לפיתוח 2021 '!O120</f>
        <v>0</v>
      </c>
      <c r="P120" s="173">
        <f>'תקציב החברה לפיתוח 2021 '!P120</f>
        <v>3200000</v>
      </c>
      <c r="Q120" s="173">
        <f>'תקציב החברה לפיתוח 2021 '!Q120</f>
        <v>0</v>
      </c>
      <c r="R120" s="173">
        <f>'תקציב החברה לפיתוח 2021 '!R120</f>
        <v>0</v>
      </c>
      <c r="S120" s="173">
        <f>'תקציב החברה לפיתוח 2021 '!S120</f>
        <v>0</v>
      </c>
      <c r="T120" s="173">
        <f>'תקציב החברה לפיתוח 2021 '!T120</f>
        <v>0</v>
      </c>
      <c r="U120" s="173">
        <f>'תקציב החברה לפיתוח 2021 '!U120</f>
        <v>4900000</v>
      </c>
      <c r="V120" s="173">
        <f>'תקציב החברה לפיתוח 2021 '!V120</f>
        <v>2611744</v>
      </c>
      <c r="W120" s="173">
        <f>'תקציב החברה לפיתוח 2021 '!W120</f>
        <v>0</v>
      </c>
      <c r="X120" s="173">
        <f>'תקציב החברה לפיתוח 2021 '!X120</f>
        <v>0</v>
      </c>
      <c r="Y120" s="173">
        <f>'תקציב החברה לפיתוח 2021 '!Y120</f>
        <v>0</v>
      </c>
      <c r="Z120" s="173">
        <f>'תקציב החברה לפיתוח 2021 '!Z120</f>
        <v>0</v>
      </c>
      <c r="AA120" s="173">
        <f>'תקציב החברה לפיתוח 2021 '!AA120</f>
        <v>2288256</v>
      </c>
      <c r="AB120" s="293" t="str">
        <f>'תקציב החברה לפיתוח 2021 '!AB120</f>
        <v>כיתות גן (3) נוספות מגרש 302 גליל ים. לו"ז לאיכלוס 9/2021. מימון מ. החינוך.</v>
      </c>
      <c r="AC120" s="172">
        <f>'תקציב החברה לפיתוח 2021 '!AC120</f>
        <v>810000</v>
      </c>
      <c r="AD120" s="284"/>
      <c r="AE120" s="284"/>
      <c r="AF120" s="166"/>
      <c r="AG120" s="166"/>
      <c r="AH120" s="166"/>
      <c r="AI120" s="166"/>
      <c r="AJ120" s="166"/>
    </row>
    <row r="121" spans="1:36" s="296" customFormat="1" ht="30" customHeight="1">
      <c r="A121" s="178"/>
      <c r="B121" s="295"/>
      <c r="C121" s="192" t="s">
        <v>396</v>
      </c>
      <c r="D121" s="180">
        <f>SUM(D108:D120)</f>
        <v>1021006000</v>
      </c>
      <c r="E121" s="180">
        <f t="shared" ref="E121:AA121" si="5">SUM(E108:E120)</f>
        <v>1021006000</v>
      </c>
      <c r="F121" s="180">
        <f t="shared" si="5"/>
        <v>0</v>
      </c>
      <c r="G121" s="180">
        <f t="shared" si="5"/>
        <v>356922766</v>
      </c>
      <c r="H121" s="180">
        <f t="shared" si="5"/>
        <v>243948255</v>
      </c>
      <c r="I121" s="180">
        <f t="shared" si="5"/>
        <v>941728</v>
      </c>
      <c r="J121" s="180">
        <f t="shared" si="5"/>
        <v>16484605</v>
      </c>
      <c r="K121" s="180">
        <f t="shared" si="5"/>
        <v>17426333</v>
      </c>
      <c r="L121" s="180">
        <f t="shared" si="5"/>
        <v>261374588</v>
      </c>
      <c r="M121" s="180">
        <f t="shared" si="5"/>
        <v>139820274</v>
      </c>
      <c r="N121" s="180">
        <f t="shared" si="5"/>
        <v>148820879</v>
      </c>
      <c r="O121" s="180">
        <f t="shared" si="5"/>
        <v>470990259</v>
      </c>
      <c r="P121" s="180">
        <f t="shared" si="5"/>
        <v>95548178</v>
      </c>
      <c r="Q121" s="180">
        <f t="shared" si="5"/>
        <v>74272096</v>
      </c>
      <c r="R121" s="180">
        <f t="shared" si="5"/>
        <v>0</v>
      </c>
      <c r="S121" s="180">
        <f t="shared" si="5"/>
        <v>74272096</v>
      </c>
      <c r="T121" s="180">
        <f t="shared" si="5"/>
        <v>30000000</v>
      </c>
      <c r="U121" s="180">
        <f t="shared" si="5"/>
        <v>118820879</v>
      </c>
      <c r="V121" s="180">
        <f t="shared" si="5"/>
        <v>32726719</v>
      </c>
      <c r="W121" s="180">
        <f t="shared" si="5"/>
        <v>0</v>
      </c>
      <c r="X121" s="180">
        <f t="shared" si="5"/>
        <v>0</v>
      </c>
      <c r="Y121" s="180">
        <f t="shared" si="5"/>
        <v>18000000</v>
      </c>
      <c r="Z121" s="180">
        <f t="shared" si="5"/>
        <v>0</v>
      </c>
      <c r="AA121" s="180">
        <f t="shared" si="5"/>
        <v>68094160</v>
      </c>
      <c r="AB121" s="169"/>
      <c r="AC121" s="172"/>
      <c r="AD121" s="284"/>
      <c r="AE121" s="284"/>
      <c r="AF121" s="166"/>
      <c r="AG121" s="166"/>
      <c r="AH121" s="166"/>
      <c r="AI121" s="166"/>
      <c r="AJ121" s="166"/>
    </row>
    <row r="122" spans="1:36" s="426" customFormat="1" ht="30" customHeight="1">
      <c r="A122" s="346">
        <f>A120</f>
        <v>112</v>
      </c>
      <c r="B122" s="346"/>
      <c r="C122" s="412" t="s">
        <v>960</v>
      </c>
      <c r="D122" s="425">
        <f>D121+D104</f>
        <v>3016552982</v>
      </c>
      <c r="E122" s="425">
        <f t="shared" ref="E122:AA122" si="6">E121+E104</f>
        <v>2814020125</v>
      </c>
      <c r="F122" s="425">
        <f t="shared" si="6"/>
        <v>202532857</v>
      </c>
      <c r="G122" s="425">
        <f t="shared" si="6"/>
        <v>1302929053</v>
      </c>
      <c r="H122" s="425">
        <f t="shared" si="6"/>
        <v>954337610</v>
      </c>
      <c r="I122" s="425">
        <f t="shared" si="6"/>
        <v>3498227</v>
      </c>
      <c r="J122" s="425">
        <f t="shared" si="6"/>
        <v>46047637</v>
      </c>
      <c r="K122" s="425">
        <f t="shared" si="6"/>
        <v>49545864</v>
      </c>
      <c r="L122" s="425">
        <f t="shared" si="6"/>
        <v>1003883474</v>
      </c>
      <c r="M122" s="425">
        <f t="shared" si="6"/>
        <v>334368675</v>
      </c>
      <c r="N122" s="425">
        <f t="shared" si="6"/>
        <v>355041039</v>
      </c>
      <c r="O122" s="425">
        <f t="shared" si="6"/>
        <v>1323259794</v>
      </c>
      <c r="P122" s="425">
        <f t="shared" si="6"/>
        <v>299045579</v>
      </c>
      <c r="Q122" s="425">
        <f t="shared" si="6"/>
        <v>74272096</v>
      </c>
      <c r="R122" s="425">
        <f t="shared" si="6"/>
        <v>0</v>
      </c>
      <c r="S122" s="425">
        <f t="shared" si="6"/>
        <v>74272096</v>
      </c>
      <c r="T122" s="425">
        <f t="shared" si="6"/>
        <v>38949000</v>
      </c>
      <c r="U122" s="425">
        <f t="shared" si="6"/>
        <v>316092039</v>
      </c>
      <c r="V122" s="425">
        <f t="shared" si="6"/>
        <v>205348607</v>
      </c>
      <c r="W122" s="425">
        <f t="shared" si="6"/>
        <v>0</v>
      </c>
      <c r="X122" s="425">
        <f t="shared" si="6"/>
        <v>0</v>
      </c>
      <c r="Y122" s="425">
        <f t="shared" si="6"/>
        <v>18000000</v>
      </c>
      <c r="Z122" s="425">
        <f t="shared" si="6"/>
        <v>0</v>
      </c>
      <c r="AA122" s="425">
        <f t="shared" si="6"/>
        <v>92743432</v>
      </c>
      <c r="AB122" s="631"/>
      <c r="AC122" s="172"/>
      <c r="AD122" s="284"/>
      <c r="AE122" s="284"/>
      <c r="AF122" s="166"/>
      <c r="AG122" s="166"/>
      <c r="AH122" s="166"/>
      <c r="AI122" s="166"/>
      <c r="AJ122" s="166"/>
    </row>
    <row r="123" spans="1:36" hidden="1">
      <c r="F123" s="299"/>
      <c r="G123" s="299"/>
      <c r="H123" s="299"/>
      <c r="I123" s="299"/>
      <c r="J123" s="299"/>
      <c r="K123" s="299"/>
      <c r="L123" s="299">
        <f>K122+H122</f>
        <v>1003883474</v>
      </c>
      <c r="M123" s="299">
        <f>P123+S122-T122</f>
        <v>334368675</v>
      </c>
      <c r="N123" s="299"/>
      <c r="O123" s="299"/>
      <c r="P123" s="299">
        <f>G122-L123</f>
        <v>299045579</v>
      </c>
      <c r="Q123" s="299"/>
      <c r="R123" s="298"/>
      <c r="S123" s="299"/>
      <c r="T123" s="299">
        <f>P122+S122-M122</f>
        <v>38949000</v>
      </c>
    </row>
    <row r="124" spans="1:36" hidden="1"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>
        <v>74272096</v>
      </c>
      <c r="R124" s="298"/>
      <c r="S124" s="299"/>
      <c r="T124" s="299"/>
    </row>
    <row r="125" spans="1:36"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8"/>
      <c r="S125" s="299"/>
      <c r="T125" s="299"/>
    </row>
    <row r="126" spans="1:36">
      <c r="F126" s="299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</row>
    <row r="127" spans="1:36">
      <c r="F127" s="299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300"/>
      <c r="S127" s="299"/>
      <c r="T127" s="299"/>
    </row>
    <row r="128" spans="1:36">
      <c r="F128" s="299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</row>
    <row r="129" spans="6:20"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</row>
    <row r="130" spans="6:20"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</row>
    <row r="131" spans="6:20"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179"/>
      <c r="R131" s="299"/>
      <c r="S131" s="299"/>
      <c r="T131" s="299"/>
    </row>
    <row r="132" spans="6:20"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</row>
    <row r="133" spans="6:20"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</row>
    <row r="134" spans="6:20"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</row>
    <row r="135" spans="6:20"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179"/>
      <c r="S135" s="299"/>
      <c r="T135" s="299"/>
    </row>
    <row r="136" spans="6:20">
      <c r="F136" s="299"/>
      <c r="G136" s="2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299"/>
      <c r="T136" s="299"/>
    </row>
    <row r="137" spans="6:20">
      <c r="F137" s="299"/>
      <c r="G137" s="299"/>
      <c r="H137" s="299"/>
      <c r="I137" s="299"/>
      <c r="J137" s="299"/>
      <c r="K137" s="299"/>
      <c r="L137" s="299"/>
      <c r="M137" s="299"/>
      <c r="N137" s="299"/>
      <c r="O137" s="299"/>
      <c r="P137" s="299"/>
      <c r="Q137" s="299"/>
      <c r="R137" s="299"/>
      <c r="S137" s="299"/>
      <c r="T137" s="299"/>
    </row>
    <row r="138" spans="6:20">
      <c r="F138" s="299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99"/>
      <c r="S138" s="299"/>
      <c r="T138" s="299"/>
    </row>
    <row r="139" spans="6:20"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23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05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45"/>
  <sheetViews>
    <sheetView showZeros="0" rightToLeft="1" zoomScaleNormal="100" workbookViewId="0">
      <pane xSplit="3" ySplit="4" topLeftCell="D104" activePane="bottomRight" state="frozen"/>
      <selection activeCell="C44" sqref="C44"/>
      <selection pane="topRight" activeCell="C44" sqref="C44"/>
      <selection pane="bottomLeft" activeCell="C44" sqref="C44"/>
      <selection pane="bottomRight" activeCell="A106" sqref="A106:XFD106"/>
    </sheetView>
  </sheetViews>
  <sheetFormatPr defaultColWidth="9.08984375" defaultRowHeight="18"/>
  <cols>
    <col min="1" max="1" width="3.36328125" style="286" customWidth="1"/>
    <col min="2" max="2" width="4.6328125" style="287" customWidth="1"/>
    <col min="3" max="3" width="17.90625" style="183" customWidth="1"/>
    <col min="4" max="4" width="11.1796875" style="167" customWidth="1"/>
    <col min="5" max="5" width="11.81640625" style="167" hidden="1" customWidth="1"/>
    <col min="6" max="6" width="10" style="167" hidden="1" customWidth="1"/>
    <col min="7" max="10" width="12.6328125" style="167" hidden="1" customWidth="1"/>
    <col min="11" max="11" width="11.36328125" style="167" hidden="1" customWidth="1"/>
    <col min="12" max="12" width="11.08984375" style="167" customWidth="1"/>
    <col min="13" max="13" width="9.81640625" style="167" customWidth="1"/>
    <col min="14" max="14" width="9.90625" style="167" customWidth="1"/>
    <col min="15" max="15" width="11.6328125" style="167" customWidth="1"/>
    <col min="16" max="16" width="11.36328125" style="167" hidden="1" customWidth="1"/>
    <col min="17" max="18" width="10.36328125" style="167" hidden="1" customWidth="1"/>
    <col min="19" max="19" width="11.6328125" style="167" hidden="1" customWidth="1"/>
    <col min="20" max="20" width="10" style="167" customWidth="1"/>
    <col min="21" max="21" width="10" style="166" customWidth="1"/>
    <col min="22" max="22" width="10.36328125" style="166" customWidth="1"/>
    <col min="23" max="23" width="8" style="166" customWidth="1"/>
    <col min="24" max="24" width="10.36328125" style="166" hidden="1" customWidth="1"/>
    <col min="25" max="25" width="10.36328125" style="166" customWidth="1"/>
    <col min="26" max="26" width="10.36328125" style="166" hidden="1" customWidth="1"/>
    <col min="27" max="27" width="9.6328125" style="166" customWidth="1"/>
    <col min="28" max="28" width="23.6328125" style="325" customWidth="1"/>
    <col min="29" max="29" width="10.6328125" style="166" hidden="1" customWidth="1"/>
    <col min="30" max="30" width="11.1796875" style="284" bestFit="1" customWidth="1"/>
    <col min="31" max="31" width="12.36328125" style="284" bestFit="1" customWidth="1"/>
    <col min="32" max="32" width="14.90625" style="166" customWidth="1"/>
    <col min="33" max="33" width="12.54296875" style="166" customWidth="1"/>
    <col min="34" max="34" width="16.453125" style="166" customWidth="1"/>
    <col min="35" max="35" width="23.08984375" style="166" customWidth="1"/>
    <col min="36" max="36" width="26.90625" style="166" customWidth="1"/>
    <col min="37" max="16384" width="9.08984375" style="166"/>
  </cols>
  <sheetData>
    <row r="1" spans="1:36" s="284" customFormat="1">
      <c r="A1" s="282"/>
      <c r="B1" s="282"/>
      <c r="C1" s="328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F1" s="166"/>
      <c r="AG1" s="166"/>
      <c r="AH1" s="166"/>
      <c r="AI1" s="166"/>
      <c r="AJ1" s="166"/>
    </row>
    <row r="2" spans="1:36">
      <c r="A2" s="282" t="s">
        <v>242</v>
      </c>
      <c r="B2" s="282"/>
      <c r="C2" s="328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</row>
    <row r="3" spans="1:36">
      <c r="U3" s="167"/>
    </row>
    <row r="4" spans="1:36" s="288" customFormat="1" ht="70">
      <c r="A4" s="169" t="s">
        <v>0</v>
      </c>
      <c r="B4" s="169" t="s">
        <v>1</v>
      </c>
      <c r="C4" s="169" t="s">
        <v>2</v>
      </c>
      <c r="D4" s="169" t="s">
        <v>3</v>
      </c>
      <c r="E4" s="169" t="s">
        <v>4</v>
      </c>
      <c r="F4" s="169" t="s">
        <v>5</v>
      </c>
      <c r="G4" s="169" t="s">
        <v>6</v>
      </c>
      <c r="H4" s="169" t="s">
        <v>7</v>
      </c>
      <c r="I4" s="169" t="s">
        <v>9</v>
      </c>
      <c r="J4" s="169" t="s">
        <v>178</v>
      </c>
      <c r="K4" s="169" t="s">
        <v>10</v>
      </c>
      <c r="L4" s="622" t="s">
        <v>11</v>
      </c>
      <c r="M4" s="9" t="s">
        <v>936</v>
      </c>
      <c r="N4" s="169" t="s">
        <v>937</v>
      </c>
      <c r="O4" s="169" t="s">
        <v>938</v>
      </c>
      <c r="P4" s="169" t="s">
        <v>12</v>
      </c>
      <c r="Q4" s="169" t="s">
        <v>939</v>
      </c>
      <c r="R4" s="169" t="s">
        <v>940</v>
      </c>
      <c r="S4" s="169" t="s">
        <v>941</v>
      </c>
      <c r="T4" s="169" t="s">
        <v>942</v>
      </c>
      <c r="U4" s="591" t="s">
        <v>943</v>
      </c>
      <c r="V4" s="16" t="s">
        <v>13</v>
      </c>
      <c r="W4" s="16" t="s">
        <v>14</v>
      </c>
      <c r="X4" s="169" t="s">
        <v>15</v>
      </c>
      <c r="Y4" s="169" t="s">
        <v>301</v>
      </c>
      <c r="Z4" s="169" t="s">
        <v>1391</v>
      </c>
      <c r="AA4" s="169" t="s">
        <v>91</v>
      </c>
      <c r="AB4" s="609" t="s">
        <v>344</v>
      </c>
      <c r="AC4" s="532" t="s">
        <v>16</v>
      </c>
      <c r="AD4" s="284"/>
      <c r="AE4" s="284"/>
      <c r="AF4" s="166"/>
      <c r="AG4" s="166"/>
      <c r="AH4" s="166"/>
      <c r="AI4" s="166"/>
      <c r="AJ4" s="166"/>
    </row>
    <row r="5" spans="1:36" s="176" customFormat="1" ht="28">
      <c r="A5" s="172">
        <v>1</v>
      </c>
      <c r="B5" s="172">
        <f>'תקציב החברה לפיתוח 2021 '!B8</f>
        <v>634</v>
      </c>
      <c r="C5" s="326" t="str">
        <f>'תקציב החברה לפיתוח 2021 '!C8</f>
        <v>מתחם המשתלה  תב"ע 1874</v>
      </c>
      <c r="D5" s="173">
        <f>'תקציב החברה לפיתוח 2021 '!D8</f>
        <v>56350000</v>
      </c>
      <c r="E5" s="173">
        <f>'תקציב החברה לפיתוח 2021 '!E8</f>
        <v>56350000</v>
      </c>
      <c r="F5" s="173">
        <f>'תקציב החברה לפיתוח 2021 '!F8</f>
        <v>0</v>
      </c>
      <c r="G5" s="173">
        <f>'תקציב החברה לפיתוח 2021 '!G8</f>
        <v>56350000</v>
      </c>
      <c r="H5" s="173">
        <f>'תקציב החברה לפיתוח 2021 '!H8</f>
        <v>55506718</v>
      </c>
      <c r="I5" s="173">
        <f>'תקציב החברה לפיתוח 2021 '!I8</f>
        <v>0</v>
      </c>
      <c r="J5" s="173">
        <f>'תקציב החברה לפיתוח 2021 '!J8</f>
        <v>95241</v>
      </c>
      <c r="K5" s="173">
        <f>'תקציב החברה לפיתוח 2021 '!K8</f>
        <v>95241</v>
      </c>
      <c r="L5" s="173">
        <f>'תקציב החברה לפיתוח 2021 '!L8</f>
        <v>55601959</v>
      </c>
      <c r="M5" s="173">
        <f>'תקציב החברה לפיתוח 2021 '!M8</f>
        <v>348041</v>
      </c>
      <c r="N5" s="173">
        <f>'תקציב החברה לפיתוח 2021 '!N8</f>
        <v>0</v>
      </c>
      <c r="O5" s="173">
        <f>'תקציב החברה לפיתוח 2021 '!O8</f>
        <v>400000</v>
      </c>
      <c r="P5" s="173">
        <f>'תקציב החברה לפיתוח 2021 '!P8</f>
        <v>748041</v>
      </c>
      <c r="Q5" s="173">
        <f>'תקציב החברה לפיתוח 2021 '!Q8</f>
        <v>0</v>
      </c>
      <c r="R5" s="173">
        <f>'תקציב החברה לפיתוח 2021 '!R8</f>
        <v>0</v>
      </c>
      <c r="S5" s="173">
        <f>'תקציב החברה לפיתוח 2021 '!S8</f>
        <v>0</v>
      </c>
      <c r="T5" s="173">
        <f>'תקציב החברה לפיתוח 2021 '!T8</f>
        <v>400000</v>
      </c>
      <c r="U5" s="173">
        <f>'תקציב החברה לפיתוח 2021 '!U8</f>
        <v>-400000</v>
      </c>
      <c r="V5" s="173">
        <f>'תקציב החברה לפיתוח 2021 '!V8</f>
        <v>-400000</v>
      </c>
      <c r="W5" s="173">
        <f>'תקציב החברה לפיתוח 2021 '!W8</f>
        <v>0</v>
      </c>
      <c r="X5" s="173">
        <f>'תקציב החברה לפיתוח 2021 '!X8</f>
        <v>0</v>
      </c>
      <c r="Y5" s="173">
        <f>'תקציב החברה לפיתוח 2021 '!Y8</f>
        <v>0</v>
      </c>
      <c r="Z5" s="173">
        <f>'תקציב החברה לפיתוח 2021 '!Z8</f>
        <v>0</v>
      </c>
      <c r="AA5" s="173">
        <f>'תקציב החברה לפיתוח 2021 '!AA8</f>
        <v>0</v>
      </c>
      <c r="AB5" s="293" t="str">
        <f>'תקציב החברה לפיתוח 2021 '!AB8</f>
        <v>השלמת עבודות גינון ותיקונים במתחם. לקראת סגירת תב"ר.</v>
      </c>
      <c r="AC5" s="172">
        <f>'תקציב החברה לפיתוח 2021 '!AC8</f>
        <v>732000</v>
      </c>
      <c r="AD5" s="284"/>
      <c r="AE5" s="284"/>
      <c r="AF5" s="166"/>
      <c r="AG5" s="166"/>
      <c r="AH5" s="166"/>
      <c r="AI5" s="166"/>
      <c r="AJ5" s="166"/>
    </row>
    <row r="6" spans="1:36" s="177" customFormat="1" ht="28">
      <c r="A6" s="172">
        <f>A5+1</f>
        <v>2</v>
      </c>
      <c r="B6" s="172">
        <f>'תקציב החברה לפיתוח 2021 '!B26</f>
        <v>1723</v>
      </c>
      <c r="C6" s="326" t="str">
        <f>'תקציב החברה לפיתוח 2021 '!C26</f>
        <v>מרכז תחבורה חדש</v>
      </c>
      <c r="D6" s="173">
        <f>'תקציב החברה לפיתוח 2021 '!D26</f>
        <v>2442857</v>
      </c>
      <c r="E6" s="173">
        <f>'תקציב החברה לפיתוח 2021 '!E26</f>
        <v>17500000</v>
      </c>
      <c r="F6" s="173">
        <f>'תקציב החברה לפיתוח 2021 '!F26</f>
        <v>-15057143</v>
      </c>
      <c r="G6" s="173">
        <f>'תקציב החברה לפיתוח 2021 '!G26</f>
        <v>2442857</v>
      </c>
      <c r="H6" s="173">
        <f>'תקציב החברה לפיתוח 2021 '!H26</f>
        <v>1535456</v>
      </c>
      <c r="I6" s="173">
        <f>'תקציב החברה לפיתוח 2021 '!I26</f>
        <v>0</v>
      </c>
      <c r="J6" s="173">
        <f>'תקציב החברה לפיתוח 2021 '!J26</f>
        <v>136858</v>
      </c>
      <c r="K6" s="173">
        <f>'תקציב החברה לפיתוח 2021 '!K26</f>
        <v>136858</v>
      </c>
      <c r="L6" s="173">
        <f>'תקציב החברה לפיתוח 2021 '!L26</f>
        <v>1672314</v>
      </c>
      <c r="M6" s="173">
        <f>'תקציב החברה לפיתוח 2021 '!M26</f>
        <v>770543</v>
      </c>
      <c r="N6" s="173">
        <f>'תקציב החברה לפיתוח 2021 '!N26</f>
        <v>0</v>
      </c>
      <c r="O6" s="173">
        <f>'תקציב החברה לפיתוח 2021 '!O26</f>
        <v>0</v>
      </c>
      <c r="P6" s="173">
        <f>'תקציב החברה לפיתוח 2021 '!P26</f>
        <v>770543</v>
      </c>
      <c r="Q6" s="173">
        <f>'תקציב החברה לפיתוח 2021 '!Q26</f>
        <v>0</v>
      </c>
      <c r="R6" s="173">
        <f>'תקציב החברה לפיתוח 2021 '!R26</f>
        <v>0</v>
      </c>
      <c r="S6" s="173">
        <f>'תקציב החברה לפיתוח 2021 '!S26</f>
        <v>0</v>
      </c>
      <c r="T6" s="173">
        <f>'תקציב החברה לפיתוח 2021 '!T26</f>
        <v>0</v>
      </c>
      <c r="U6" s="173">
        <f>'תקציב החברה לפיתוח 2021 '!U26</f>
        <v>0</v>
      </c>
      <c r="V6" s="173">
        <f>'תקציב החברה לפיתוח 2021 '!V26</f>
        <v>0</v>
      </c>
      <c r="W6" s="173">
        <f>'תקציב החברה לפיתוח 2021 '!W26</f>
        <v>0</v>
      </c>
      <c r="X6" s="173">
        <f>'תקציב החברה לפיתוח 2021 '!X26</f>
        <v>0</v>
      </c>
      <c r="Y6" s="173">
        <f>'תקציב החברה לפיתוח 2021 '!Y26</f>
        <v>0</v>
      </c>
      <c r="Z6" s="173">
        <f>'תקציב החברה לפיתוח 2021 '!Z26</f>
        <v>0</v>
      </c>
      <c r="AA6" s="173">
        <f>'תקציב החברה לפיתוח 2021 '!AA26</f>
        <v>0</v>
      </c>
      <c r="AB6" s="293" t="str">
        <f>'תקציב החברה לפיתוח 2021 '!AB26</f>
        <v>השלמת תכנון עד להיתר לחניון אוטובוסים.</v>
      </c>
      <c r="AC6" s="172">
        <f>'תקציב החברה לפיתוח 2021 '!AC26</f>
        <v>732000</v>
      </c>
      <c r="AD6" s="284"/>
      <c r="AE6" s="284"/>
      <c r="AF6" s="166"/>
      <c r="AG6" s="166"/>
      <c r="AH6" s="166"/>
      <c r="AI6" s="166"/>
      <c r="AJ6" s="166"/>
    </row>
    <row r="7" spans="1:36" s="177" customFormat="1" ht="42">
      <c r="A7" s="172">
        <f t="shared" ref="A7:A10" si="0">A6+1</f>
        <v>3</v>
      </c>
      <c r="B7" s="172">
        <f>'תקציב החברה לפיתוח 2021 '!B28</f>
        <v>1806</v>
      </c>
      <c r="C7" s="326" t="str">
        <f>'תקציב החברה לפיתוח 2021 '!C28</f>
        <v>תכנון רכבת עילית איזור תעשיה</v>
      </c>
      <c r="D7" s="173">
        <f>'תקציב החברה לפיתוח 2021 '!D28</f>
        <v>500000</v>
      </c>
      <c r="E7" s="173">
        <f>'תקציב החברה לפיתוח 2021 '!E28</f>
        <v>500000</v>
      </c>
      <c r="F7" s="173">
        <f>'תקציב החברה לפיתוח 2021 '!F28</f>
        <v>0</v>
      </c>
      <c r="G7" s="173">
        <f>'תקציב החברה לפיתוח 2021 '!G28</f>
        <v>350000</v>
      </c>
      <c r="H7" s="173">
        <f>'תקציב החברה לפיתוח 2021 '!H28</f>
        <v>209714</v>
      </c>
      <c r="I7" s="173">
        <f>'תקציב החברה לפיתוח 2021 '!I28</f>
        <v>0</v>
      </c>
      <c r="J7" s="173">
        <f>'תקציב החברה לפיתוח 2021 '!J28</f>
        <v>140284</v>
      </c>
      <c r="K7" s="173">
        <f>'תקציב החברה לפיתוח 2021 '!K28</f>
        <v>140284</v>
      </c>
      <c r="L7" s="173">
        <f>'תקציב החברה לפיתוח 2021 '!L28</f>
        <v>349998</v>
      </c>
      <c r="M7" s="173">
        <f>'תקציב החברה לפיתוח 2021 '!M28</f>
        <v>2</v>
      </c>
      <c r="N7" s="173">
        <f>'תקציב החברה לפיתוח 2021 '!N28</f>
        <v>0</v>
      </c>
      <c r="O7" s="173">
        <f>'תקציב החברה לפיתוח 2021 '!O28</f>
        <v>150000</v>
      </c>
      <c r="P7" s="173">
        <f>'תקציב החברה לפיתוח 2021 '!P28</f>
        <v>2</v>
      </c>
      <c r="Q7" s="173">
        <f>'תקציב החברה לפיתוח 2021 '!Q28</f>
        <v>0</v>
      </c>
      <c r="R7" s="173">
        <f>'תקציב החברה לפיתוח 2021 '!R28</f>
        <v>0</v>
      </c>
      <c r="S7" s="173">
        <f>'תקציב החברה לפיתוח 2021 '!S28</f>
        <v>0</v>
      </c>
      <c r="T7" s="173">
        <f>'תקציב החברה לפיתוח 2021 '!T28</f>
        <v>0</v>
      </c>
      <c r="U7" s="173">
        <f>'תקציב החברה לפיתוח 2021 '!U28</f>
        <v>0</v>
      </c>
      <c r="V7" s="173">
        <f>'תקציב החברה לפיתוח 2021 '!V28</f>
        <v>0</v>
      </c>
      <c r="W7" s="173">
        <f>'תקציב החברה לפיתוח 2021 '!W28</f>
        <v>0</v>
      </c>
      <c r="X7" s="173">
        <f>'תקציב החברה לפיתוח 2021 '!X28</f>
        <v>0</v>
      </c>
      <c r="Y7" s="173">
        <f>'תקציב החברה לפיתוח 2021 '!Y28</f>
        <v>0</v>
      </c>
      <c r="Z7" s="173">
        <f>'תקציב החברה לפיתוח 2021 '!Z28</f>
        <v>0</v>
      </c>
      <c r="AA7" s="173">
        <f>'תקציב החברה לפיתוח 2021 '!AA28</f>
        <v>0</v>
      </c>
      <c r="AB7" s="293" t="str">
        <f>'תקציב החברה לפיתוח 2021 '!AB28</f>
        <v>תכנון להקמת רכבת עילית מתחנת הרכבת לאיזור התעשיה.</v>
      </c>
      <c r="AC7" s="172">
        <f>'תקציב החברה לפיתוח 2021 '!AC28</f>
        <v>732000</v>
      </c>
      <c r="AD7" s="284"/>
      <c r="AE7" s="284"/>
      <c r="AF7" s="166"/>
      <c r="AG7" s="166"/>
      <c r="AH7" s="166"/>
      <c r="AI7" s="166"/>
      <c r="AJ7" s="166"/>
    </row>
    <row r="8" spans="1:36" s="177" customFormat="1">
      <c r="A8" s="172">
        <f t="shared" si="0"/>
        <v>4</v>
      </c>
      <c r="B8" s="172">
        <f>'תקציב החברה לפיתוח 2021 '!B38</f>
        <v>1936</v>
      </c>
      <c r="C8" s="326" t="str">
        <f>'תקציב החברה לפיתוח 2021 '!C38</f>
        <v xml:space="preserve">תכנון מתחם אפולוניה </v>
      </c>
      <c r="D8" s="173">
        <f>'תקציב החברה לפיתוח 2021 '!D38</f>
        <v>6082795</v>
      </c>
      <c r="E8" s="173">
        <f>'תקציב החברה לפיתוח 2021 '!E38</f>
        <v>6082795</v>
      </c>
      <c r="F8" s="173">
        <f>'תקציב החברה לפיתוח 2021 '!F38</f>
        <v>0</v>
      </c>
      <c r="G8" s="173">
        <f>'תקציב החברה לפיתוח 2021 '!G38</f>
        <v>700000</v>
      </c>
      <c r="H8" s="173">
        <f>'תקציב החברה לפיתוח 2021 '!H38</f>
        <v>313933</v>
      </c>
      <c r="I8" s="173">
        <f>'תקציב החברה לפיתוח 2021 '!I38</f>
        <v>0</v>
      </c>
      <c r="J8" s="173">
        <f>'תקציב החברה לפיתוח 2021 '!J38</f>
        <v>0</v>
      </c>
      <c r="K8" s="173">
        <f>'תקציב החברה לפיתוח 2021 '!K38</f>
        <v>0</v>
      </c>
      <c r="L8" s="173">
        <f>'תקציב החברה לפיתוח 2021 '!L38</f>
        <v>313933</v>
      </c>
      <c r="M8" s="173">
        <f>'תקציב החברה לפיתוח 2021 '!M38</f>
        <v>386067</v>
      </c>
      <c r="N8" s="173">
        <f>'תקציב החברה לפיתוח 2021 '!N38</f>
        <v>0</v>
      </c>
      <c r="O8" s="173">
        <f>'תקציב החברה לפיתוח 2021 '!O38</f>
        <v>5382795</v>
      </c>
      <c r="P8" s="173">
        <f>'תקציב החברה לפיתוח 2021 '!P38</f>
        <v>386067</v>
      </c>
      <c r="Q8" s="173">
        <f>'תקציב החברה לפיתוח 2021 '!Q38</f>
        <v>0</v>
      </c>
      <c r="R8" s="173">
        <f>'תקציב החברה לפיתוח 2021 '!R38</f>
        <v>0</v>
      </c>
      <c r="S8" s="173">
        <f>'תקציב החברה לפיתוח 2021 '!S38</f>
        <v>0</v>
      </c>
      <c r="T8" s="173">
        <f>'תקציב החברה לפיתוח 2021 '!T38</f>
        <v>0</v>
      </c>
      <c r="U8" s="173">
        <f>'תקציב החברה לפיתוח 2021 '!U38</f>
        <v>0</v>
      </c>
      <c r="V8" s="173">
        <f>'תקציב החברה לפיתוח 2021 '!V38</f>
        <v>0</v>
      </c>
      <c r="W8" s="173">
        <f>'תקציב החברה לפיתוח 2021 '!W38</f>
        <v>0</v>
      </c>
      <c r="X8" s="173">
        <f>'תקציב החברה לפיתוח 2021 '!X38</f>
        <v>0</v>
      </c>
      <c r="Y8" s="173">
        <f>'תקציב החברה לפיתוח 2021 '!Y38</f>
        <v>0</v>
      </c>
      <c r="Z8" s="173">
        <f>'תקציב החברה לפיתוח 2021 '!Z38</f>
        <v>0</v>
      </c>
      <c r="AA8" s="173">
        <f>'תקציב החברה לפיתוח 2021 '!AA38</f>
        <v>0</v>
      </c>
      <c r="AB8" s="293" t="str">
        <f>'תקציב החברה לפיתוח 2021 '!AB38</f>
        <v xml:space="preserve">מימון רמ"י. </v>
      </c>
      <c r="AC8" s="172">
        <f>'תקציב החברה לפיתוח 2021 '!AC38</f>
        <v>732000</v>
      </c>
      <c r="AD8" s="284"/>
      <c r="AE8" s="284"/>
      <c r="AF8" s="166"/>
      <c r="AG8" s="166"/>
      <c r="AH8" s="166"/>
      <c r="AI8" s="166"/>
      <c r="AJ8" s="166"/>
    </row>
    <row r="9" spans="1:36" s="176" customFormat="1" ht="70">
      <c r="A9" s="172">
        <f t="shared" si="0"/>
        <v>5</v>
      </c>
      <c r="B9" s="172">
        <f>'תקציב החברה לפיתוח 2021 '!B76</f>
        <v>2115</v>
      </c>
      <c r="C9" s="326" t="str">
        <f>'תקציב החברה לפיתוח 2021 '!C76</f>
        <v>תוכנית מתאר איזור התעסוקה הר/2440</v>
      </c>
      <c r="D9" s="173">
        <f>'תקציב החברה לפיתוח 2021 '!D76</f>
        <v>3100000</v>
      </c>
      <c r="E9" s="173">
        <f>'תקציב החברה לפיתוח 2021 '!E76</f>
        <v>3100000</v>
      </c>
      <c r="F9" s="173">
        <f>'תקציב החברה לפיתוח 2021 '!F76</f>
        <v>0</v>
      </c>
      <c r="G9" s="173">
        <f>'תקציב החברה לפיתוח 2021 '!G76</f>
        <v>2000000</v>
      </c>
      <c r="H9" s="173">
        <f>'תקציב החברה לפיתוח 2021 '!H76</f>
        <v>511071</v>
      </c>
      <c r="I9" s="173">
        <f>'תקציב החברה לפיתוח 2021 '!I76</f>
        <v>0</v>
      </c>
      <c r="J9" s="173">
        <f>'תקציב החברה לפיתוח 2021 '!J76</f>
        <v>74412</v>
      </c>
      <c r="K9" s="173">
        <f>'תקציב החברה לפיתוח 2021 '!K76</f>
        <v>74412</v>
      </c>
      <c r="L9" s="173">
        <f>'תקציב החברה לפיתוח 2021 '!L76</f>
        <v>585483</v>
      </c>
      <c r="M9" s="173">
        <f>'תקציב החברה לפיתוח 2021 '!M76</f>
        <v>1414517</v>
      </c>
      <c r="N9" s="173">
        <f>'תקציב החברה לפיתוח 2021 '!N76</f>
        <v>1100000</v>
      </c>
      <c r="O9" s="173">
        <f>'תקציב החברה לפיתוח 2021 '!O76</f>
        <v>0</v>
      </c>
      <c r="P9" s="173">
        <f>'תקציב החברה לפיתוח 2021 '!P76</f>
        <v>1414517</v>
      </c>
      <c r="Q9" s="173">
        <f>'תקציב החברה לפיתוח 2021 '!Q76</f>
        <v>0</v>
      </c>
      <c r="R9" s="173">
        <f>'תקציב החברה לפיתוח 2021 '!R76</f>
        <v>0</v>
      </c>
      <c r="S9" s="173">
        <f>'תקציב החברה לפיתוח 2021 '!S76</f>
        <v>0</v>
      </c>
      <c r="T9" s="173">
        <f>'תקציב החברה לפיתוח 2021 '!T76</f>
        <v>0</v>
      </c>
      <c r="U9" s="173">
        <f>'תקציב החברה לפיתוח 2021 '!U76</f>
        <v>1100000</v>
      </c>
      <c r="V9" s="173">
        <f>'תקציב החברה לפיתוח 2021 '!V76</f>
        <v>1100000</v>
      </c>
      <c r="W9" s="173">
        <f>'תקציב החברה לפיתוח 2021 '!W76</f>
        <v>0</v>
      </c>
      <c r="X9" s="173">
        <f>'תקציב החברה לפיתוח 2021 '!X76</f>
        <v>0</v>
      </c>
      <c r="Y9" s="173">
        <f>'תקציב החברה לפיתוח 2021 '!Y76</f>
        <v>0</v>
      </c>
      <c r="Z9" s="173">
        <f>'תקציב החברה לפיתוח 2021 '!Z76</f>
        <v>0</v>
      </c>
      <c r="AA9" s="173">
        <f>'תקציב החברה לפיתוח 2021 '!AA76</f>
        <v>0</v>
      </c>
      <c r="AB9" s="293" t="str">
        <f>'תקציב החברה לפיתוח 2021 '!AB76</f>
        <v xml:space="preserve">הפיכת תוכנית אסטרטגית  לתוכנית סטטוטורית, לתוכנית מתאר בועדה המחוזית בהתאם ליו"ר הועדה המחוזית. </v>
      </c>
      <c r="AC9" s="172">
        <f>'תקציב החברה לפיתוח 2021 '!AC76</f>
        <v>732000</v>
      </c>
      <c r="AD9" s="284"/>
      <c r="AE9" s="284"/>
      <c r="AF9" s="166"/>
      <c r="AG9" s="166"/>
      <c r="AH9" s="166"/>
      <c r="AI9" s="166"/>
      <c r="AJ9" s="166"/>
    </row>
    <row r="10" spans="1:36" s="177" customFormat="1" ht="56">
      <c r="A10" s="172">
        <f t="shared" si="0"/>
        <v>6</v>
      </c>
      <c r="B10" s="172">
        <f>'תקציב החברה לפיתוח 2021 '!B91</f>
        <v>2180</v>
      </c>
      <c r="C10" s="326" t="str">
        <f>'תקציב החברה לפיתוח 2021 '!C91</f>
        <v>ליווי פרויקטים פינוי בינוי</v>
      </c>
      <c r="D10" s="173">
        <f>'תקציב החברה לפיתוח 2021 '!D91</f>
        <v>1000000</v>
      </c>
      <c r="E10" s="173">
        <f>'תקציב החברה לפיתוח 2021 '!E91</f>
        <v>500000</v>
      </c>
      <c r="F10" s="173">
        <f>'תקציב החברה לפיתוח 2021 '!F91</f>
        <v>500000</v>
      </c>
      <c r="G10" s="173">
        <f>'תקציב החברה לפיתוח 2021 '!G91</f>
        <v>500000</v>
      </c>
      <c r="H10" s="173">
        <f>'תקציב החברה לפיתוח 2021 '!H91</f>
        <v>0</v>
      </c>
      <c r="I10" s="173">
        <f>'תקציב החברה לפיתוח 2021 '!I91</f>
        <v>0</v>
      </c>
      <c r="J10" s="173">
        <f>'תקציב החברה לפיתוח 2021 '!J91</f>
        <v>0</v>
      </c>
      <c r="K10" s="173">
        <f>'תקציב החברה לפיתוח 2021 '!K91</f>
        <v>0</v>
      </c>
      <c r="L10" s="173">
        <f>'תקציב החברה לפיתוח 2021 '!L91</f>
        <v>0</v>
      </c>
      <c r="M10" s="173">
        <f>'תקציב החברה לפיתוח 2021 '!M91</f>
        <v>500000</v>
      </c>
      <c r="N10" s="173">
        <f>'תקציב החברה לפיתוח 2021 '!N91</f>
        <v>500000</v>
      </c>
      <c r="O10" s="173">
        <f>'תקציב החברה לפיתוח 2021 '!O91</f>
        <v>0</v>
      </c>
      <c r="P10" s="173">
        <f>'תקציב החברה לפיתוח 2021 '!P91</f>
        <v>500000</v>
      </c>
      <c r="Q10" s="173">
        <f>'תקציב החברה לפיתוח 2021 '!Q91</f>
        <v>0</v>
      </c>
      <c r="R10" s="173">
        <f>'תקציב החברה לפיתוח 2021 '!R91</f>
        <v>0</v>
      </c>
      <c r="S10" s="173">
        <f>'תקציב החברה לפיתוח 2021 '!S91</f>
        <v>0</v>
      </c>
      <c r="T10" s="173">
        <f>'תקציב החברה לפיתוח 2021 '!T91</f>
        <v>0</v>
      </c>
      <c r="U10" s="173">
        <f>'תקציב החברה לפיתוח 2021 '!U91</f>
        <v>500000</v>
      </c>
      <c r="V10" s="173">
        <f>'תקציב החברה לפיתוח 2021 '!V91</f>
        <v>500000</v>
      </c>
      <c r="W10" s="173">
        <f>'תקציב החברה לפיתוח 2021 '!W91</f>
        <v>0</v>
      </c>
      <c r="X10" s="173">
        <f>'תקציב החברה לפיתוח 2021 '!X91</f>
        <v>0</v>
      </c>
      <c r="Y10" s="173">
        <f>'תקציב החברה לפיתוח 2021 '!Y91</f>
        <v>0</v>
      </c>
      <c r="Z10" s="173">
        <f>'תקציב החברה לפיתוח 2021 '!Z91</f>
        <v>0</v>
      </c>
      <c r="AA10" s="173">
        <f>'תקציב החברה לפיתוח 2021 '!AA91</f>
        <v>0</v>
      </c>
      <c r="AB10" s="293" t="str">
        <f>'תקציב החברה לפיתוח 2021 '!AB91</f>
        <v>ליווי פרויקטים של פינוי בינוי הכולל הכנת אומדנים ומפרטים ופיקוח על היתרים וביצוע בפועל.</v>
      </c>
      <c r="AC10" s="172">
        <f>'תקציב החברה לפיתוח 2021 '!AC91</f>
        <v>732000</v>
      </c>
      <c r="AD10" s="284"/>
      <c r="AE10" s="284"/>
      <c r="AF10" s="166"/>
      <c r="AG10" s="166"/>
      <c r="AH10" s="166"/>
      <c r="AI10" s="166"/>
      <c r="AJ10" s="166"/>
    </row>
    <row r="11" spans="1:36" s="332" customFormat="1">
      <c r="A11" s="291"/>
      <c r="B11" s="291"/>
      <c r="C11" s="423" t="s">
        <v>1476</v>
      </c>
      <c r="D11" s="350">
        <f>SUM(D5:D10)</f>
        <v>69475652</v>
      </c>
      <c r="E11" s="350">
        <f t="shared" ref="E11:AA11" si="1">SUM(E5:E10)</f>
        <v>84032795</v>
      </c>
      <c r="F11" s="350">
        <f t="shared" si="1"/>
        <v>-14557143</v>
      </c>
      <c r="G11" s="350">
        <f t="shared" si="1"/>
        <v>62342857</v>
      </c>
      <c r="H11" s="350">
        <f t="shared" si="1"/>
        <v>58076892</v>
      </c>
      <c r="I11" s="350">
        <f t="shared" si="1"/>
        <v>0</v>
      </c>
      <c r="J11" s="350">
        <f t="shared" si="1"/>
        <v>446795</v>
      </c>
      <c r="K11" s="350">
        <f t="shared" si="1"/>
        <v>446795</v>
      </c>
      <c r="L11" s="350">
        <f t="shared" si="1"/>
        <v>58523687</v>
      </c>
      <c r="M11" s="350">
        <f t="shared" si="1"/>
        <v>3419170</v>
      </c>
      <c r="N11" s="350">
        <f t="shared" si="1"/>
        <v>1600000</v>
      </c>
      <c r="O11" s="350">
        <f t="shared" si="1"/>
        <v>5932795</v>
      </c>
      <c r="P11" s="350">
        <f t="shared" si="1"/>
        <v>3819170</v>
      </c>
      <c r="Q11" s="350">
        <f t="shared" si="1"/>
        <v>0</v>
      </c>
      <c r="R11" s="350">
        <f t="shared" si="1"/>
        <v>0</v>
      </c>
      <c r="S11" s="350">
        <f t="shared" si="1"/>
        <v>0</v>
      </c>
      <c r="T11" s="350">
        <f t="shared" si="1"/>
        <v>400000</v>
      </c>
      <c r="U11" s="350">
        <f t="shared" si="1"/>
        <v>1200000</v>
      </c>
      <c r="V11" s="350">
        <f t="shared" si="1"/>
        <v>1200000</v>
      </c>
      <c r="W11" s="350">
        <f t="shared" si="1"/>
        <v>0</v>
      </c>
      <c r="X11" s="350">
        <f t="shared" si="1"/>
        <v>0</v>
      </c>
      <c r="Y11" s="350">
        <f t="shared" si="1"/>
        <v>0</v>
      </c>
      <c r="Z11" s="350">
        <f t="shared" si="1"/>
        <v>0</v>
      </c>
      <c r="AA11" s="350">
        <f t="shared" si="1"/>
        <v>0</v>
      </c>
      <c r="AB11" s="352"/>
      <c r="AC11" s="172"/>
      <c r="AD11" s="334"/>
      <c r="AE11" s="334"/>
      <c r="AF11" s="345"/>
      <c r="AG11" s="345"/>
      <c r="AH11" s="345"/>
      <c r="AI11" s="345"/>
      <c r="AJ11" s="345"/>
    </row>
    <row r="12" spans="1:36" s="177" customFormat="1" ht="42">
      <c r="A12" s="172">
        <f>A10+1</f>
        <v>7</v>
      </c>
      <c r="B12" s="172">
        <f>'תקציב החברה לפיתוח 2021 '!B5</f>
        <v>382</v>
      </c>
      <c r="C12" s="326" t="str">
        <f>'תקציב החברה לפיתוח 2021 '!C5</f>
        <v xml:space="preserve">מערכת כבישים   באזור תעשייה מערבי </v>
      </c>
      <c r="D12" s="173">
        <f>'תקציב החברה לפיתוח 2021 '!D5</f>
        <v>72881330</v>
      </c>
      <c r="E12" s="173">
        <f>'תקציב החברה לפיתוח 2021 '!E5</f>
        <v>72881330</v>
      </c>
      <c r="F12" s="173">
        <f>'תקציב החברה לפיתוח 2021 '!F5</f>
        <v>0</v>
      </c>
      <c r="G12" s="173">
        <f>'תקציב החברה לפיתוח 2021 '!G5</f>
        <v>61381330</v>
      </c>
      <c r="H12" s="173">
        <f>'תקציב החברה לפיתוח 2021 '!H5</f>
        <v>49864430</v>
      </c>
      <c r="I12" s="173">
        <f>'תקציב החברה לפיתוח 2021 '!I5</f>
        <v>0</v>
      </c>
      <c r="J12" s="173">
        <f>'תקציב החברה לפיתוח 2021 '!J5</f>
        <v>1365202</v>
      </c>
      <c r="K12" s="173">
        <f>'תקציב החברה לפיתוח 2021 '!K5</f>
        <v>1365202</v>
      </c>
      <c r="L12" s="173">
        <f>'תקציב החברה לפיתוח 2021 '!L5</f>
        <v>51229632</v>
      </c>
      <c r="M12" s="173">
        <f>'תקציב החברה לפיתוח 2021 '!M5</f>
        <v>10151698</v>
      </c>
      <c r="N12" s="173">
        <f>'תקציב החברה לפיתוח 2021 '!N5</f>
        <v>11500000</v>
      </c>
      <c r="O12" s="173">
        <f>'תקציב החברה לפיתוח 2021 '!O5</f>
        <v>0</v>
      </c>
      <c r="P12" s="173">
        <f>'תקציב החברה לפיתוח 2021 '!P5</f>
        <v>10151698</v>
      </c>
      <c r="Q12" s="173">
        <f>'תקציב החברה לפיתוח 2021 '!Q5</f>
        <v>0</v>
      </c>
      <c r="R12" s="173">
        <f>'תקציב החברה לפיתוח 2021 '!R5</f>
        <v>0</v>
      </c>
      <c r="S12" s="173">
        <f>'תקציב החברה לפיתוח 2021 '!S5</f>
        <v>0</v>
      </c>
      <c r="T12" s="173">
        <f>'תקציב החברה לפיתוח 2021 '!T5</f>
        <v>0</v>
      </c>
      <c r="U12" s="173">
        <f>'תקציב החברה לפיתוח 2021 '!U5</f>
        <v>11500000</v>
      </c>
      <c r="V12" s="173">
        <f>'תקציב החברה לפיתוח 2021 '!V5</f>
        <v>11500000</v>
      </c>
      <c r="W12" s="173">
        <f>'תקציב החברה לפיתוח 2021 '!W5</f>
        <v>0</v>
      </c>
      <c r="X12" s="173">
        <f>'תקציב החברה לפיתוח 2021 '!X5</f>
        <v>0</v>
      </c>
      <c r="Y12" s="173">
        <f>'תקציב החברה לפיתוח 2021 '!Y5</f>
        <v>0</v>
      </c>
      <c r="Z12" s="173">
        <f>'תקציב החברה לפיתוח 2021 '!Z5</f>
        <v>0</v>
      </c>
      <c r="AA12" s="173">
        <f>'תקציב החברה לפיתוח 2021 '!AA5</f>
        <v>0</v>
      </c>
      <c r="AB12" s="293" t="str">
        <f>'תקציב החברה לפיתוח 2021 '!AB5</f>
        <v xml:space="preserve">השלמת רח' משכית,  השלמת שצ"פים והשלמת תכנון רח' שנקר. </v>
      </c>
      <c r="AC12" s="172">
        <f>'תקציב החברה לפיתוח 2021 '!AC5</f>
        <v>742000</v>
      </c>
      <c r="AD12" s="284"/>
      <c r="AE12" s="284"/>
      <c r="AF12" s="166"/>
      <c r="AG12" s="166"/>
      <c r="AH12" s="166"/>
      <c r="AI12" s="166"/>
      <c r="AJ12" s="166"/>
    </row>
    <row r="13" spans="1:36" s="177" customFormat="1" ht="27.65" customHeight="1">
      <c r="A13" s="172">
        <f>A12+1</f>
        <v>8</v>
      </c>
      <c r="B13" s="172">
        <f>'תקציב החברה לפיתוח 2021 '!B6</f>
        <v>532</v>
      </c>
      <c r="C13" s="326" t="str">
        <f>'תקציב החברה לפיתוח 2021 '!C6</f>
        <v>פיתוח מתחם המסילה ודב הוז</v>
      </c>
      <c r="D13" s="173">
        <f>'תקציב החברה לפיתוח 2021 '!D6</f>
        <v>80090000</v>
      </c>
      <c r="E13" s="173">
        <f>'תקציב החברה לפיתוח 2021 '!E6</f>
        <v>80090000</v>
      </c>
      <c r="F13" s="173">
        <f>'תקציב החברה לפיתוח 2021 '!F6</f>
        <v>0</v>
      </c>
      <c r="G13" s="173">
        <f>'תקציב החברה לפיתוח 2021 '!G6</f>
        <v>76140000</v>
      </c>
      <c r="H13" s="173">
        <f>'תקציב החברה לפיתוח 2021 '!H6</f>
        <v>74931076</v>
      </c>
      <c r="I13" s="173">
        <f>'תקציב החברה לפיתוח 2021 '!I6</f>
        <v>0</v>
      </c>
      <c r="J13" s="173">
        <f>'תקציב החברה לפיתוח 2021 '!J6</f>
        <v>692303</v>
      </c>
      <c r="K13" s="173">
        <f>'תקציב החברה לפיתוח 2021 '!K6</f>
        <v>692303</v>
      </c>
      <c r="L13" s="173">
        <f>'תקציב החברה לפיתוח 2021 '!L6</f>
        <v>75623379</v>
      </c>
      <c r="M13" s="173">
        <f>'תקציב החברה לפיתוח 2021 '!M6</f>
        <v>516621</v>
      </c>
      <c r="N13" s="173">
        <f>'תקציב החברה לפיתוח 2021 '!N6</f>
        <v>3950000</v>
      </c>
      <c r="O13" s="173">
        <f>'תקציב החברה לפיתוח 2021 '!O6</f>
        <v>0</v>
      </c>
      <c r="P13" s="173">
        <f>'תקציב החברה לפיתוח 2021 '!P6</f>
        <v>516621</v>
      </c>
      <c r="Q13" s="173">
        <f>'תקציב החברה לפיתוח 2021 '!Q6</f>
        <v>0</v>
      </c>
      <c r="R13" s="173">
        <f>'תקציב החברה לפיתוח 2021 '!R6</f>
        <v>0</v>
      </c>
      <c r="S13" s="173">
        <f>'תקציב החברה לפיתוח 2021 '!S6</f>
        <v>0</v>
      </c>
      <c r="T13" s="173">
        <f>'תקציב החברה לפיתוח 2021 '!T6</f>
        <v>0</v>
      </c>
      <c r="U13" s="173">
        <f>'תקציב החברה לפיתוח 2021 '!U6</f>
        <v>3950000</v>
      </c>
      <c r="V13" s="173">
        <f>'תקציב החברה לפיתוח 2021 '!V6</f>
        <v>3950000</v>
      </c>
      <c r="W13" s="173">
        <f>'תקציב החברה לפיתוח 2021 '!W6</f>
        <v>0</v>
      </c>
      <c r="X13" s="173">
        <f>'תקציב החברה לפיתוח 2021 '!X6</f>
        <v>0</v>
      </c>
      <c r="Y13" s="173">
        <f>'תקציב החברה לפיתוח 2021 '!Y6</f>
        <v>0</v>
      </c>
      <c r="Z13" s="173">
        <f>'תקציב החברה לפיתוח 2021 '!Z6</f>
        <v>0</v>
      </c>
      <c r="AA13" s="173">
        <f>'תקציב החברה לפיתוח 2021 '!AA6</f>
        <v>0</v>
      </c>
      <c r="AB13" s="293" t="str">
        <f>'תקציב החברה לפיתוח 2021 '!AB6</f>
        <v xml:space="preserve">עבודות השלמת שצ"פים וגינת כלבים. </v>
      </c>
      <c r="AC13" s="172">
        <f>'תקציב החברה לפיתוח 2021 '!AC6</f>
        <v>742000</v>
      </c>
      <c r="AD13" s="284"/>
      <c r="AE13" s="284"/>
      <c r="AF13" s="166"/>
      <c r="AG13" s="166"/>
      <c r="AH13" s="166"/>
      <c r="AI13" s="166"/>
      <c r="AJ13" s="166"/>
    </row>
    <row r="14" spans="1:36" s="176" customFormat="1">
      <c r="A14" s="172">
        <f t="shared" ref="A14:A56" si="2">A13+1</f>
        <v>9</v>
      </c>
      <c r="B14" s="172">
        <f>'תקציב החברה לפיתוח 2021 '!B9</f>
        <v>1067</v>
      </c>
      <c r="C14" s="326" t="str">
        <f>'תקציב החברה לפיתוח 2021 '!C9</f>
        <v>עבודות פיתוח קטנות</v>
      </c>
      <c r="D14" s="173">
        <f>'תקציב החברה לפיתוח 2021 '!D9</f>
        <v>4475000</v>
      </c>
      <c r="E14" s="173">
        <f>'תקציב החברה לפיתוח 2021 '!E9</f>
        <v>3975000</v>
      </c>
      <c r="F14" s="173">
        <f>'תקציב החברה לפיתוח 2021 '!F9</f>
        <v>500000</v>
      </c>
      <c r="G14" s="173">
        <f>'תקציב החברה לפיתוח 2021 '!G9</f>
        <v>3975000</v>
      </c>
      <c r="H14" s="173">
        <f>'תקציב החברה לפיתוח 2021 '!H9</f>
        <v>3321663</v>
      </c>
      <c r="I14" s="173">
        <f>'תקציב החברה לפיתוח 2021 '!I9</f>
        <v>0</v>
      </c>
      <c r="J14" s="173">
        <f>'תקציב החברה לפיתוח 2021 '!J9</f>
        <v>395696</v>
      </c>
      <c r="K14" s="173">
        <f>'תקציב החברה לפיתוח 2021 '!K9</f>
        <v>395696</v>
      </c>
      <c r="L14" s="173">
        <f>'תקציב החברה לפיתוח 2021 '!L9</f>
        <v>3717359</v>
      </c>
      <c r="M14" s="173">
        <f>'תקציב החברה לפיתוח 2021 '!M9</f>
        <v>257641</v>
      </c>
      <c r="N14" s="173">
        <f>'תקציב החברה לפיתוח 2021 '!N9</f>
        <v>500000</v>
      </c>
      <c r="O14" s="173">
        <f>'תקציב החברה לפיתוח 2021 '!O9</f>
        <v>0</v>
      </c>
      <c r="P14" s="173">
        <f>'תקציב החברה לפיתוח 2021 '!P9</f>
        <v>257641</v>
      </c>
      <c r="Q14" s="173">
        <f>'תקציב החברה לפיתוח 2021 '!Q9</f>
        <v>0</v>
      </c>
      <c r="R14" s="173">
        <f>'תקציב החברה לפיתוח 2021 '!R9</f>
        <v>0</v>
      </c>
      <c r="S14" s="173">
        <f>'תקציב החברה לפיתוח 2021 '!S9</f>
        <v>0</v>
      </c>
      <c r="T14" s="173">
        <f>'תקציב החברה לפיתוח 2021 '!T9</f>
        <v>0</v>
      </c>
      <c r="U14" s="173">
        <f>'תקציב החברה לפיתוח 2021 '!U9</f>
        <v>500000</v>
      </c>
      <c r="V14" s="173">
        <f>'תקציב החברה לפיתוח 2021 '!V9</f>
        <v>500000</v>
      </c>
      <c r="W14" s="173">
        <f>'תקציב החברה לפיתוח 2021 '!W9</f>
        <v>0</v>
      </c>
      <c r="X14" s="173">
        <f>'תקציב החברה לפיתוח 2021 '!X9</f>
        <v>0</v>
      </c>
      <c r="Y14" s="173">
        <f>'תקציב החברה לפיתוח 2021 '!Y9</f>
        <v>0</v>
      </c>
      <c r="Z14" s="173">
        <f>'תקציב החברה לפיתוח 2021 '!Z9</f>
        <v>0</v>
      </c>
      <c r="AA14" s="173">
        <f>'תקציב החברה לפיתוח 2021 '!AA9</f>
        <v>0</v>
      </c>
      <c r="AB14" s="293" t="str">
        <f>'תקציב החברה לפיתוח 2021 '!AB9</f>
        <v>סל עבודות קטנות עפ"י דרישה.</v>
      </c>
      <c r="AC14" s="172">
        <f>'תקציב החברה לפיתוח 2021 '!AC9</f>
        <v>742000</v>
      </c>
      <c r="AD14" s="284"/>
      <c r="AE14" s="284"/>
      <c r="AF14" s="166"/>
      <c r="AG14" s="166"/>
      <c r="AH14" s="166"/>
      <c r="AI14" s="166"/>
      <c r="AJ14" s="166"/>
    </row>
    <row r="15" spans="1:36" s="5" customFormat="1" ht="28">
      <c r="A15" s="172">
        <f t="shared" si="2"/>
        <v>10</v>
      </c>
      <c r="B15" s="172">
        <f>'תקציב החברה לפיתוח 2021 '!B10</f>
        <v>1207</v>
      </c>
      <c r="C15" s="326" t="str">
        <f>'תקציב החברה לפיתוח 2021 '!C10</f>
        <v>מתחם זרובבל</v>
      </c>
      <c r="D15" s="173">
        <f>'תקציב החברה לפיתוח 2021 '!D10</f>
        <v>50650000</v>
      </c>
      <c r="E15" s="173">
        <f>'תקציב החברה לפיתוח 2021 '!E10</f>
        <v>50650000</v>
      </c>
      <c r="F15" s="173">
        <f>'תקציב החברה לפיתוח 2021 '!F10</f>
        <v>0</v>
      </c>
      <c r="G15" s="173">
        <f>'תקציב החברה לפיתוח 2021 '!G10</f>
        <v>45650000</v>
      </c>
      <c r="H15" s="173">
        <f>'תקציב החברה לפיתוח 2021 '!H10</f>
        <v>29952314</v>
      </c>
      <c r="I15" s="173">
        <f>'תקציב החברה לפיתוח 2021 '!I10</f>
        <v>0</v>
      </c>
      <c r="J15" s="173">
        <f>'תקציב החברה לפיתוח 2021 '!J10</f>
        <v>215819</v>
      </c>
      <c r="K15" s="173">
        <f>'תקציב החברה לפיתוח 2021 '!K10</f>
        <v>215819</v>
      </c>
      <c r="L15" s="173">
        <f>'תקציב החברה לפיתוח 2021 '!L10</f>
        <v>30168133</v>
      </c>
      <c r="M15" s="173">
        <f>'תקציב החברה לפיתוח 2021 '!M10</f>
        <v>15481867</v>
      </c>
      <c r="N15" s="173">
        <f>'תקציב החברה לפיתוח 2021 '!N10</f>
        <v>5000000</v>
      </c>
      <c r="O15" s="173">
        <f>'תקציב החברה לפיתוח 2021 '!O10</f>
        <v>0</v>
      </c>
      <c r="P15" s="173">
        <f>'תקציב החברה לפיתוח 2021 '!P10</f>
        <v>15481867</v>
      </c>
      <c r="Q15" s="173">
        <f>'תקציב החברה לפיתוח 2021 '!Q10</f>
        <v>0</v>
      </c>
      <c r="R15" s="173">
        <f>'תקציב החברה לפיתוח 2021 '!R10</f>
        <v>0</v>
      </c>
      <c r="S15" s="173">
        <f>'תקציב החברה לפיתוח 2021 '!S10</f>
        <v>0</v>
      </c>
      <c r="T15" s="173">
        <f>'תקציב החברה לפיתוח 2021 '!T10</f>
        <v>0</v>
      </c>
      <c r="U15" s="173">
        <f>'תקציב החברה לפיתוח 2021 '!U10</f>
        <v>5000000</v>
      </c>
      <c r="V15" s="173">
        <f>'תקציב החברה לפיתוח 2021 '!V10</f>
        <v>5000000</v>
      </c>
      <c r="W15" s="173">
        <f>'תקציב החברה לפיתוח 2021 '!W10</f>
        <v>0</v>
      </c>
      <c r="X15" s="173">
        <f>'תקציב החברה לפיתוח 2021 '!X10</f>
        <v>0</v>
      </c>
      <c r="Y15" s="173">
        <f>'תקציב החברה לפיתוח 2021 '!Y10</f>
        <v>0</v>
      </c>
      <c r="Z15" s="173">
        <f>'תקציב החברה לפיתוח 2021 '!Z10</f>
        <v>0</v>
      </c>
      <c r="AA15" s="173">
        <f>'תקציב החברה לפיתוח 2021 '!AA10</f>
        <v>0</v>
      </c>
      <c r="AB15" s="293" t="str">
        <f>'תקציב החברה לפיתוח 2021 '!AB10</f>
        <v>המשך עבודות פיתוח במתחם. פיתוח השצ"פ.</v>
      </c>
      <c r="AC15" s="172">
        <f>'תקציב החברה לפיתוח 2021 '!AC10</f>
        <v>742000</v>
      </c>
      <c r="AD15" s="284"/>
      <c r="AE15" s="284"/>
      <c r="AF15" s="166"/>
      <c r="AG15" s="166"/>
      <c r="AH15" s="166"/>
      <c r="AI15" s="166"/>
      <c r="AJ15" s="166"/>
    </row>
    <row r="16" spans="1:36" s="5" customFormat="1" ht="28">
      <c r="A16" s="172">
        <f t="shared" si="2"/>
        <v>11</v>
      </c>
      <c r="B16" s="172">
        <f>'תקציב החברה לפיתוח 2021 '!B11</f>
        <v>1238</v>
      </c>
      <c r="C16" s="326" t="str">
        <f>'תקציב החברה לפיתוח 2021 '!C11</f>
        <v>כצלנסון-פיתוח</v>
      </c>
      <c r="D16" s="173">
        <f>'תקציב החברה לפיתוח 2021 '!D11</f>
        <v>32940000</v>
      </c>
      <c r="E16" s="173">
        <f>'תקציב החברה לפיתוח 2021 '!E11</f>
        <v>32940000</v>
      </c>
      <c r="F16" s="173">
        <f>'תקציב החברה לפיתוח 2021 '!F11</f>
        <v>0</v>
      </c>
      <c r="G16" s="173">
        <f>'תקציב החברה לפיתוח 2021 '!G11</f>
        <v>25500000</v>
      </c>
      <c r="H16" s="173">
        <f>'תקציב החברה לפיתוח 2021 '!H11</f>
        <v>25492352</v>
      </c>
      <c r="I16" s="173">
        <f>'תקציב החברה לפיתוח 2021 '!I11</f>
        <v>0</v>
      </c>
      <c r="J16" s="173">
        <f>'תקציב החברה לפיתוח 2021 '!J11</f>
        <v>0</v>
      </c>
      <c r="K16" s="173">
        <f>'תקציב החברה לפיתוח 2021 '!K11</f>
        <v>0</v>
      </c>
      <c r="L16" s="173">
        <f>'תקציב החברה לפיתוח 2021 '!L11</f>
        <v>25492352</v>
      </c>
      <c r="M16" s="173">
        <f>'תקציב החברה לפיתוח 2021 '!M11</f>
        <v>7648</v>
      </c>
      <c r="N16" s="173">
        <f>'תקציב החברה לפיתוח 2021 '!N11</f>
        <v>0</v>
      </c>
      <c r="O16" s="173">
        <f>'תקציב החברה לפיתוח 2021 '!O11</f>
        <v>7440000</v>
      </c>
      <c r="P16" s="173">
        <f>'תקציב החברה לפיתוח 2021 '!P11</f>
        <v>7648</v>
      </c>
      <c r="Q16" s="173">
        <f>'תקציב החברה לפיתוח 2021 '!Q11</f>
        <v>0</v>
      </c>
      <c r="R16" s="173">
        <f>'תקציב החברה לפיתוח 2021 '!R11</f>
        <v>0</v>
      </c>
      <c r="S16" s="173">
        <f>'תקציב החברה לפיתוח 2021 '!S11</f>
        <v>0</v>
      </c>
      <c r="T16" s="173">
        <f>'תקציב החברה לפיתוח 2021 '!T11</f>
        <v>0</v>
      </c>
      <c r="U16" s="173">
        <f>'תקציב החברה לפיתוח 2021 '!U11</f>
        <v>0</v>
      </c>
      <c r="V16" s="173">
        <f>'תקציב החברה לפיתוח 2021 '!V11</f>
        <v>0</v>
      </c>
      <c r="W16" s="173">
        <f>'תקציב החברה לפיתוח 2021 '!W11</f>
        <v>0</v>
      </c>
      <c r="X16" s="173">
        <f>'תקציב החברה לפיתוח 2021 '!X11</f>
        <v>0</v>
      </c>
      <c r="Y16" s="173">
        <f>'תקציב החברה לפיתוח 2021 '!Y11</f>
        <v>0</v>
      </c>
      <c r="Z16" s="173">
        <f>'תקציב החברה לפיתוח 2021 '!Z11</f>
        <v>0</v>
      </c>
      <c r="AA16" s="173">
        <f>'תקציב החברה לפיתוח 2021 '!AA11</f>
        <v>0</v>
      </c>
      <c r="AB16" s="293" t="str">
        <f>'תקציב החברה לפיתוח 2021 '!AB11</f>
        <v xml:space="preserve">השלמת ביצוע דרום, ביצוע והשלמת תכנון פארק צפון. </v>
      </c>
      <c r="AC16" s="172">
        <f>'תקציב החברה לפיתוח 2021 '!AC11</f>
        <v>742000</v>
      </c>
      <c r="AD16" s="284"/>
      <c r="AE16" s="284"/>
      <c r="AF16" s="166"/>
      <c r="AG16" s="166"/>
      <c r="AH16" s="166"/>
      <c r="AI16" s="166"/>
      <c r="AJ16" s="166"/>
    </row>
    <row r="17" spans="1:36" s="5" customFormat="1">
      <c r="A17" s="172">
        <f t="shared" si="2"/>
        <v>12</v>
      </c>
      <c r="B17" s="172">
        <f>'תקציב החברה לפיתוח 2021 '!B12</f>
        <v>1298</v>
      </c>
      <c r="C17" s="326" t="str">
        <f>'תקציב החברה לפיתוח 2021 '!C12</f>
        <v>תכנונים כלליים</v>
      </c>
      <c r="D17" s="173">
        <f>'תקציב החברה לפיתוח 2021 '!D12</f>
        <v>5100000</v>
      </c>
      <c r="E17" s="173">
        <f>'תקציב החברה לפיתוח 2021 '!E12</f>
        <v>4600000</v>
      </c>
      <c r="F17" s="173">
        <f>'תקציב החברה לפיתוח 2021 '!F12</f>
        <v>500000</v>
      </c>
      <c r="G17" s="173">
        <f>'תקציב החברה לפיתוח 2021 '!G12</f>
        <v>4600000</v>
      </c>
      <c r="H17" s="173">
        <f>'תקציב החברה לפיתוח 2021 '!H12</f>
        <v>4357584</v>
      </c>
      <c r="I17" s="173">
        <f>'תקציב החברה לפיתוח 2021 '!I12</f>
        <v>0</v>
      </c>
      <c r="J17" s="173">
        <f>'תקציב החברה לפיתוח 2021 '!J12</f>
        <v>241538</v>
      </c>
      <c r="K17" s="173">
        <f>'תקציב החברה לפיתוח 2021 '!K12</f>
        <v>241538</v>
      </c>
      <c r="L17" s="173">
        <f>'תקציב החברה לפיתוח 2021 '!L12</f>
        <v>4599122</v>
      </c>
      <c r="M17" s="173">
        <f>'תקציב החברה לפיתוח 2021 '!M12</f>
        <v>878</v>
      </c>
      <c r="N17" s="173">
        <f>'תקציב החברה לפיתוח 2021 '!N12</f>
        <v>500000</v>
      </c>
      <c r="O17" s="173">
        <f>'תקציב החברה לפיתוח 2021 '!O12</f>
        <v>0</v>
      </c>
      <c r="P17" s="173">
        <f>'תקציב החברה לפיתוח 2021 '!P12</f>
        <v>878</v>
      </c>
      <c r="Q17" s="173">
        <f>'תקציב החברה לפיתוח 2021 '!Q12</f>
        <v>0</v>
      </c>
      <c r="R17" s="173">
        <f>'תקציב החברה לפיתוח 2021 '!R12</f>
        <v>0</v>
      </c>
      <c r="S17" s="173">
        <f>'תקציב החברה לפיתוח 2021 '!S12</f>
        <v>0</v>
      </c>
      <c r="T17" s="173">
        <f>'תקציב החברה לפיתוח 2021 '!T12</f>
        <v>0</v>
      </c>
      <c r="U17" s="173">
        <f>'תקציב החברה לפיתוח 2021 '!U12</f>
        <v>500000</v>
      </c>
      <c r="V17" s="173">
        <f>'תקציב החברה לפיתוח 2021 '!V12</f>
        <v>500000</v>
      </c>
      <c r="W17" s="173">
        <f>'תקציב החברה לפיתוח 2021 '!W12</f>
        <v>0</v>
      </c>
      <c r="X17" s="173">
        <f>'תקציב החברה לפיתוח 2021 '!X12</f>
        <v>0</v>
      </c>
      <c r="Y17" s="173">
        <f>'תקציב החברה לפיתוח 2021 '!Y12</f>
        <v>0</v>
      </c>
      <c r="Z17" s="173">
        <f>'תקציב החברה לפיתוח 2021 '!Z12</f>
        <v>0</v>
      </c>
      <c r="AA17" s="173">
        <f>'תקציב החברה לפיתוח 2021 '!AA12</f>
        <v>0</v>
      </c>
      <c r="AB17" s="293" t="str">
        <f>'תקציב החברה לפיתוח 2021 '!AB12</f>
        <v>סל עבודות תכנון עפ"י דרישה.</v>
      </c>
      <c r="AC17" s="172">
        <f>'תקציב החברה לפיתוח 2021 '!AC12</f>
        <v>742000</v>
      </c>
      <c r="AD17" s="284"/>
      <c r="AE17" s="284"/>
      <c r="AF17" s="166"/>
      <c r="AG17" s="166"/>
      <c r="AH17" s="166"/>
      <c r="AI17" s="166"/>
      <c r="AJ17" s="166"/>
    </row>
    <row r="18" spans="1:36" s="176" customFormat="1" ht="42">
      <c r="A18" s="172">
        <f t="shared" si="2"/>
        <v>13</v>
      </c>
      <c r="B18" s="172">
        <f>'תקציב החברה לפיתוח 2021 '!B14</f>
        <v>1314</v>
      </c>
      <c r="C18" s="326" t="str">
        <f>'תקציב החברה לפיתוח 2021 '!C14</f>
        <v>רח' גבעת החלומות פיתוח</v>
      </c>
      <c r="D18" s="173">
        <f>'תקציב החברה לפיתוח 2021 '!D14</f>
        <v>3200000</v>
      </c>
      <c r="E18" s="173">
        <f>'תקציב החברה לפיתוח 2021 '!E14</f>
        <v>3200000</v>
      </c>
      <c r="F18" s="173">
        <f>'תקציב החברה לפיתוח 2021 '!F14</f>
        <v>0</v>
      </c>
      <c r="G18" s="173">
        <f>'תקציב החברה לפיתוח 2021 '!G14</f>
        <v>660000</v>
      </c>
      <c r="H18" s="173">
        <f>'תקציב החברה לפיתוח 2021 '!H14</f>
        <v>400766</v>
      </c>
      <c r="I18" s="173">
        <f>'תקציב החברה לפיתוח 2021 '!I14</f>
        <v>0</v>
      </c>
      <c r="J18" s="173">
        <f>'תקציב החברה לפיתוח 2021 '!J14</f>
        <v>0</v>
      </c>
      <c r="K18" s="173">
        <f>'תקציב החברה לפיתוח 2021 '!K14</f>
        <v>0</v>
      </c>
      <c r="L18" s="173">
        <f>'תקציב החברה לפיתוח 2021 '!L14</f>
        <v>400766</v>
      </c>
      <c r="M18" s="173">
        <f>'תקציב החברה לפיתוח 2021 '!M14</f>
        <v>259234</v>
      </c>
      <c r="N18" s="173">
        <f>'תקציב החברה לפיתוח 2021 '!N14</f>
        <v>0</v>
      </c>
      <c r="O18" s="173">
        <f>'תקציב החברה לפיתוח 2021 '!O14</f>
        <v>2540000</v>
      </c>
      <c r="P18" s="173">
        <f>'תקציב החברה לפיתוח 2021 '!P14</f>
        <v>259234</v>
      </c>
      <c r="Q18" s="173">
        <f>'תקציב החברה לפיתוח 2021 '!Q14</f>
        <v>0</v>
      </c>
      <c r="R18" s="173">
        <f>'תקציב החברה לפיתוח 2021 '!R14</f>
        <v>0</v>
      </c>
      <c r="S18" s="173">
        <f>'תקציב החברה לפיתוח 2021 '!S14</f>
        <v>0</v>
      </c>
      <c r="T18" s="173">
        <f>'תקציב החברה לפיתוח 2021 '!T14</f>
        <v>0</v>
      </c>
      <c r="U18" s="173">
        <f>'תקציב החברה לפיתוח 2021 '!U14</f>
        <v>0</v>
      </c>
      <c r="V18" s="173">
        <f>'תקציב החברה לפיתוח 2021 '!V14</f>
        <v>0</v>
      </c>
      <c r="W18" s="173">
        <f>'תקציב החברה לפיתוח 2021 '!W14</f>
        <v>0</v>
      </c>
      <c r="X18" s="173">
        <f>'תקציב החברה לפיתוח 2021 '!X14</f>
        <v>0</v>
      </c>
      <c r="Y18" s="173">
        <f>'תקציב החברה לפיתוח 2021 '!Y14</f>
        <v>0</v>
      </c>
      <c r="Z18" s="173">
        <f>'תקציב החברה לפיתוח 2021 '!Z14</f>
        <v>0</v>
      </c>
      <c r="AA18" s="173">
        <f>'תקציב החברה לפיתוח 2021 '!AA14</f>
        <v>0</v>
      </c>
      <c r="AB18" s="293" t="str">
        <f>'תקציב החברה לפיתוח 2021 '!AB14</f>
        <v xml:space="preserve">פיתוח רחוב גבעת החלומות לרבות עבודות ניקוז ותאורה. עדכון תכנון וביצוע . </v>
      </c>
      <c r="AC18" s="172">
        <f>'תקציב החברה לפיתוח 2021 '!AC14</f>
        <v>742000</v>
      </c>
      <c r="AD18" s="284"/>
      <c r="AE18" s="284"/>
      <c r="AF18" s="166"/>
      <c r="AG18" s="166"/>
      <c r="AH18" s="166"/>
      <c r="AI18" s="166"/>
      <c r="AJ18" s="166"/>
    </row>
    <row r="19" spans="1:36" s="176" customFormat="1" ht="56">
      <c r="A19" s="172">
        <f t="shared" si="2"/>
        <v>14</v>
      </c>
      <c r="B19" s="172">
        <f>'תקציב החברה לפיתוח 2021 '!B15</f>
        <v>1322</v>
      </c>
      <c r="C19" s="326" t="str">
        <f>'תקציב החברה לפיתוח 2021 '!C15</f>
        <v>מתחם נוף ים פיתוח</v>
      </c>
      <c r="D19" s="173">
        <f>'תקציב החברה לפיתוח 2021 '!D15</f>
        <v>18500000</v>
      </c>
      <c r="E19" s="173">
        <f>'תקציב החברה לפיתוח 2021 '!E15</f>
        <v>18500000</v>
      </c>
      <c r="F19" s="173">
        <f>'תקציב החברה לפיתוח 2021 '!F15</f>
        <v>0</v>
      </c>
      <c r="G19" s="173">
        <f>'תקציב החברה לפיתוח 2021 '!G15</f>
        <v>10850000</v>
      </c>
      <c r="H19" s="173">
        <f>'תקציב החברה לפיתוח 2021 '!H15</f>
        <v>9625169</v>
      </c>
      <c r="I19" s="173">
        <f>'תקציב החברה לפיתוח 2021 '!I15</f>
        <v>82865</v>
      </c>
      <c r="J19" s="173">
        <f>'תקציב החברה לפיתוח 2021 '!J15</f>
        <v>0</v>
      </c>
      <c r="K19" s="173">
        <f>'תקציב החברה לפיתוח 2021 '!K15</f>
        <v>82865</v>
      </c>
      <c r="L19" s="173">
        <f>'תקציב החברה לפיתוח 2021 '!L15</f>
        <v>9708034</v>
      </c>
      <c r="M19" s="173">
        <f>'תקציב החברה לפיתוח 2021 '!M15</f>
        <v>1141966</v>
      </c>
      <c r="N19" s="173">
        <f>'תקציב החברה לפיתוח 2021 '!N15</f>
        <v>0</v>
      </c>
      <c r="O19" s="173">
        <f>'תקציב החברה לפיתוח 2021 '!O15</f>
        <v>7650000</v>
      </c>
      <c r="P19" s="173">
        <f>'תקציב החברה לפיתוח 2021 '!P15</f>
        <v>1141966</v>
      </c>
      <c r="Q19" s="173">
        <f>'תקציב החברה לפיתוח 2021 '!Q15</f>
        <v>0</v>
      </c>
      <c r="R19" s="173">
        <f>'תקציב החברה לפיתוח 2021 '!R15</f>
        <v>0</v>
      </c>
      <c r="S19" s="173">
        <f>'תקציב החברה לפיתוח 2021 '!S15</f>
        <v>0</v>
      </c>
      <c r="T19" s="173">
        <f>'תקציב החברה לפיתוח 2021 '!T15</f>
        <v>0</v>
      </c>
      <c r="U19" s="173">
        <f>'תקציב החברה לפיתוח 2021 '!U15</f>
        <v>0</v>
      </c>
      <c r="V19" s="173">
        <f>'תקציב החברה לפיתוח 2021 '!V15</f>
        <v>0</v>
      </c>
      <c r="W19" s="173">
        <f>'תקציב החברה לפיתוח 2021 '!W15</f>
        <v>0</v>
      </c>
      <c r="X19" s="173">
        <f>'תקציב החברה לפיתוח 2021 '!X15</f>
        <v>0</v>
      </c>
      <c r="Y19" s="173">
        <f>'תקציב החברה לפיתוח 2021 '!Y15</f>
        <v>0</v>
      </c>
      <c r="Z19" s="173">
        <f>'תקציב החברה לפיתוח 2021 '!Z15</f>
        <v>0</v>
      </c>
      <c r="AA19" s="173">
        <f>'תקציב החברה לפיתוח 2021 '!AA15</f>
        <v>0</v>
      </c>
      <c r="AB19" s="293" t="str">
        <f>'תקציב החברה לפיתוח 2021 '!AB15</f>
        <v>ביצוע תשתיות רח' הנשיא מחיבורו לשער הים עד הצומת רח' הפועל התאנה כולל הטמנת רשת חשמל.</v>
      </c>
      <c r="AC19" s="172">
        <f>'תקציב החברה לפיתוח 2021 '!AC15</f>
        <v>742000</v>
      </c>
      <c r="AD19" s="284"/>
      <c r="AE19" s="284"/>
      <c r="AF19" s="166"/>
      <c r="AG19" s="166"/>
      <c r="AH19" s="166"/>
      <c r="AI19" s="166"/>
      <c r="AJ19" s="166"/>
    </row>
    <row r="20" spans="1:36" s="176" customFormat="1" ht="56">
      <c r="A20" s="172">
        <f t="shared" si="2"/>
        <v>15</v>
      </c>
      <c r="B20" s="172">
        <f>'תקציב החברה לפיתוח 2021 '!B20</f>
        <v>1446</v>
      </c>
      <c r="C20" s="326" t="str">
        <f>'תקציב החברה לפיתוח 2021 '!C20</f>
        <v xml:space="preserve">מתחם נוריות  </v>
      </c>
      <c r="D20" s="173">
        <f>'תקציב החברה לפיתוח 2021 '!D20</f>
        <v>14250000</v>
      </c>
      <c r="E20" s="173">
        <f>'תקציב החברה לפיתוח 2021 '!E20</f>
        <v>14250000</v>
      </c>
      <c r="F20" s="173">
        <f>'תקציב החברה לפיתוח 2021 '!F20</f>
        <v>0</v>
      </c>
      <c r="G20" s="173">
        <f>'תקציב החברה לפיתוח 2021 '!G20</f>
        <v>14250000</v>
      </c>
      <c r="H20" s="173">
        <f>'תקציב החברה לפיתוח 2021 '!H20</f>
        <v>7360717</v>
      </c>
      <c r="I20" s="173">
        <f>'תקציב החברה לפיתוח 2021 '!I20</f>
        <v>0</v>
      </c>
      <c r="J20" s="173">
        <f>'תקציב החברה לפיתוח 2021 '!J20</f>
        <v>2593903</v>
      </c>
      <c r="K20" s="173">
        <f>'תקציב החברה לפיתוח 2021 '!K20</f>
        <v>2593903</v>
      </c>
      <c r="L20" s="173">
        <f>'תקציב החברה לפיתוח 2021 '!L20</f>
        <v>9954620</v>
      </c>
      <c r="M20" s="173">
        <f>'תקציב החברה לפיתוח 2021 '!M20</f>
        <v>4295380</v>
      </c>
      <c r="N20" s="173">
        <f>'תקציב החברה לפיתוח 2021 '!N20</f>
        <v>0</v>
      </c>
      <c r="O20" s="173">
        <f>'תקציב החברה לפיתוח 2021 '!O20</f>
        <v>0</v>
      </c>
      <c r="P20" s="173">
        <f>'תקציב החברה לפיתוח 2021 '!P20</f>
        <v>4295380</v>
      </c>
      <c r="Q20" s="173">
        <f>'תקציב החברה לפיתוח 2021 '!Q20</f>
        <v>0</v>
      </c>
      <c r="R20" s="173">
        <f>'תקציב החברה לפיתוח 2021 '!R20</f>
        <v>0</v>
      </c>
      <c r="S20" s="173">
        <f>'תקציב החברה לפיתוח 2021 '!S20</f>
        <v>0</v>
      </c>
      <c r="T20" s="173">
        <f>'תקציב החברה לפיתוח 2021 '!T20</f>
        <v>0</v>
      </c>
      <c r="U20" s="173">
        <f>'תקציב החברה לפיתוח 2021 '!U20</f>
        <v>0</v>
      </c>
      <c r="V20" s="173">
        <f>'תקציב החברה לפיתוח 2021 '!V20</f>
        <v>0</v>
      </c>
      <c r="W20" s="173">
        <f>'תקציב החברה לפיתוח 2021 '!W20</f>
        <v>0</v>
      </c>
      <c r="X20" s="173">
        <f>'תקציב החברה לפיתוח 2021 '!X20</f>
        <v>0</v>
      </c>
      <c r="Y20" s="173">
        <f>'תקציב החברה לפיתוח 2021 '!Y20</f>
        <v>0</v>
      </c>
      <c r="Z20" s="173">
        <f>'תקציב החברה לפיתוח 2021 '!Z20</f>
        <v>0</v>
      </c>
      <c r="AA20" s="173">
        <f>'תקציב החברה לפיתוח 2021 '!AA20</f>
        <v>0</v>
      </c>
      <c r="AB20" s="293" t="str">
        <f>'תקציב החברה לפיתוח 2021 '!AB20</f>
        <v>המשך עבודות פיתוח במתחם הרחובות הנוריות, אנצו סירני , דב גרונר , שלמה בן יוסף , חביבה רייך.</v>
      </c>
      <c r="AC20" s="172">
        <f>'תקציב החברה לפיתוח 2021 '!AC20</f>
        <v>742000</v>
      </c>
      <c r="AD20" s="284"/>
      <c r="AE20" s="284"/>
      <c r="AF20" s="166"/>
      <c r="AG20" s="166"/>
      <c r="AH20" s="166"/>
      <c r="AI20" s="166"/>
      <c r="AJ20" s="166"/>
    </row>
    <row r="21" spans="1:36" s="176" customFormat="1">
      <c r="A21" s="172">
        <f t="shared" si="2"/>
        <v>16</v>
      </c>
      <c r="B21" s="172">
        <f>'תקציב החברה לפיתוח 2021 '!B21</f>
        <v>1539</v>
      </c>
      <c r="C21" s="326" t="str">
        <f>'תקציב החברה לפיתוח 2021 '!C21</f>
        <v>רחוב בר כוכבא</v>
      </c>
      <c r="D21" s="173">
        <f>'תקציב החברה לפיתוח 2021 '!D21</f>
        <v>16300000</v>
      </c>
      <c r="E21" s="173">
        <f>'תקציב החברה לפיתוח 2021 '!E21</f>
        <v>16300000</v>
      </c>
      <c r="F21" s="173">
        <f>'תקציב החברה לפיתוח 2021 '!F21</f>
        <v>0</v>
      </c>
      <c r="G21" s="173">
        <f>'תקציב החברה לפיתוח 2021 '!G21</f>
        <v>15180000</v>
      </c>
      <c r="H21" s="173">
        <f>'תקציב החברה לפיתוח 2021 '!H21</f>
        <v>14337038</v>
      </c>
      <c r="I21" s="173">
        <f>'תקציב החברה לפיתוח 2021 '!I21</f>
        <v>54264</v>
      </c>
      <c r="J21" s="173">
        <f>'תקציב החברה לפיתוח 2021 '!J21</f>
        <v>147547</v>
      </c>
      <c r="K21" s="173">
        <f>'תקציב החברה לפיתוח 2021 '!K21</f>
        <v>201811</v>
      </c>
      <c r="L21" s="173">
        <f>'תקציב החברה לפיתוח 2021 '!L21</f>
        <v>14538849</v>
      </c>
      <c r="M21" s="173">
        <f>'תקציב החברה לפיתוח 2021 '!M21</f>
        <v>641151</v>
      </c>
      <c r="N21" s="173">
        <f>'תקציב החברה לפיתוח 2021 '!N21</f>
        <v>120000</v>
      </c>
      <c r="O21" s="173">
        <f>'תקציב החברה לפיתוח 2021 '!O21</f>
        <v>1000000</v>
      </c>
      <c r="P21" s="173">
        <f>'תקציב החברה לפיתוח 2021 '!P21</f>
        <v>641151</v>
      </c>
      <c r="Q21" s="173">
        <f>'תקציב החברה לפיתוח 2021 '!Q21</f>
        <v>0</v>
      </c>
      <c r="R21" s="173">
        <f>'תקציב החברה לפיתוח 2021 '!R21</f>
        <v>0</v>
      </c>
      <c r="S21" s="173">
        <f>'תקציב החברה לפיתוח 2021 '!S21</f>
        <v>0</v>
      </c>
      <c r="T21" s="173">
        <f>'תקציב החברה לפיתוח 2021 '!T21</f>
        <v>0</v>
      </c>
      <c r="U21" s="173">
        <f>'תקציב החברה לפיתוח 2021 '!U21</f>
        <v>120000</v>
      </c>
      <c r="V21" s="173">
        <f>'תקציב החברה לפיתוח 2021 '!V21</f>
        <v>120000</v>
      </c>
      <c r="W21" s="173">
        <f>'תקציב החברה לפיתוח 2021 '!W21</f>
        <v>0</v>
      </c>
      <c r="X21" s="173">
        <f>'תקציב החברה לפיתוח 2021 '!X21</f>
        <v>0</v>
      </c>
      <c r="Y21" s="173">
        <f>'תקציב החברה לפיתוח 2021 '!Y21</f>
        <v>0</v>
      </c>
      <c r="Z21" s="173">
        <f>'תקציב החברה לפיתוח 2021 '!Z21</f>
        <v>0</v>
      </c>
      <c r="AA21" s="173">
        <f>'תקציב החברה לפיתוח 2021 '!AA21</f>
        <v>0</v>
      </c>
      <c r="AB21" s="293" t="str">
        <f>'תקציב החברה לפיתוח 2021 '!AB21</f>
        <v>פיתוח תשתיות. בשלבי סיום.</v>
      </c>
      <c r="AC21" s="172">
        <f>'תקציב החברה לפיתוח 2021 '!AC21</f>
        <v>742000</v>
      </c>
      <c r="AD21" s="284"/>
      <c r="AE21" s="284"/>
      <c r="AF21" s="166"/>
      <c r="AG21" s="166"/>
      <c r="AH21" s="166"/>
      <c r="AI21" s="166"/>
      <c r="AJ21" s="166"/>
    </row>
    <row r="22" spans="1:36" s="176" customFormat="1" ht="26.4" customHeight="1">
      <c r="A22" s="172">
        <f t="shared" si="2"/>
        <v>17</v>
      </c>
      <c r="B22" s="172">
        <f>'תקציב החברה לפיתוח 2021 '!B22</f>
        <v>1588</v>
      </c>
      <c r="C22" s="326" t="str">
        <f>'תקציב החברה לפיתוח 2021 '!C22</f>
        <v>פיתוח מתחם אלוני ים הר' 2030</v>
      </c>
      <c r="D22" s="173">
        <f>'תקציב החברה לפיתוח 2021 '!D22</f>
        <v>50500000</v>
      </c>
      <c r="E22" s="173">
        <f>'תקציב החברה לפיתוח 2021 '!E22</f>
        <v>50500000</v>
      </c>
      <c r="F22" s="173">
        <f>'תקציב החברה לפיתוח 2021 '!F22</f>
        <v>0</v>
      </c>
      <c r="G22" s="173">
        <f>'תקציב החברה לפיתוח 2021 '!G22</f>
        <v>45500000</v>
      </c>
      <c r="H22" s="173">
        <f>'תקציב החברה לפיתוח 2021 '!H22</f>
        <v>34848963</v>
      </c>
      <c r="I22" s="173">
        <f>'תקציב החברה לפיתוח 2021 '!I22</f>
        <v>682147</v>
      </c>
      <c r="J22" s="173">
        <f>'תקציב החברה לפיתוח 2021 '!J22</f>
        <v>291006</v>
      </c>
      <c r="K22" s="173">
        <f>'תקציב החברה לפיתוח 2021 '!K22</f>
        <v>973153</v>
      </c>
      <c r="L22" s="173">
        <f>'תקציב החברה לפיתוח 2021 '!L22</f>
        <v>35822116</v>
      </c>
      <c r="M22" s="173">
        <f>'תקציב החברה לפיתוח 2021 '!M22</f>
        <v>9677884</v>
      </c>
      <c r="N22" s="173">
        <f>'תקציב החברה לפיתוח 2021 '!N22</f>
        <v>0</v>
      </c>
      <c r="O22" s="173">
        <f>'תקציב החברה לפיתוח 2021 '!O22</f>
        <v>5000000</v>
      </c>
      <c r="P22" s="173">
        <f>'תקציב החברה לפיתוח 2021 '!P22</f>
        <v>9677884</v>
      </c>
      <c r="Q22" s="173">
        <f>'תקציב החברה לפיתוח 2021 '!Q22</f>
        <v>0</v>
      </c>
      <c r="R22" s="173">
        <f>'תקציב החברה לפיתוח 2021 '!R22</f>
        <v>0</v>
      </c>
      <c r="S22" s="173">
        <f>'תקציב החברה לפיתוח 2021 '!S22</f>
        <v>0</v>
      </c>
      <c r="T22" s="173">
        <f>'תקציב החברה לפיתוח 2021 '!T22</f>
        <v>0</v>
      </c>
      <c r="U22" s="173">
        <f>'תקציב החברה לפיתוח 2021 '!U22</f>
        <v>0</v>
      </c>
      <c r="V22" s="173">
        <f>'תקציב החברה לפיתוח 2021 '!V22</f>
        <v>0</v>
      </c>
      <c r="W22" s="173">
        <f>'תקציב החברה לפיתוח 2021 '!W22</f>
        <v>0</v>
      </c>
      <c r="X22" s="173">
        <f>'תקציב החברה לפיתוח 2021 '!X22</f>
        <v>0</v>
      </c>
      <c r="Y22" s="173">
        <f>'תקציב החברה לפיתוח 2021 '!Y22</f>
        <v>0</v>
      </c>
      <c r="Z22" s="173">
        <f>'תקציב החברה לפיתוח 2021 '!Z22</f>
        <v>0</v>
      </c>
      <c r="AA22" s="173">
        <f>'תקציב החברה לפיתוח 2021 '!AA22</f>
        <v>0</v>
      </c>
      <c r="AB22" s="293" t="str">
        <f>'תקציב החברה לפיתוח 2021 '!AB22</f>
        <v>המשך עבודות פיתוח במתחם אלוני ים הר' 2030.</v>
      </c>
      <c r="AC22" s="172">
        <f>'תקציב החברה לפיתוח 2021 '!AC22</f>
        <v>742000</v>
      </c>
      <c r="AD22" s="284"/>
      <c r="AE22" s="284"/>
      <c r="AF22" s="166"/>
      <c r="AG22" s="166"/>
      <c r="AH22" s="166"/>
      <c r="AI22" s="166"/>
      <c r="AJ22" s="166"/>
    </row>
    <row r="23" spans="1:36" s="176" customFormat="1" ht="42">
      <c r="A23" s="172">
        <f t="shared" si="2"/>
        <v>18</v>
      </c>
      <c r="B23" s="172">
        <f>'תקציב החברה לפיתוח 2021 '!B23</f>
        <v>1614</v>
      </c>
      <c r="C23" s="326" t="str">
        <f>'תקציב החברה לפיתוח 2021 '!C23</f>
        <v>שצ"פ רבי עקיבא דרומה (השביל הירוק)</v>
      </c>
      <c r="D23" s="173">
        <f>'תקציב החברה לפיתוח 2021 '!D23</f>
        <v>7200000</v>
      </c>
      <c r="E23" s="173">
        <f>'תקציב החברה לפיתוח 2021 '!E23</f>
        <v>7200000</v>
      </c>
      <c r="F23" s="173">
        <f>'תקציב החברה לפיתוח 2021 '!F23</f>
        <v>0</v>
      </c>
      <c r="G23" s="173">
        <f>'תקציב החברה לפיתוח 2021 '!G23</f>
        <v>5680000</v>
      </c>
      <c r="H23" s="173">
        <f>'תקציב החברה לפיתוח 2021 '!H23</f>
        <v>4991030</v>
      </c>
      <c r="I23" s="173">
        <f>'תקציב החברה לפיתוח 2021 '!I23</f>
        <v>0</v>
      </c>
      <c r="J23" s="173">
        <f>'תקציב החברה לפיתוח 2021 '!J23</f>
        <v>104013</v>
      </c>
      <c r="K23" s="173">
        <f>'תקציב החברה לפיתוח 2021 '!K23</f>
        <v>104013</v>
      </c>
      <c r="L23" s="173">
        <f>'תקציב החברה לפיתוח 2021 '!L23</f>
        <v>5095043</v>
      </c>
      <c r="M23" s="173">
        <f>'תקציב החברה לפיתוח 2021 '!M23</f>
        <v>584957</v>
      </c>
      <c r="N23" s="173">
        <f>'תקציב החברה לפיתוח 2021 '!N23</f>
        <v>0</v>
      </c>
      <c r="O23" s="173">
        <f>'תקציב החברה לפיתוח 2021 '!O23</f>
        <v>1520000</v>
      </c>
      <c r="P23" s="173">
        <f>'תקציב החברה לפיתוח 2021 '!P23</f>
        <v>584957</v>
      </c>
      <c r="Q23" s="173">
        <f>'תקציב החברה לפיתוח 2021 '!Q23</f>
        <v>0</v>
      </c>
      <c r="R23" s="173">
        <f>'תקציב החברה לפיתוח 2021 '!R23</f>
        <v>0</v>
      </c>
      <c r="S23" s="173">
        <f>'תקציב החברה לפיתוח 2021 '!S23</f>
        <v>0</v>
      </c>
      <c r="T23" s="173">
        <f>'תקציב החברה לפיתוח 2021 '!T23</f>
        <v>0</v>
      </c>
      <c r="U23" s="173">
        <f>'תקציב החברה לפיתוח 2021 '!U23</f>
        <v>0</v>
      </c>
      <c r="V23" s="173">
        <f>'תקציב החברה לפיתוח 2021 '!V23</f>
        <v>0</v>
      </c>
      <c r="W23" s="173">
        <f>'תקציב החברה לפיתוח 2021 '!W23</f>
        <v>0</v>
      </c>
      <c r="X23" s="173">
        <f>'תקציב החברה לפיתוח 2021 '!X23</f>
        <v>0</v>
      </c>
      <c r="Y23" s="173">
        <f>'תקציב החברה לפיתוח 2021 '!Y23</f>
        <v>0</v>
      </c>
      <c r="Z23" s="173">
        <f>'תקציב החברה לפיתוח 2021 '!Z23</f>
        <v>0</v>
      </c>
      <c r="AA23" s="173">
        <f>'תקציב החברה לפיתוח 2021 '!AA23</f>
        <v>0</v>
      </c>
      <c r="AB23" s="293" t="str">
        <f>'תקציב החברה לפיתוח 2021 '!AB23</f>
        <v>המשך עבודות פיתוח שצ"פ בשכונת צמרות והשלמת עבודות ליד המשתלה.</v>
      </c>
      <c r="AC23" s="172">
        <f>'תקציב החברה לפיתוח 2021 '!AC23</f>
        <v>742000</v>
      </c>
      <c r="AD23" s="284"/>
      <c r="AE23" s="284"/>
      <c r="AF23" s="166"/>
      <c r="AG23" s="166"/>
      <c r="AH23" s="166"/>
      <c r="AI23" s="166"/>
      <c r="AJ23" s="166"/>
    </row>
    <row r="24" spans="1:36" s="176" customFormat="1" ht="42">
      <c r="A24" s="172">
        <f t="shared" si="2"/>
        <v>19</v>
      </c>
      <c r="B24" s="172">
        <f>'תקציב החברה לפיתוח 2021 '!B24</f>
        <v>1615</v>
      </c>
      <c r="C24" s="326" t="str">
        <f>'תקציב החברה לפיתוח 2021 '!C24</f>
        <v>פיתוח מתחם הר' 1903</v>
      </c>
      <c r="D24" s="173">
        <f>'תקציב החברה לפיתוח 2021 '!D24</f>
        <v>27700000</v>
      </c>
      <c r="E24" s="173">
        <f>'תקציב החברה לפיתוח 2021 '!E24</f>
        <v>27700000</v>
      </c>
      <c r="F24" s="173">
        <f>'תקציב החברה לפיתוח 2021 '!F24</f>
        <v>0</v>
      </c>
      <c r="G24" s="173">
        <f>'תקציב החברה לפיתוח 2021 '!G24</f>
        <v>21700000</v>
      </c>
      <c r="H24" s="173">
        <f>'תקציב החברה לפיתוח 2021 '!H24</f>
        <v>16804922</v>
      </c>
      <c r="I24" s="173">
        <f>'תקציב החברה לפיתוח 2021 '!I24</f>
        <v>0</v>
      </c>
      <c r="J24" s="173">
        <f>'תקציב החברה לפיתוח 2021 '!J24</f>
        <v>1207126</v>
      </c>
      <c r="K24" s="173">
        <f>'תקציב החברה לפיתוח 2021 '!K24</f>
        <v>1207126</v>
      </c>
      <c r="L24" s="173">
        <f>'תקציב החברה לפיתוח 2021 '!L24</f>
        <v>18012048</v>
      </c>
      <c r="M24" s="173">
        <f>'תקציב החברה לפיתוח 2021 '!M24</f>
        <v>3687952</v>
      </c>
      <c r="N24" s="173">
        <f>'תקציב החברה לפיתוח 2021 '!N24</f>
        <v>2000000</v>
      </c>
      <c r="O24" s="173">
        <f>'תקציב החברה לפיתוח 2021 '!O24</f>
        <v>4000000</v>
      </c>
      <c r="P24" s="173">
        <f>'תקציב החברה לפיתוח 2021 '!P24</f>
        <v>3687952</v>
      </c>
      <c r="Q24" s="173">
        <f>'תקציב החברה לפיתוח 2021 '!Q24</f>
        <v>0</v>
      </c>
      <c r="R24" s="173">
        <f>'תקציב החברה לפיתוח 2021 '!R24</f>
        <v>0</v>
      </c>
      <c r="S24" s="173">
        <f>'תקציב החברה לפיתוח 2021 '!S24</f>
        <v>0</v>
      </c>
      <c r="T24" s="173">
        <f>'תקציב החברה לפיתוח 2021 '!T24</f>
        <v>0</v>
      </c>
      <c r="U24" s="173">
        <f>'תקציב החברה לפיתוח 2021 '!U24</f>
        <v>2000000</v>
      </c>
      <c r="V24" s="173">
        <f>'תקציב החברה לפיתוח 2021 '!V24</f>
        <v>2000000</v>
      </c>
      <c r="W24" s="173">
        <f>'תקציב החברה לפיתוח 2021 '!W24</f>
        <v>0</v>
      </c>
      <c r="X24" s="173">
        <f>'תקציב החברה לפיתוח 2021 '!X24</f>
        <v>0</v>
      </c>
      <c r="Y24" s="173">
        <f>'תקציב החברה לפיתוח 2021 '!Y24</f>
        <v>0</v>
      </c>
      <c r="Z24" s="173">
        <f>'תקציב החברה לפיתוח 2021 '!Z24</f>
        <v>0</v>
      </c>
      <c r="AA24" s="173">
        <f>'תקציב החברה לפיתוח 2021 '!AA24</f>
        <v>0</v>
      </c>
      <c r="AB24" s="293" t="str">
        <f>'תקציב החברה לפיתוח 2021 '!AB24</f>
        <v>המשך עבודות פיתוח במתחם הר' 1903 הרצליה הילס. פיתוח שצ"פ מערבי.</v>
      </c>
      <c r="AC24" s="172">
        <f>'תקציב החברה לפיתוח 2021 '!AC24</f>
        <v>742000</v>
      </c>
      <c r="AD24" s="284"/>
      <c r="AE24" s="284"/>
      <c r="AF24" s="166"/>
      <c r="AG24" s="166"/>
      <c r="AH24" s="166"/>
      <c r="AI24" s="166"/>
      <c r="AJ24" s="166"/>
    </row>
    <row r="25" spans="1:36" s="176" customFormat="1" ht="42">
      <c r="A25" s="172">
        <f t="shared" si="2"/>
        <v>20</v>
      </c>
      <c r="B25" s="172">
        <f>'תקציב החברה לפיתוח 2021 '!B25</f>
        <v>1657</v>
      </c>
      <c r="C25" s="326" t="str">
        <f>'תקציב החברה לפיתוח 2021 '!C25</f>
        <v>פיתוח מתחם "מרינה לי"</v>
      </c>
      <c r="D25" s="173">
        <f>'תקציב החברה לפיתוח 2021 '!D25</f>
        <v>60000000</v>
      </c>
      <c r="E25" s="173">
        <f>'תקציב החברה לפיתוח 2021 '!E25</f>
        <v>60000000</v>
      </c>
      <c r="F25" s="173">
        <f>'תקציב החברה לפיתוח 2021 '!F25</f>
        <v>0</v>
      </c>
      <c r="G25" s="173">
        <f>'תקציב החברה לפיתוח 2021 '!G25</f>
        <v>21200000</v>
      </c>
      <c r="H25" s="173">
        <f>'תקציב החברה לפיתוח 2021 '!H25</f>
        <v>16505191</v>
      </c>
      <c r="I25" s="173">
        <f>'תקציב החברה לפיתוח 2021 '!I25</f>
        <v>0</v>
      </c>
      <c r="J25" s="173">
        <f>'תקציב החברה לפיתוח 2021 '!J25</f>
        <v>1238291</v>
      </c>
      <c r="K25" s="173">
        <f>'תקציב החברה לפיתוח 2021 '!K25</f>
        <v>1238291</v>
      </c>
      <c r="L25" s="173">
        <f>'תקציב החברה לפיתוח 2021 '!L25</f>
        <v>17743482</v>
      </c>
      <c r="M25" s="173">
        <f>'תקציב החברה לפיתוח 2021 '!M25</f>
        <v>3456518</v>
      </c>
      <c r="N25" s="173">
        <f>'תקציב החברה לפיתוח 2021 '!N25</f>
        <v>15000000</v>
      </c>
      <c r="O25" s="173">
        <f>'תקציב החברה לפיתוח 2021 '!O25</f>
        <v>23800000</v>
      </c>
      <c r="P25" s="173">
        <f>'תקציב החברה לפיתוח 2021 '!P25</f>
        <v>3456518</v>
      </c>
      <c r="Q25" s="173">
        <f>'תקציב החברה לפיתוח 2021 '!Q25</f>
        <v>0</v>
      </c>
      <c r="R25" s="173">
        <f>'תקציב החברה לפיתוח 2021 '!R25</f>
        <v>0</v>
      </c>
      <c r="S25" s="173">
        <f>'תקציב החברה לפיתוח 2021 '!S25</f>
        <v>0</v>
      </c>
      <c r="T25" s="173">
        <f>'תקציב החברה לפיתוח 2021 '!T25</f>
        <v>0</v>
      </c>
      <c r="U25" s="173">
        <f>'תקציב החברה לפיתוח 2021 '!U25</f>
        <v>15000000</v>
      </c>
      <c r="V25" s="173">
        <f>'תקציב החברה לפיתוח 2021 '!V25</f>
        <v>15000000</v>
      </c>
      <c r="W25" s="173">
        <f>'תקציב החברה לפיתוח 2021 '!W25</f>
        <v>0</v>
      </c>
      <c r="X25" s="173">
        <f>'תקציב החברה לפיתוח 2021 '!X25</f>
        <v>0</v>
      </c>
      <c r="Y25" s="173">
        <f>'תקציב החברה לפיתוח 2021 '!Y25</f>
        <v>0</v>
      </c>
      <c r="Z25" s="173">
        <f>'תקציב החברה לפיתוח 2021 '!Z25</f>
        <v>0</v>
      </c>
      <c r="AA25" s="173">
        <f>'תקציב החברה לפיתוח 2021 '!AA25</f>
        <v>0</v>
      </c>
      <c r="AB25" s="293" t="str">
        <f>'תקציב החברה לפיתוח 2021 '!AB25</f>
        <v>ביצוע פיתוח ותשתית במתחם "מרינה לי". התחלת ביצוע שלב ב'.</v>
      </c>
      <c r="AC25" s="172">
        <f>'תקציב החברה לפיתוח 2021 '!AC25</f>
        <v>742000</v>
      </c>
      <c r="AD25" s="284"/>
      <c r="AE25" s="284"/>
      <c r="AF25" s="166"/>
      <c r="AG25" s="166"/>
      <c r="AH25" s="166"/>
      <c r="AI25" s="166"/>
      <c r="AJ25" s="166"/>
    </row>
    <row r="26" spans="1:36" s="176" customFormat="1">
      <c r="A26" s="172">
        <f t="shared" si="2"/>
        <v>21</v>
      </c>
      <c r="B26" s="172">
        <f>'תקציב החברה לפיתוח 2021 '!B29</f>
        <v>1819</v>
      </c>
      <c r="C26" s="326" t="str">
        <f>'תקציב החברה לפיתוח 2021 '!C29</f>
        <v>פיתוח רח' צ.ה.ל</v>
      </c>
      <c r="D26" s="173">
        <f>'תקציב החברה לפיתוח 2021 '!D29</f>
        <v>18000000</v>
      </c>
      <c r="E26" s="173">
        <f>'תקציב החברה לפיתוח 2021 '!E29</f>
        <v>18000000</v>
      </c>
      <c r="F26" s="173">
        <f>'תקציב החברה לפיתוח 2021 '!F29</f>
        <v>0</v>
      </c>
      <c r="G26" s="173">
        <f>'תקציב החברה לפיתוח 2021 '!G29</f>
        <v>16000000</v>
      </c>
      <c r="H26" s="173">
        <f>'תקציב החברה לפיתוח 2021 '!H29</f>
        <v>2505332</v>
      </c>
      <c r="I26" s="173">
        <f>'תקציב החברה לפיתוח 2021 '!I29</f>
        <v>0</v>
      </c>
      <c r="J26" s="173">
        <f>'תקציב החברה לפיתוח 2021 '!J29</f>
        <v>622623</v>
      </c>
      <c r="K26" s="173">
        <f>'תקציב החברה לפיתוח 2021 '!K29</f>
        <v>622623</v>
      </c>
      <c r="L26" s="173">
        <f>'תקציב החברה לפיתוח 2021 '!L29</f>
        <v>3127955</v>
      </c>
      <c r="M26" s="173">
        <f>'תקציב החברה לפיתוח 2021 '!M29</f>
        <v>12872045</v>
      </c>
      <c r="N26" s="173">
        <f>'תקציב החברה לפיתוח 2021 '!N29</f>
        <v>2000000</v>
      </c>
      <c r="O26" s="173">
        <f>'תקציב החברה לפיתוח 2021 '!O29</f>
        <v>0</v>
      </c>
      <c r="P26" s="173">
        <f>'תקציב החברה לפיתוח 2021 '!P29</f>
        <v>12872045</v>
      </c>
      <c r="Q26" s="173">
        <f>'תקציב החברה לפיתוח 2021 '!Q29</f>
        <v>0</v>
      </c>
      <c r="R26" s="173">
        <f>'תקציב החברה לפיתוח 2021 '!R29</f>
        <v>0</v>
      </c>
      <c r="S26" s="173">
        <f>'תקציב החברה לפיתוח 2021 '!S29</f>
        <v>0</v>
      </c>
      <c r="T26" s="173">
        <f>'תקציב החברה לפיתוח 2021 '!T29</f>
        <v>0</v>
      </c>
      <c r="U26" s="173">
        <f>'תקציב החברה לפיתוח 2021 '!U29</f>
        <v>2000000</v>
      </c>
      <c r="V26" s="173">
        <f>'תקציב החברה לפיתוח 2021 '!V29</f>
        <v>2000000</v>
      </c>
      <c r="W26" s="173">
        <f>'תקציב החברה לפיתוח 2021 '!W29</f>
        <v>0</v>
      </c>
      <c r="X26" s="173">
        <f>'תקציב החברה לפיתוח 2021 '!X29</f>
        <v>0</v>
      </c>
      <c r="Y26" s="173">
        <f>'תקציב החברה לפיתוח 2021 '!Y29</f>
        <v>0</v>
      </c>
      <c r="Z26" s="173">
        <f>'תקציב החברה לפיתוח 2021 '!Z29</f>
        <v>0</v>
      </c>
      <c r="AA26" s="173">
        <f>'תקציב החברה לפיתוח 2021 '!AA29</f>
        <v>0</v>
      </c>
      <c r="AB26" s="293" t="str">
        <f>'תקציב החברה לפיתוח 2021 '!AB29</f>
        <v>המשך פיתוח רחוב צ.ה.ל .</v>
      </c>
      <c r="AC26" s="172">
        <f>'תקציב החברה לפיתוח 2021 '!AC29</f>
        <v>742000</v>
      </c>
      <c r="AD26" s="284"/>
      <c r="AE26" s="284"/>
      <c r="AF26" s="166"/>
      <c r="AG26" s="166"/>
      <c r="AH26" s="166"/>
      <c r="AI26" s="166"/>
      <c r="AJ26" s="166"/>
    </row>
    <row r="27" spans="1:36" s="176" customFormat="1" ht="56">
      <c r="A27" s="172">
        <f t="shared" si="2"/>
        <v>22</v>
      </c>
      <c r="B27" s="172">
        <f>'תקציב החברה לפיתוח 2021 '!B33</f>
        <v>1845</v>
      </c>
      <c r="C27" s="326" t="str">
        <f>'תקציב החברה לפיתוח 2021 '!C33</f>
        <v>חניונים הר'1900 -שינוי תב"ע</v>
      </c>
      <c r="D27" s="173">
        <f>'תקציב החברה לפיתוח 2021 '!D33</f>
        <v>6000000</v>
      </c>
      <c r="E27" s="173">
        <f>'תקציב החברה לפיתוח 2021 '!E33</f>
        <v>6000000</v>
      </c>
      <c r="F27" s="173">
        <f>'תקציב החברה לפיתוח 2021 '!F33</f>
        <v>0</v>
      </c>
      <c r="G27" s="173">
        <f>'תקציב החברה לפיתוח 2021 '!G33</f>
        <v>740000</v>
      </c>
      <c r="H27" s="173">
        <f>'תקציב החברה לפיתוח 2021 '!H33</f>
        <v>736454</v>
      </c>
      <c r="I27" s="173">
        <f>'תקציב החברה לפיתוח 2021 '!I33</f>
        <v>0</v>
      </c>
      <c r="J27" s="173">
        <f>'תקציב החברה לפיתוח 2021 '!J33</f>
        <v>3544</v>
      </c>
      <c r="K27" s="173">
        <f>'תקציב החברה לפיתוח 2021 '!K33</f>
        <v>3544</v>
      </c>
      <c r="L27" s="173">
        <f>'תקציב החברה לפיתוח 2021 '!L33</f>
        <v>739998</v>
      </c>
      <c r="M27" s="173">
        <f>'תקציב החברה לפיתוח 2021 '!M33</f>
        <v>2</v>
      </c>
      <c r="N27" s="173">
        <f>'תקציב החברה לפיתוח 2021 '!N33</f>
        <v>1000000</v>
      </c>
      <c r="O27" s="173">
        <f>'תקציב החברה לפיתוח 2021 '!O33</f>
        <v>4260000</v>
      </c>
      <c r="P27" s="173">
        <f>'תקציב החברה לפיתוח 2021 '!P33</f>
        <v>2</v>
      </c>
      <c r="Q27" s="173">
        <f>'תקציב החברה לפיתוח 2021 '!Q33</f>
        <v>0</v>
      </c>
      <c r="R27" s="173">
        <f>'תקציב החברה לפיתוח 2021 '!R33</f>
        <v>0</v>
      </c>
      <c r="S27" s="173">
        <f>'תקציב החברה לפיתוח 2021 '!S33</f>
        <v>0</v>
      </c>
      <c r="T27" s="173">
        <f>'תקציב החברה לפיתוח 2021 '!T33</f>
        <v>0</v>
      </c>
      <c r="U27" s="173">
        <f>'תקציב החברה לפיתוח 2021 '!U33</f>
        <v>1000000</v>
      </c>
      <c r="V27" s="173">
        <f>'תקציב החברה לפיתוח 2021 '!V33</f>
        <v>1000000</v>
      </c>
      <c r="W27" s="173">
        <f>'תקציב החברה לפיתוח 2021 '!W33</f>
        <v>0</v>
      </c>
      <c r="X27" s="173">
        <f>'תקציב החברה לפיתוח 2021 '!X33</f>
        <v>0</v>
      </c>
      <c r="Y27" s="173">
        <f>'תקציב החברה לפיתוח 2021 '!Y33</f>
        <v>0</v>
      </c>
      <c r="Z27" s="173">
        <f>'תקציב החברה לפיתוח 2021 '!Z33</f>
        <v>0</v>
      </c>
      <c r="AA27" s="173">
        <f>'תקציב החברה לפיתוח 2021 '!AA33</f>
        <v>0</v>
      </c>
      <c r="AB27" s="293" t="str">
        <f>'תקציב החברה לפיתוח 2021 '!AB33</f>
        <v>תכנון במסגרת שינוי תב"ע חניונים הר' 1900. חניונים: משכית (תכנון מפורט), גלגלי הפלדה.</v>
      </c>
      <c r="AC27" s="172">
        <f>'תקציב החברה לפיתוח 2021 '!AC33</f>
        <v>742000</v>
      </c>
      <c r="AD27" s="284"/>
      <c r="AE27" s="284"/>
      <c r="AF27" s="166"/>
      <c r="AG27" s="166"/>
      <c r="AH27" s="166"/>
      <c r="AI27" s="166"/>
      <c r="AJ27" s="166"/>
    </row>
    <row r="28" spans="1:36" s="176" customFormat="1" ht="42">
      <c r="A28" s="172">
        <f t="shared" si="2"/>
        <v>23</v>
      </c>
      <c r="B28" s="172">
        <f>'תקציב החברה לפיתוח 2021 '!B34</f>
        <v>1872</v>
      </c>
      <c r="C28" s="326" t="str">
        <f>'תקציב החברה לפיתוח 2021 '!C34</f>
        <v>הסדרת צומת ברנר בר כוכבא בן גוריון</v>
      </c>
      <c r="D28" s="173">
        <f>'תקציב החברה לפיתוח 2021 '!D34</f>
        <v>1160000</v>
      </c>
      <c r="E28" s="173">
        <f>'תקציב החברה לפיתוח 2021 '!E34</f>
        <v>1160000</v>
      </c>
      <c r="F28" s="173">
        <f>'תקציב החברה לפיתוח 2021 '!F34</f>
        <v>0</v>
      </c>
      <c r="G28" s="173">
        <f>'תקציב החברה לפיתוח 2021 '!G34</f>
        <v>1160000</v>
      </c>
      <c r="H28" s="173">
        <f>'תקציב החברה לפיתוח 2021 '!H34</f>
        <v>711356</v>
      </c>
      <c r="I28" s="173">
        <f>'תקציב החברה לפיתוח 2021 '!I34</f>
        <v>0</v>
      </c>
      <c r="J28" s="173">
        <f>'תקציב החברה לפיתוח 2021 '!J34</f>
        <v>448330</v>
      </c>
      <c r="K28" s="173">
        <f>'תקציב החברה לפיתוח 2021 '!K34</f>
        <v>448330</v>
      </c>
      <c r="L28" s="173">
        <f>'תקציב החברה לפיתוח 2021 '!L34</f>
        <v>1159686</v>
      </c>
      <c r="M28" s="173">
        <f>'תקציב החברה לפיתוח 2021 '!M34</f>
        <v>314</v>
      </c>
      <c r="N28" s="173">
        <f>'תקציב החברה לפיתוח 2021 '!N34</f>
        <v>0</v>
      </c>
      <c r="O28" s="173">
        <f>'תקציב החברה לפיתוח 2021 '!O34</f>
        <v>0</v>
      </c>
      <c r="P28" s="173">
        <f>'תקציב החברה לפיתוח 2021 '!P34</f>
        <v>314</v>
      </c>
      <c r="Q28" s="173">
        <f>'תקציב החברה לפיתוח 2021 '!Q34</f>
        <v>0</v>
      </c>
      <c r="R28" s="173">
        <f>'תקציב החברה לפיתוח 2021 '!R34</f>
        <v>0</v>
      </c>
      <c r="S28" s="173">
        <f>'תקציב החברה לפיתוח 2021 '!S34</f>
        <v>0</v>
      </c>
      <c r="T28" s="173">
        <f>'תקציב החברה לפיתוח 2021 '!T34</f>
        <v>0</v>
      </c>
      <c r="U28" s="173">
        <f>'תקציב החברה לפיתוח 2021 '!U34</f>
        <v>0</v>
      </c>
      <c r="V28" s="173">
        <f>'תקציב החברה לפיתוח 2021 '!V34</f>
        <v>0</v>
      </c>
      <c r="W28" s="173">
        <f>'תקציב החברה לפיתוח 2021 '!W34</f>
        <v>0</v>
      </c>
      <c r="X28" s="173">
        <f>'תקציב החברה לפיתוח 2021 '!X34</f>
        <v>0</v>
      </c>
      <c r="Y28" s="173">
        <f>'תקציב החברה לפיתוח 2021 '!Y34</f>
        <v>0</v>
      </c>
      <c r="Z28" s="173">
        <f>'תקציב החברה לפיתוח 2021 '!Z34</f>
        <v>0</v>
      </c>
      <c r="AA28" s="173">
        <f>'תקציב החברה לפיתוח 2021 '!AA34</f>
        <v>0</v>
      </c>
      <c r="AB28" s="293" t="str">
        <f>'תקציב החברה לפיתוח 2021 '!AB34</f>
        <v>הסדרת ניקוז בצומת הרחובות. מימון מ. התחבורה. ח-ן סופיים.</v>
      </c>
      <c r="AC28" s="172">
        <f>'תקציב החברה לפיתוח 2021 '!AC34</f>
        <v>742000</v>
      </c>
      <c r="AD28" s="284"/>
      <c r="AE28" s="284"/>
      <c r="AF28" s="166"/>
      <c r="AG28" s="166"/>
      <c r="AH28" s="166"/>
      <c r="AI28" s="166"/>
      <c r="AJ28" s="166"/>
    </row>
    <row r="29" spans="1:36" ht="28">
      <c r="A29" s="172">
        <f t="shared" si="2"/>
        <v>24</v>
      </c>
      <c r="B29" s="172">
        <f>'תקציב החברה לפיתוח 2021 '!B36</f>
        <v>1904</v>
      </c>
      <c r="C29" s="326" t="str">
        <f>'תקציב החברה לפיתוח 2021 '!C36</f>
        <v>קו ניקוז שער הים</v>
      </c>
      <c r="D29" s="173">
        <f>'תקציב החברה לפיתוח 2021 '!D36</f>
        <v>5700000</v>
      </c>
      <c r="E29" s="173">
        <f>'תקציב החברה לפיתוח 2021 '!E36</f>
        <v>5700000</v>
      </c>
      <c r="F29" s="173">
        <f>'תקציב החברה לפיתוח 2021 '!F36</f>
        <v>0</v>
      </c>
      <c r="G29" s="173">
        <f>'תקציב החברה לפיתוח 2021 '!G36</f>
        <v>4800000</v>
      </c>
      <c r="H29" s="173">
        <f>'תקציב החברה לפיתוח 2021 '!H36</f>
        <v>4143323</v>
      </c>
      <c r="I29" s="173">
        <f>'תקציב החברה לפיתוח 2021 '!I36</f>
        <v>0</v>
      </c>
      <c r="J29" s="173">
        <f>'תקציב החברה לפיתוח 2021 '!J36</f>
        <v>492020</v>
      </c>
      <c r="K29" s="173">
        <f>'תקציב החברה לפיתוח 2021 '!K36</f>
        <v>492020</v>
      </c>
      <c r="L29" s="173">
        <f>'תקציב החברה לפיתוח 2021 '!L36</f>
        <v>4635343</v>
      </c>
      <c r="M29" s="173">
        <f>'תקציב החברה לפיתוח 2021 '!M36</f>
        <v>164657</v>
      </c>
      <c r="N29" s="173">
        <f>'תקציב החברה לפיתוח 2021 '!N36</f>
        <v>0</v>
      </c>
      <c r="O29" s="173">
        <f>'תקציב החברה לפיתוח 2021 '!O36</f>
        <v>900000</v>
      </c>
      <c r="P29" s="173">
        <f>'תקציב החברה לפיתוח 2021 '!P36</f>
        <v>164657</v>
      </c>
      <c r="Q29" s="173">
        <f>'תקציב החברה לפיתוח 2021 '!Q36</f>
        <v>0</v>
      </c>
      <c r="R29" s="173">
        <f>'תקציב החברה לפיתוח 2021 '!R36</f>
        <v>0</v>
      </c>
      <c r="S29" s="173">
        <f>'תקציב החברה לפיתוח 2021 '!S36</f>
        <v>0</v>
      </c>
      <c r="T29" s="173">
        <f>'תקציב החברה לפיתוח 2021 '!T36</f>
        <v>0</v>
      </c>
      <c r="U29" s="173">
        <f>'תקציב החברה לפיתוח 2021 '!U36</f>
        <v>0</v>
      </c>
      <c r="V29" s="173">
        <f>'תקציב החברה לפיתוח 2021 '!V36</f>
        <v>0</v>
      </c>
      <c r="W29" s="173">
        <f>'תקציב החברה לפיתוח 2021 '!W36</f>
        <v>0</v>
      </c>
      <c r="X29" s="173">
        <f>'תקציב החברה לפיתוח 2021 '!X36</f>
        <v>0</v>
      </c>
      <c r="Y29" s="173">
        <f>'תקציב החברה לפיתוח 2021 '!Y36</f>
        <v>0</v>
      </c>
      <c r="Z29" s="173">
        <f>'תקציב החברה לפיתוח 2021 '!Z36</f>
        <v>0</v>
      </c>
      <c r="AA29" s="173">
        <f>'תקציב החברה לפיתוח 2021 '!AA36</f>
        <v>0</v>
      </c>
      <c r="AB29" s="293" t="str">
        <f>'תקציב החברה לפיתוח 2021 '!AB36</f>
        <v xml:space="preserve">עבודות פיתוח כולל קו ניקוז רחוב שער הים. </v>
      </c>
      <c r="AC29" s="172">
        <f>'תקציב החברה לפיתוח 2021 '!AC36</f>
        <v>742000</v>
      </c>
    </row>
    <row r="30" spans="1:36" ht="27.65" customHeight="1">
      <c r="A30" s="172">
        <f t="shared" si="2"/>
        <v>25</v>
      </c>
      <c r="B30" s="172">
        <f>'תקציב החברה לפיתוח 2021 '!B39</f>
        <v>1953</v>
      </c>
      <c r="C30" s="326" t="str">
        <f>'תקציב החברה לפיתוח 2021 '!C39</f>
        <v>השקעה בתשתיות והרחבת  חניונים</v>
      </c>
      <c r="D30" s="173">
        <f>'תקציב החברה לפיתוח 2021 '!D39</f>
        <v>5300000</v>
      </c>
      <c r="E30" s="173">
        <f>'תקציב החברה לפיתוח 2021 '!E39</f>
        <v>5300000</v>
      </c>
      <c r="F30" s="173">
        <f>'תקציב החברה לפיתוח 2021 '!F39</f>
        <v>0</v>
      </c>
      <c r="G30" s="173">
        <f>'תקציב החברה לפיתוח 2021 '!G39</f>
        <v>5300000</v>
      </c>
      <c r="H30" s="173">
        <f>'תקציב החברה לפיתוח 2021 '!H39</f>
        <v>3138324</v>
      </c>
      <c r="I30" s="173">
        <f>'תקציב החברה לפיתוח 2021 '!I39</f>
        <v>0</v>
      </c>
      <c r="J30" s="173">
        <f>'תקציב החברה לפיתוח 2021 '!J39</f>
        <v>273206</v>
      </c>
      <c r="K30" s="173">
        <f>'תקציב החברה לפיתוח 2021 '!K39</f>
        <v>273206</v>
      </c>
      <c r="L30" s="173">
        <f>'תקציב החברה לפיתוח 2021 '!L39</f>
        <v>3411530</v>
      </c>
      <c r="M30" s="173">
        <f>'תקציב החברה לפיתוח 2021 '!M39</f>
        <v>1888470</v>
      </c>
      <c r="N30" s="173">
        <f>'תקציב החברה לפיתוח 2021 '!N39</f>
        <v>0</v>
      </c>
      <c r="O30" s="173">
        <f>'תקציב החברה לפיתוח 2021 '!O39</f>
        <v>0</v>
      </c>
      <c r="P30" s="173">
        <f>'תקציב החברה לפיתוח 2021 '!P39</f>
        <v>1888470</v>
      </c>
      <c r="Q30" s="173">
        <f>'תקציב החברה לפיתוח 2021 '!Q39</f>
        <v>0</v>
      </c>
      <c r="R30" s="173">
        <f>'תקציב החברה לפיתוח 2021 '!R39</f>
        <v>0</v>
      </c>
      <c r="S30" s="173">
        <f>'תקציב החברה לפיתוח 2021 '!S39</f>
        <v>0</v>
      </c>
      <c r="T30" s="173">
        <f>'תקציב החברה לפיתוח 2021 '!T39</f>
        <v>0</v>
      </c>
      <c r="U30" s="173">
        <f>'תקציב החברה לפיתוח 2021 '!U39</f>
        <v>0</v>
      </c>
      <c r="V30" s="173">
        <f>'תקציב החברה לפיתוח 2021 '!V39</f>
        <v>0</v>
      </c>
      <c r="W30" s="173">
        <f>'תקציב החברה לפיתוח 2021 '!W39</f>
        <v>0</v>
      </c>
      <c r="X30" s="173">
        <f>'תקציב החברה לפיתוח 2021 '!X39</f>
        <v>0</v>
      </c>
      <c r="Y30" s="173">
        <f>'תקציב החברה לפיתוח 2021 '!Y39</f>
        <v>0</v>
      </c>
      <c r="Z30" s="173">
        <f>'תקציב החברה לפיתוח 2021 '!Z39</f>
        <v>0</v>
      </c>
      <c r="AA30" s="173">
        <f>'תקציב החברה לפיתוח 2021 '!AA39</f>
        <v>0</v>
      </c>
      <c r="AB30" s="293" t="str">
        <f>'תקציב החברה לפיתוח 2021 '!AB39</f>
        <v>השקעה בתשתיות ובמערכות מיכון בחניונים ברחבי העיר.</v>
      </c>
      <c r="AC30" s="172">
        <f>'תקציב החברה לפיתוח 2021 '!AC39</f>
        <v>742000</v>
      </c>
    </row>
    <row r="31" spans="1:36" ht="28">
      <c r="A31" s="172">
        <f t="shared" si="2"/>
        <v>26</v>
      </c>
      <c r="B31" s="172">
        <f>'תקציב החברה לפיתוח 2021 '!B40</f>
        <v>1954</v>
      </c>
      <c r="C31" s="326" t="str">
        <f>'תקציב החברה לפיתוח 2021 '!C40</f>
        <v xml:space="preserve">חניון המוסכים-תכנון </v>
      </c>
      <c r="D31" s="173">
        <f>'תקציב החברה לפיתוח 2021 '!D40</f>
        <v>2000000</v>
      </c>
      <c r="E31" s="173">
        <f>'תקציב החברה לפיתוח 2021 '!E40</f>
        <v>2000000</v>
      </c>
      <c r="F31" s="173">
        <f>'תקציב החברה לפיתוח 2021 '!F40</f>
        <v>0</v>
      </c>
      <c r="G31" s="173">
        <f>'תקציב החברה לפיתוח 2021 '!G40</f>
        <v>2000000</v>
      </c>
      <c r="H31" s="173">
        <f>'תקציב החברה לפיתוח 2021 '!H40</f>
        <v>1238534</v>
      </c>
      <c r="I31" s="173">
        <f>'תקציב החברה לפיתוח 2021 '!I40</f>
        <v>0</v>
      </c>
      <c r="J31" s="173">
        <f>'תקציב החברה לפיתוח 2021 '!J40</f>
        <v>754385</v>
      </c>
      <c r="K31" s="173">
        <f>'תקציב החברה לפיתוח 2021 '!K40</f>
        <v>754385</v>
      </c>
      <c r="L31" s="173">
        <f>'תקציב החברה לפיתוח 2021 '!L40</f>
        <v>1992919</v>
      </c>
      <c r="M31" s="173">
        <f>'תקציב החברה לפיתוח 2021 '!M40</f>
        <v>7081</v>
      </c>
      <c r="N31" s="173">
        <f>'תקציב החברה לפיתוח 2021 '!N40</f>
        <v>0</v>
      </c>
      <c r="O31" s="173">
        <f>'תקציב החברה לפיתוח 2021 '!O40</f>
        <v>0</v>
      </c>
      <c r="P31" s="173">
        <f>'תקציב החברה לפיתוח 2021 '!P40</f>
        <v>7081</v>
      </c>
      <c r="Q31" s="173">
        <f>'תקציב החברה לפיתוח 2021 '!Q40</f>
        <v>0</v>
      </c>
      <c r="R31" s="173">
        <f>'תקציב החברה לפיתוח 2021 '!R40</f>
        <v>0</v>
      </c>
      <c r="S31" s="173">
        <f>'תקציב החברה לפיתוח 2021 '!S40</f>
        <v>0</v>
      </c>
      <c r="T31" s="173">
        <f>'תקציב החברה לפיתוח 2021 '!T40</f>
        <v>0</v>
      </c>
      <c r="U31" s="173">
        <f>'תקציב החברה לפיתוח 2021 '!U40</f>
        <v>0</v>
      </c>
      <c r="V31" s="173">
        <f>'תקציב החברה לפיתוח 2021 '!V40</f>
        <v>0</v>
      </c>
      <c r="W31" s="173">
        <f>'תקציב החברה לפיתוח 2021 '!W40</f>
        <v>0</v>
      </c>
      <c r="X31" s="173">
        <f>'תקציב החברה לפיתוח 2021 '!X40</f>
        <v>0</v>
      </c>
      <c r="Y31" s="173">
        <f>'תקציב החברה לפיתוח 2021 '!Y40</f>
        <v>0</v>
      </c>
      <c r="Z31" s="173">
        <f>'תקציב החברה לפיתוח 2021 '!Z40</f>
        <v>0</v>
      </c>
      <c r="AA31" s="173">
        <f>'תקציב החברה לפיתוח 2021 '!AA40</f>
        <v>0</v>
      </c>
      <c r="AB31" s="293" t="str">
        <f>'תקציב החברה לפיתוח 2021 '!AB40</f>
        <v>המשך תכנון חניון ברח' מדינת היהודים.</v>
      </c>
      <c r="AC31" s="172">
        <f>'תקציב החברה לפיתוח 2021 '!AC40</f>
        <v>742000</v>
      </c>
    </row>
    <row r="32" spans="1:36" s="176" customFormat="1" ht="28">
      <c r="A32" s="172">
        <f t="shared" si="2"/>
        <v>27</v>
      </c>
      <c r="B32" s="172">
        <f>'תקציב החברה לפיתוח 2021 '!B42</f>
        <v>1961</v>
      </c>
      <c r="C32" s="326" t="str">
        <f>'תקציב החברה לפיתוח 2021 '!C42</f>
        <v>גשר מעל כביש 20</v>
      </c>
      <c r="D32" s="173">
        <f>'תקציב החברה לפיתוח 2021 '!D42</f>
        <v>128000000</v>
      </c>
      <c r="E32" s="173">
        <f>'תקציב החברה לפיתוח 2021 '!E42</f>
        <v>128000000</v>
      </c>
      <c r="F32" s="173">
        <f>'תקציב החברה לפיתוח 2021 '!F42</f>
        <v>0</v>
      </c>
      <c r="G32" s="173">
        <f>'תקציב החברה לפיתוח 2021 '!G42</f>
        <v>1500000</v>
      </c>
      <c r="H32" s="173">
        <f>'תקציב החברה לפיתוח 2021 '!H42</f>
        <v>0</v>
      </c>
      <c r="I32" s="173">
        <f>'תקציב החברה לפיתוח 2021 '!I42</f>
        <v>0</v>
      </c>
      <c r="J32" s="173">
        <f>'תקציב החברה לפיתוח 2021 '!J42</f>
        <v>0</v>
      </c>
      <c r="K32" s="173">
        <f>'תקציב החברה לפיתוח 2021 '!K42</f>
        <v>0</v>
      </c>
      <c r="L32" s="173">
        <f>'תקציב החברה לפיתוח 2021 '!L42</f>
        <v>0</v>
      </c>
      <c r="M32" s="173">
        <f>'תקציב החברה לפיתוח 2021 '!M42</f>
        <v>500000</v>
      </c>
      <c r="N32" s="173">
        <f>'תקציב החברה לפיתוח 2021 '!N42</f>
        <v>0</v>
      </c>
      <c r="O32" s="173">
        <f>'תקציב החברה לפיתוח 2021 '!O42</f>
        <v>127500000</v>
      </c>
      <c r="P32" s="173">
        <f>'תקציב החברה לפיתוח 2021 '!P42</f>
        <v>1500000</v>
      </c>
      <c r="Q32" s="173">
        <f>'תקציב החברה לפיתוח 2021 '!Q42</f>
        <v>0</v>
      </c>
      <c r="R32" s="173">
        <f>'תקציב החברה לפיתוח 2021 '!R42</f>
        <v>0</v>
      </c>
      <c r="S32" s="173">
        <f>'תקציב החברה לפיתוח 2021 '!S42</f>
        <v>0</v>
      </c>
      <c r="T32" s="173">
        <f>'תקציב החברה לפיתוח 2021 '!T42</f>
        <v>1000000</v>
      </c>
      <c r="U32" s="173">
        <f>'תקציב החברה לפיתוח 2021 '!U42</f>
        <v>-1000000</v>
      </c>
      <c r="V32" s="173">
        <f>'תקציב החברה לפיתוח 2021 '!V42</f>
        <v>-1000000</v>
      </c>
      <c r="W32" s="173">
        <f>'תקציב החברה לפיתוח 2021 '!W42</f>
        <v>0</v>
      </c>
      <c r="X32" s="173">
        <f>'תקציב החברה לפיתוח 2021 '!X42</f>
        <v>0</v>
      </c>
      <c r="Y32" s="173">
        <f>'תקציב החברה לפיתוח 2021 '!Y42</f>
        <v>0</v>
      </c>
      <c r="Z32" s="173">
        <f>'תקציב החברה לפיתוח 2021 '!Z42</f>
        <v>0</v>
      </c>
      <c r="AA32" s="173">
        <f>'תקציב החברה לפיתוח 2021 '!AA42</f>
        <v>0</v>
      </c>
      <c r="AB32" s="293" t="str">
        <f>'תקציב החברה לפיתוח 2021 '!AB42</f>
        <v xml:space="preserve">פיתוח הגשר מעל כביש 20 איזור גליל ים.  </v>
      </c>
      <c r="AC32" s="172">
        <f>'תקציב החברה לפיתוח 2021 '!AC42</f>
        <v>742000</v>
      </c>
      <c r="AD32" s="284"/>
      <c r="AE32" s="284"/>
      <c r="AF32" s="166"/>
      <c r="AG32" s="166"/>
      <c r="AH32" s="166"/>
      <c r="AI32" s="166"/>
      <c r="AJ32" s="166"/>
    </row>
    <row r="33" spans="1:36" s="176" customFormat="1" ht="28">
      <c r="A33" s="172">
        <f t="shared" si="2"/>
        <v>28</v>
      </c>
      <c r="B33" s="172">
        <f>'תקציב החברה לפיתוח 2021 '!B45</f>
        <v>2002</v>
      </c>
      <c r="C33" s="326" t="str">
        <f>'תקציב החברה לפיתוח 2021 '!C45</f>
        <v>הכשרת חניון העוגן</v>
      </c>
      <c r="D33" s="173">
        <f>'תקציב החברה לפיתוח 2021 '!D45</f>
        <v>1500000</v>
      </c>
      <c r="E33" s="173">
        <f>'תקציב החברה לפיתוח 2021 '!E45</f>
        <v>1500000</v>
      </c>
      <c r="F33" s="173">
        <f>'תקציב החברה לפיתוח 2021 '!F45</f>
        <v>0</v>
      </c>
      <c r="G33" s="173">
        <f>'תקציב החברה לפיתוח 2021 '!G45</f>
        <v>700000</v>
      </c>
      <c r="H33" s="173">
        <f>'תקציב החברה לפיתוח 2021 '!H45</f>
        <v>133342</v>
      </c>
      <c r="I33" s="173">
        <f>'תקציב החברה לפיתוח 2021 '!I45</f>
        <v>0</v>
      </c>
      <c r="J33" s="173">
        <f>'תקציב החברה לפיתוח 2021 '!J45</f>
        <v>557724</v>
      </c>
      <c r="K33" s="173">
        <f>'תקציב החברה לפיתוח 2021 '!K45</f>
        <v>557724</v>
      </c>
      <c r="L33" s="173">
        <f>'תקציב החברה לפיתוח 2021 '!L45</f>
        <v>691066</v>
      </c>
      <c r="M33" s="173">
        <f>'תקציב החברה לפיתוח 2021 '!M45</f>
        <v>8934</v>
      </c>
      <c r="N33" s="173">
        <f>'תקציב החברה לפיתוח 2021 '!N45</f>
        <v>0</v>
      </c>
      <c r="O33" s="173">
        <f>'תקציב החברה לפיתוח 2021 '!O45</f>
        <v>800000</v>
      </c>
      <c r="P33" s="173">
        <f>'תקציב החברה לפיתוח 2021 '!P45</f>
        <v>8934</v>
      </c>
      <c r="Q33" s="173">
        <f>'תקציב החברה לפיתוח 2021 '!Q45</f>
        <v>0</v>
      </c>
      <c r="R33" s="173">
        <f>'תקציב החברה לפיתוח 2021 '!R45</f>
        <v>0</v>
      </c>
      <c r="S33" s="173">
        <f>'תקציב החברה לפיתוח 2021 '!S45</f>
        <v>0</v>
      </c>
      <c r="T33" s="173">
        <f>'תקציב החברה לפיתוח 2021 '!T45</f>
        <v>0</v>
      </c>
      <c r="U33" s="173">
        <f>'תקציב החברה לפיתוח 2021 '!U45</f>
        <v>0</v>
      </c>
      <c r="V33" s="173">
        <f>'תקציב החברה לפיתוח 2021 '!V45</f>
        <v>0</v>
      </c>
      <c r="W33" s="173">
        <f>'תקציב החברה לפיתוח 2021 '!W45</f>
        <v>0</v>
      </c>
      <c r="X33" s="173">
        <f>'תקציב החברה לפיתוח 2021 '!X45</f>
        <v>0</v>
      </c>
      <c r="Y33" s="173">
        <f>'תקציב החברה לפיתוח 2021 '!Y45</f>
        <v>0</v>
      </c>
      <c r="Z33" s="173">
        <f>'תקציב החברה לפיתוח 2021 '!Z45</f>
        <v>0</v>
      </c>
      <c r="AA33" s="173">
        <f>'תקציב החברה לפיתוח 2021 '!AA45</f>
        <v>0</v>
      </c>
      <c r="AB33" s="293" t="str">
        <f>'תקציב החברה לפיתוח 2021 '!AB45</f>
        <v>הכשרת חניון העוגן במרינה לחניון בתשלום. ממתין להיתר.</v>
      </c>
      <c r="AC33" s="172">
        <f>'תקציב החברה לפיתוח 2021 '!AC45</f>
        <v>742000</v>
      </c>
      <c r="AD33" s="284"/>
      <c r="AE33" s="284"/>
      <c r="AF33" s="166"/>
      <c r="AG33" s="166"/>
      <c r="AH33" s="166"/>
      <c r="AI33" s="166"/>
      <c r="AJ33" s="166"/>
    </row>
    <row r="34" spans="1:36" ht="42">
      <c r="A34" s="172">
        <f t="shared" si="2"/>
        <v>29</v>
      </c>
      <c r="B34" s="172">
        <f>'תקציב החברה לפיתוח 2021 '!B46</f>
        <v>2008</v>
      </c>
      <c r="C34" s="326" t="str">
        <f>'תקציב החברה לפיתוח 2021 '!C46</f>
        <v>שדרות ה - 93 הבאר</v>
      </c>
      <c r="D34" s="173">
        <f>'תקציב החברה לפיתוח 2021 '!D46</f>
        <v>2500000</v>
      </c>
      <c r="E34" s="173">
        <f>'תקציב החברה לפיתוח 2021 '!E46</f>
        <v>2500000</v>
      </c>
      <c r="F34" s="173">
        <f>'תקציב החברה לפיתוח 2021 '!F46</f>
        <v>0</v>
      </c>
      <c r="G34" s="173">
        <f>'תקציב החברה לפיתוח 2021 '!G46</f>
        <v>0</v>
      </c>
      <c r="H34" s="173">
        <f>'תקציב החברה לפיתוח 2021 '!H46</f>
        <v>0</v>
      </c>
      <c r="I34" s="173">
        <f>'תקציב החברה לפיתוח 2021 '!I46</f>
        <v>0</v>
      </c>
      <c r="J34" s="173">
        <f>'תקציב החברה לפיתוח 2021 '!J46</f>
        <v>0</v>
      </c>
      <c r="K34" s="173">
        <f>'תקציב החברה לפיתוח 2021 '!K46</f>
        <v>0</v>
      </c>
      <c r="L34" s="173">
        <f>'תקציב החברה לפיתוח 2021 '!L46</f>
        <v>0</v>
      </c>
      <c r="M34" s="173">
        <f>'תקציב החברה לפיתוח 2021 '!M46</f>
        <v>0</v>
      </c>
      <c r="N34" s="173">
        <f>'תקציב החברה לפיתוח 2021 '!N46</f>
        <v>0</v>
      </c>
      <c r="O34" s="173">
        <f>'תקציב החברה לפיתוח 2021 '!O46</f>
        <v>2500000</v>
      </c>
      <c r="P34" s="173">
        <f>'תקציב החברה לפיתוח 2021 '!P46</f>
        <v>0</v>
      </c>
      <c r="Q34" s="173">
        <f>'תקציב החברה לפיתוח 2021 '!Q46</f>
        <v>0</v>
      </c>
      <c r="R34" s="173">
        <f>'תקציב החברה לפיתוח 2021 '!R46</f>
        <v>0</v>
      </c>
      <c r="S34" s="173">
        <f>'תקציב החברה לפיתוח 2021 '!S46</f>
        <v>0</v>
      </c>
      <c r="T34" s="173">
        <f>'תקציב החברה לפיתוח 2021 '!T46</f>
        <v>0</v>
      </c>
      <c r="U34" s="173">
        <f>'תקציב החברה לפיתוח 2021 '!U46</f>
        <v>0</v>
      </c>
      <c r="V34" s="173">
        <f>'תקציב החברה לפיתוח 2021 '!V46</f>
        <v>0</v>
      </c>
      <c r="W34" s="173">
        <f>'תקציב החברה לפיתוח 2021 '!W46</f>
        <v>0</v>
      </c>
      <c r="X34" s="173">
        <f>'תקציב החברה לפיתוח 2021 '!X46</f>
        <v>0</v>
      </c>
      <c r="Y34" s="173">
        <f>'תקציב החברה לפיתוח 2021 '!Y46</f>
        <v>0</v>
      </c>
      <c r="Z34" s="173">
        <f>'תקציב החברה לפיתוח 2021 '!Z46</f>
        <v>0</v>
      </c>
      <c r="AA34" s="173">
        <f>'תקציב החברה לפיתוח 2021 '!AA46</f>
        <v>0</v>
      </c>
      <c r="AB34" s="293" t="str">
        <f>'תקציב החברה לפיתוח 2021 '!AB46</f>
        <v>הסדרת הסמטה  המקשרת בין רח' אליעזר קפלן במזרח לרח' וינגייט  במערב.</v>
      </c>
      <c r="AC34" s="172">
        <f>'תקציב החברה לפיתוח 2021 '!AC46</f>
        <v>742000</v>
      </c>
    </row>
    <row r="35" spans="1:36" s="5" customFormat="1" ht="42">
      <c r="A35" s="172">
        <f t="shared" si="2"/>
        <v>30</v>
      </c>
      <c r="B35" s="172">
        <f>'תקציב החברה לפיתוח 2021 '!B47</f>
        <v>2010</v>
      </c>
      <c r="C35" s="326" t="str">
        <f>'תקציב החברה לפיתוח 2021 '!C47</f>
        <v>יהודה הנשיא רבי עקיבא רזיאל</v>
      </c>
      <c r="D35" s="173">
        <f>'תקציב החברה לפיתוח 2021 '!D47</f>
        <v>8000000</v>
      </c>
      <c r="E35" s="173">
        <f>'תקציב החברה לפיתוח 2021 '!E47</f>
        <v>8000000</v>
      </c>
      <c r="F35" s="173">
        <f>'תקציב החברה לפיתוח 2021 '!F47</f>
        <v>0</v>
      </c>
      <c r="G35" s="173">
        <f>'תקציב החברה לפיתוח 2021 '!G47</f>
        <v>0</v>
      </c>
      <c r="H35" s="173">
        <f>'תקציב החברה לפיתוח 2021 '!H47</f>
        <v>0</v>
      </c>
      <c r="I35" s="173">
        <f>'תקציב החברה לפיתוח 2021 '!I47</f>
        <v>0</v>
      </c>
      <c r="J35" s="173">
        <f>'תקציב החברה לפיתוח 2021 '!J47</f>
        <v>0</v>
      </c>
      <c r="K35" s="173">
        <f>'תקציב החברה לפיתוח 2021 '!K47</f>
        <v>0</v>
      </c>
      <c r="L35" s="173">
        <f>'תקציב החברה לפיתוח 2021 '!L47</f>
        <v>0</v>
      </c>
      <c r="M35" s="173">
        <f>'תקציב החברה לפיתוח 2021 '!M47</f>
        <v>0</v>
      </c>
      <c r="N35" s="173">
        <f>'תקציב החברה לפיתוח 2021 '!N47</f>
        <v>0</v>
      </c>
      <c r="O35" s="173">
        <f>'תקציב החברה לפיתוח 2021 '!O47</f>
        <v>8000000</v>
      </c>
      <c r="P35" s="173">
        <f>'תקציב החברה לפיתוח 2021 '!P47</f>
        <v>0</v>
      </c>
      <c r="Q35" s="173">
        <f>'תקציב החברה לפיתוח 2021 '!Q47</f>
        <v>0</v>
      </c>
      <c r="R35" s="173">
        <f>'תקציב החברה לפיתוח 2021 '!R47</f>
        <v>0</v>
      </c>
      <c r="S35" s="173">
        <f>'תקציב החברה לפיתוח 2021 '!S47</f>
        <v>0</v>
      </c>
      <c r="T35" s="173">
        <f>'תקציב החברה לפיתוח 2021 '!T47</f>
        <v>0</v>
      </c>
      <c r="U35" s="173">
        <f>'תקציב החברה לפיתוח 2021 '!U47</f>
        <v>0</v>
      </c>
      <c r="V35" s="173">
        <f>'תקציב החברה לפיתוח 2021 '!V47</f>
        <v>0</v>
      </c>
      <c r="W35" s="173">
        <f>'תקציב החברה לפיתוח 2021 '!W47</f>
        <v>0</v>
      </c>
      <c r="X35" s="173">
        <f>'תקציב החברה לפיתוח 2021 '!X47</f>
        <v>0</v>
      </c>
      <c r="Y35" s="173">
        <f>'תקציב החברה לפיתוח 2021 '!Y47</f>
        <v>0</v>
      </c>
      <c r="Z35" s="173">
        <f>'תקציב החברה לפיתוח 2021 '!Z47</f>
        <v>0</v>
      </c>
      <c r="AA35" s="173">
        <f>'תקציב החברה לפיתוח 2021 '!AA47</f>
        <v>0</v>
      </c>
      <c r="AB35" s="293" t="str">
        <f>'תקציב החברה לפיתוח 2021 '!AB47</f>
        <v xml:space="preserve">השלמת תכנון וביצוע פיתוח קטע הרחוב מרבי עקיבא עד דוד רזיאל. </v>
      </c>
      <c r="AC35" s="172">
        <f>'תקציב החברה לפיתוח 2021 '!AC47</f>
        <v>742000</v>
      </c>
      <c r="AD35" s="284"/>
      <c r="AE35" s="284"/>
      <c r="AF35" s="166"/>
      <c r="AG35" s="166"/>
      <c r="AH35" s="166"/>
      <c r="AI35" s="166"/>
      <c r="AJ35" s="166"/>
    </row>
    <row r="36" spans="1:36" ht="28">
      <c r="A36" s="172">
        <f t="shared" si="2"/>
        <v>31</v>
      </c>
      <c r="B36" s="172">
        <f>'תקציב החברה לפיתוח 2021 '!B48</f>
        <v>2011</v>
      </c>
      <c r="C36" s="326" t="str">
        <f>'תקציב החברה לפיתוח 2021 '!C48</f>
        <v xml:space="preserve">תכנון הקמת חניון מרינה לי (*) עדכון שם </v>
      </c>
      <c r="D36" s="173">
        <f>'תקציב החברה לפיתוח 2021 '!D48</f>
        <v>80000000</v>
      </c>
      <c r="E36" s="173">
        <f>'תקציב החברה לפיתוח 2021 '!E48</f>
        <v>80000000</v>
      </c>
      <c r="F36" s="173">
        <f>'תקציב החברה לפיתוח 2021 '!F48</f>
        <v>0</v>
      </c>
      <c r="G36" s="173">
        <f>'תקציב החברה לפיתוח 2021 '!G48</f>
        <v>2000000</v>
      </c>
      <c r="H36" s="173">
        <f>'תקציב החברה לפיתוח 2021 '!H48</f>
        <v>1100424</v>
      </c>
      <c r="I36" s="173">
        <f>'תקציב החברה לפיתוח 2021 '!I48</f>
        <v>0</v>
      </c>
      <c r="J36" s="173">
        <f>'תקציב החברה לפיתוח 2021 '!J48</f>
        <v>23592</v>
      </c>
      <c r="K36" s="173">
        <f>'תקציב החברה לפיתוח 2021 '!K48</f>
        <v>23592</v>
      </c>
      <c r="L36" s="173">
        <f>'תקציב החברה לפיתוח 2021 '!L48</f>
        <v>1124016</v>
      </c>
      <c r="M36" s="173">
        <f>'תקציב החברה לפיתוח 2021 '!M48</f>
        <v>875984</v>
      </c>
      <c r="N36" s="173">
        <f>'תקציב החברה לפיתוח 2021 '!N48</f>
        <v>20000000</v>
      </c>
      <c r="O36" s="173">
        <f>'תקציב החברה לפיתוח 2021 '!O48</f>
        <v>58000000</v>
      </c>
      <c r="P36" s="173">
        <f>'תקציב החברה לפיתוח 2021 '!P48</f>
        <v>875984</v>
      </c>
      <c r="Q36" s="173">
        <f>'תקציב החברה לפיתוח 2021 '!Q48</f>
        <v>0</v>
      </c>
      <c r="R36" s="173">
        <f>'תקציב החברה לפיתוח 2021 '!R48</f>
        <v>0</v>
      </c>
      <c r="S36" s="173">
        <f>'תקציב החברה לפיתוח 2021 '!S48</f>
        <v>0</v>
      </c>
      <c r="T36" s="173">
        <f>'תקציב החברה לפיתוח 2021 '!T48</f>
        <v>0</v>
      </c>
      <c r="U36" s="173">
        <f>'תקציב החברה לפיתוח 2021 '!U48</f>
        <v>20000000</v>
      </c>
      <c r="V36" s="173">
        <f>'תקציב החברה לפיתוח 2021 '!V48</f>
        <v>20000000</v>
      </c>
      <c r="W36" s="173">
        <f>'תקציב החברה לפיתוח 2021 '!W48</f>
        <v>0</v>
      </c>
      <c r="X36" s="173">
        <f>'תקציב החברה לפיתוח 2021 '!X48</f>
        <v>0</v>
      </c>
      <c r="Y36" s="173">
        <f>'תקציב החברה לפיתוח 2021 '!Y48</f>
        <v>0</v>
      </c>
      <c r="Z36" s="173">
        <f>'תקציב החברה לפיתוח 2021 '!Z48</f>
        <v>0</v>
      </c>
      <c r="AA36" s="173">
        <f>'תקציב החברה לפיתוח 2021 '!AA48</f>
        <v>0</v>
      </c>
      <c r="AB36" s="293" t="str">
        <f>'תקציב החברה לפיתוח 2021 '!AB48</f>
        <v xml:space="preserve">הקמת החניון מתחת לשצ"פ במתחם המרינה לי. </v>
      </c>
      <c r="AC36" s="172">
        <f>'תקציב החברה לפיתוח 2021 '!AC48</f>
        <v>742000</v>
      </c>
    </row>
    <row r="37" spans="1:36" s="176" customFormat="1" ht="28">
      <c r="A37" s="172">
        <f t="shared" si="2"/>
        <v>32</v>
      </c>
      <c r="B37" s="172">
        <f>'תקציב החברה לפיתוח 2021 '!B51</f>
        <v>2018</v>
      </c>
      <c r="C37" s="326" t="str">
        <f>'תקציב החברה לפיתוח 2021 '!C51</f>
        <v>החלפת עמודי תאורה באיזור תעשיה</v>
      </c>
      <c r="D37" s="173">
        <f>'תקציב החברה לפיתוח 2021 '!D51</f>
        <v>6600000</v>
      </c>
      <c r="E37" s="173">
        <f>'תקציב החברה לפיתוח 2021 '!E51</f>
        <v>10000000</v>
      </c>
      <c r="F37" s="173">
        <f>'תקציב החברה לפיתוח 2021 '!F51</f>
        <v>-3400000</v>
      </c>
      <c r="G37" s="173">
        <f>'תקציב החברה לפיתוח 2021 '!G51</f>
        <v>6600000</v>
      </c>
      <c r="H37" s="173">
        <f>'תקציב החברה לפיתוח 2021 '!H51</f>
        <v>2120183</v>
      </c>
      <c r="I37" s="173">
        <f>'תקציב החברה לפיתוח 2021 '!I51</f>
        <v>0</v>
      </c>
      <c r="J37" s="173">
        <f>'תקציב החברה לפיתוח 2021 '!J51</f>
        <v>127092</v>
      </c>
      <c r="K37" s="173">
        <f>'תקציב החברה לפיתוח 2021 '!K51</f>
        <v>127092</v>
      </c>
      <c r="L37" s="173">
        <f>'תקציב החברה לפיתוח 2021 '!L51</f>
        <v>2247275</v>
      </c>
      <c r="M37" s="173">
        <f>'תקציב החברה לפיתוח 2021 '!M51</f>
        <v>4352725</v>
      </c>
      <c r="N37" s="173">
        <f>'תקציב החברה לפיתוח 2021 '!N51</f>
        <v>0</v>
      </c>
      <c r="O37" s="173">
        <f>'תקציב החברה לפיתוח 2021 '!O51</f>
        <v>0</v>
      </c>
      <c r="P37" s="173">
        <f>'תקציב החברה לפיתוח 2021 '!P51</f>
        <v>4352725</v>
      </c>
      <c r="Q37" s="173">
        <f>'תקציב החברה לפיתוח 2021 '!Q51</f>
        <v>0</v>
      </c>
      <c r="R37" s="173">
        <f>'תקציב החברה לפיתוח 2021 '!R51</f>
        <v>0</v>
      </c>
      <c r="S37" s="173">
        <f>'תקציב החברה לפיתוח 2021 '!S51</f>
        <v>0</v>
      </c>
      <c r="T37" s="173">
        <f>'תקציב החברה לפיתוח 2021 '!T51</f>
        <v>0</v>
      </c>
      <c r="U37" s="173">
        <f>'תקציב החברה לפיתוח 2021 '!U51</f>
        <v>0</v>
      </c>
      <c r="V37" s="173">
        <f>'תקציב החברה לפיתוח 2021 '!V51</f>
        <v>0</v>
      </c>
      <c r="W37" s="173">
        <f>'תקציב החברה לפיתוח 2021 '!W51</f>
        <v>0</v>
      </c>
      <c r="X37" s="173">
        <f>'תקציב החברה לפיתוח 2021 '!X51</f>
        <v>0</v>
      </c>
      <c r="Y37" s="173">
        <f>'תקציב החברה לפיתוח 2021 '!Y51</f>
        <v>0</v>
      </c>
      <c r="Z37" s="173">
        <f>'תקציב החברה לפיתוח 2021 '!Z51</f>
        <v>0</v>
      </c>
      <c r="AA37" s="173">
        <f>'תקציב החברה לפיתוח 2021 '!AA51</f>
        <v>0</v>
      </c>
      <c r="AB37" s="293" t="str">
        <f>'תקציב החברה לפיתוח 2021 '!AB51</f>
        <v>מסגרת עבודות של החלפת עמודי תאורה באיזור התעשיה.</v>
      </c>
      <c r="AC37" s="172">
        <f>'תקציב החברה לפיתוח 2021 '!AC51</f>
        <v>742000</v>
      </c>
      <c r="AD37" s="284"/>
      <c r="AE37" s="284"/>
      <c r="AF37" s="166"/>
      <c r="AG37" s="166"/>
      <c r="AH37" s="166"/>
      <c r="AI37" s="166"/>
      <c r="AJ37" s="166"/>
    </row>
    <row r="38" spans="1:36" ht="42">
      <c r="A38" s="172">
        <f t="shared" si="2"/>
        <v>33</v>
      </c>
      <c r="B38" s="172">
        <f>'תקציב החברה לפיתוח 2021 '!B52</f>
        <v>2019</v>
      </c>
      <c r="C38" s="326" t="str">
        <f>'תקציב החברה לפיתוח 2021 '!C52</f>
        <v>החלפת עמודי מחסום איזור תעשיה</v>
      </c>
      <c r="D38" s="173">
        <f>'תקציב החברה לפיתוח 2021 '!D52</f>
        <v>1200000</v>
      </c>
      <c r="E38" s="173">
        <f>'תקציב החברה לפיתוח 2021 '!E52</f>
        <v>1200000</v>
      </c>
      <c r="F38" s="173">
        <f>'תקציב החברה לפיתוח 2021 '!F52</f>
        <v>0</v>
      </c>
      <c r="G38" s="173">
        <f>'תקציב החברה לפיתוח 2021 '!G52</f>
        <v>1200000</v>
      </c>
      <c r="H38" s="173">
        <f>'תקציב החברה לפיתוח 2021 '!H52</f>
        <v>868488</v>
      </c>
      <c r="I38" s="173">
        <f>'תקציב החברה לפיתוח 2021 '!I52</f>
        <v>0</v>
      </c>
      <c r="J38" s="173">
        <f>'תקציב החברה לפיתוח 2021 '!J52</f>
        <v>331509</v>
      </c>
      <c r="K38" s="173">
        <f>'תקציב החברה לפיתוח 2021 '!K52</f>
        <v>331509</v>
      </c>
      <c r="L38" s="173">
        <f>'תקציב החברה לפיתוח 2021 '!L52</f>
        <v>1199997</v>
      </c>
      <c r="M38" s="173">
        <f>'תקציב החברה לפיתוח 2021 '!M52</f>
        <v>3</v>
      </c>
      <c r="N38" s="173">
        <f>'תקציב החברה לפיתוח 2021 '!N52</f>
        <v>0</v>
      </c>
      <c r="O38" s="173">
        <f>'תקציב החברה לפיתוח 2021 '!O52</f>
        <v>0</v>
      </c>
      <c r="P38" s="173">
        <f>'תקציב החברה לפיתוח 2021 '!P52</f>
        <v>3</v>
      </c>
      <c r="Q38" s="173">
        <f>'תקציב החברה לפיתוח 2021 '!Q52</f>
        <v>0</v>
      </c>
      <c r="R38" s="173">
        <f>'תקציב החברה לפיתוח 2021 '!R52</f>
        <v>0</v>
      </c>
      <c r="S38" s="173">
        <f>'תקציב החברה לפיתוח 2021 '!S52</f>
        <v>0</v>
      </c>
      <c r="T38" s="173">
        <f>'תקציב החברה לפיתוח 2021 '!T52</f>
        <v>0</v>
      </c>
      <c r="U38" s="173">
        <f>'תקציב החברה לפיתוח 2021 '!U52</f>
        <v>0</v>
      </c>
      <c r="V38" s="173">
        <f>'תקציב החברה לפיתוח 2021 '!V52</f>
        <v>0</v>
      </c>
      <c r="W38" s="173">
        <f>'תקציב החברה לפיתוח 2021 '!W52</f>
        <v>0</v>
      </c>
      <c r="X38" s="173">
        <f>'תקציב החברה לפיתוח 2021 '!X52</f>
        <v>0</v>
      </c>
      <c r="Y38" s="173">
        <f>'תקציב החברה לפיתוח 2021 '!Y52</f>
        <v>0</v>
      </c>
      <c r="Z38" s="173">
        <f>'תקציב החברה לפיתוח 2021 '!Z52</f>
        <v>0</v>
      </c>
      <c r="AA38" s="173">
        <f>'תקציב החברה לפיתוח 2021 '!AA52</f>
        <v>0</v>
      </c>
      <c r="AB38" s="293" t="str">
        <f>'תקציב החברה לפיתוח 2021 '!AB52</f>
        <v>מסגרת עבודות של החלפת עמודי מחסום באיזור התעשיה. ח-ן סופיים.</v>
      </c>
      <c r="AC38" s="172">
        <f>'תקציב החברה לפיתוח 2021 '!AC52</f>
        <v>742000</v>
      </c>
    </row>
    <row r="39" spans="1:36" ht="24.65" customHeight="1">
      <c r="A39" s="172">
        <f t="shared" si="2"/>
        <v>34</v>
      </c>
      <c r="B39" s="172">
        <f>'תקציב החברה לפיתוח 2021 '!B63</f>
        <v>2078</v>
      </c>
      <c r="C39" s="326" t="str">
        <f>'תקציב החברה לפיתוח 2021 '!C63</f>
        <v>נילי - עבודות פיתוח והסדרת תנועה</v>
      </c>
      <c r="D39" s="173">
        <f>'תקציב החברה לפיתוח 2021 '!D63</f>
        <v>4200000</v>
      </c>
      <c r="E39" s="173">
        <f>'תקציב החברה לפיתוח 2021 '!E63</f>
        <v>4200000</v>
      </c>
      <c r="F39" s="173">
        <f>'תקציב החברה לפיתוח 2021 '!F63</f>
        <v>0</v>
      </c>
      <c r="G39" s="173">
        <f>'תקציב החברה לפיתוח 2021 '!G63</f>
        <v>1960000</v>
      </c>
      <c r="H39" s="173">
        <f>'תקציב החברה לפיתוח 2021 '!H63</f>
        <v>156098</v>
      </c>
      <c r="I39" s="173">
        <f>'תקציב החברה לפיתוח 2021 '!I63</f>
        <v>0</v>
      </c>
      <c r="J39" s="173">
        <f>'תקציב החברה לפיתוח 2021 '!J63</f>
        <v>43900</v>
      </c>
      <c r="K39" s="173">
        <f>'תקציב החברה לפיתוח 2021 '!K63</f>
        <v>43900</v>
      </c>
      <c r="L39" s="173">
        <f>'תקציב החברה לפיתוח 2021 '!L63</f>
        <v>199998</v>
      </c>
      <c r="M39" s="173">
        <f>'תקציב החברה לפיתוח 2021 '!M63</f>
        <v>1760002</v>
      </c>
      <c r="N39" s="173">
        <f>'תקציב החברה לפיתוח 2021 '!N63</f>
        <v>0</v>
      </c>
      <c r="O39" s="173">
        <f>'תקציב החברה לפיתוח 2021 '!O63</f>
        <v>2240000</v>
      </c>
      <c r="P39" s="173">
        <f>'תקציב החברה לפיתוח 2021 '!P63</f>
        <v>1760002</v>
      </c>
      <c r="Q39" s="173">
        <f>'תקציב החברה לפיתוח 2021 '!Q63</f>
        <v>0</v>
      </c>
      <c r="R39" s="173">
        <f>'תקציב החברה לפיתוח 2021 '!R63</f>
        <v>0</v>
      </c>
      <c r="S39" s="173">
        <f>'תקציב החברה לפיתוח 2021 '!S63</f>
        <v>0</v>
      </c>
      <c r="T39" s="173">
        <f>'תקציב החברה לפיתוח 2021 '!T63</f>
        <v>0</v>
      </c>
      <c r="U39" s="173">
        <f>'תקציב החברה לפיתוח 2021 '!U63</f>
        <v>0</v>
      </c>
      <c r="V39" s="173">
        <f>'תקציב החברה לפיתוח 2021 '!V63</f>
        <v>0</v>
      </c>
      <c r="W39" s="173">
        <f>'תקציב החברה לפיתוח 2021 '!W63</f>
        <v>0</v>
      </c>
      <c r="X39" s="173">
        <f>'תקציב החברה לפיתוח 2021 '!X63</f>
        <v>0</v>
      </c>
      <c r="Y39" s="173">
        <f>'תקציב החברה לפיתוח 2021 '!Y63</f>
        <v>0</v>
      </c>
      <c r="Z39" s="173">
        <f>'תקציב החברה לפיתוח 2021 '!Z63</f>
        <v>0</v>
      </c>
      <c r="AA39" s="173">
        <f>'תקציב החברה לפיתוח 2021 '!AA63</f>
        <v>0</v>
      </c>
      <c r="AB39" s="293" t="str">
        <f>'תקציב החברה לפיתוח 2021 '!AB63</f>
        <v>לאור החלטת בימ"ש שהעיריה תבצע שינויים גיאומטרים וקיר.</v>
      </c>
      <c r="AC39" s="172">
        <f>'תקציב החברה לפיתוח 2021 '!AC63</f>
        <v>742000</v>
      </c>
    </row>
    <row r="40" spans="1:36" ht="42">
      <c r="A40" s="172">
        <f t="shared" si="2"/>
        <v>35</v>
      </c>
      <c r="B40" s="172">
        <f>'תקציב החברה לפיתוח 2021 '!B71</f>
        <v>2104</v>
      </c>
      <c r="C40" s="326" t="str">
        <f>'תקציב החברה לפיתוח 2021 '!C71</f>
        <v>החלפת קו ניקוז בדוד המלך</v>
      </c>
      <c r="D40" s="173">
        <f>'תקציב החברה לפיתוח 2021 '!D71</f>
        <v>1000000</v>
      </c>
      <c r="E40" s="173">
        <f>'תקציב החברה לפיתוח 2021 '!E71</f>
        <v>3500000</v>
      </c>
      <c r="F40" s="173">
        <f>'תקציב החברה לפיתוח 2021 '!F71</f>
        <v>-2500000</v>
      </c>
      <c r="G40" s="173">
        <f>'תקציב החברה לפיתוח 2021 '!G71</f>
        <v>0</v>
      </c>
      <c r="H40" s="173">
        <f>'תקציב החברה לפיתוח 2021 '!H71</f>
        <v>0</v>
      </c>
      <c r="I40" s="173">
        <f>'תקציב החברה לפיתוח 2021 '!I71</f>
        <v>0</v>
      </c>
      <c r="J40" s="173">
        <f>'תקציב החברה לפיתוח 2021 '!J71</f>
        <v>0</v>
      </c>
      <c r="K40" s="173">
        <f>'תקציב החברה לפיתוח 2021 '!K71</f>
        <v>0</v>
      </c>
      <c r="L40" s="173">
        <f>'תקציב החברה לפיתוח 2021 '!L71</f>
        <v>0</v>
      </c>
      <c r="M40" s="173">
        <f>'תקציב החברה לפיתוח 2021 '!M71</f>
        <v>0</v>
      </c>
      <c r="N40" s="173">
        <f>'תקציב החברה לפיתוח 2021 '!N71</f>
        <v>0</v>
      </c>
      <c r="O40" s="173">
        <f>'תקציב החברה לפיתוח 2021 '!O71</f>
        <v>1000000</v>
      </c>
      <c r="P40" s="173">
        <f>'תקציב החברה לפיתוח 2021 '!P71</f>
        <v>0</v>
      </c>
      <c r="Q40" s="173">
        <f>'תקציב החברה לפיתוח 2021 '!Q71</f>
        <v>0</v>
      </c>
      <c r="R40" s="173">
        <f>'תקציב החברה לפיתוח 2021 '!R71</f>
        <v>0</v>
      </c>
      <c r="S40" s="173">
        <f>'תקציב החברה לפיתוח 2021 '!S71</f>
        <v>0</v>
      </c>
      <c r="T40" s="173">
        <f>'תקציב החברה לפיתוח 2021 '!T71</f>
        <v>0</v>
      </c>
      <c r="U40" s="173">
        <f>'תקציב החברה לפיתוח 2021 '!U71</f>
        <v>0</v>
      </c>
      <c r="V40" s="173">
        <f>'תקציב החברה לפיתוח 2021 '!V71</f>
        <v>0</v>
      </c>
      <c r="W40" s="173">
        <f>'תקציב החברה לפיתוח 2021 '!W71</f>
        <v>0</v>
      </c>
      <c r="X40" s="173">
        <f>'תקציב החברה לפיתוח 2021 '!X71</f>
        <v>0</v>
      </c>
      <c r="Y40" s="173">
        <f>'תקציב החברה לפיתוח 2021 '!Y71</f>
        <v>0</v>
      </c>
      <c r="Z40" s="173">
        <f>'תקציב החברה לפיתוח 2021 '!Z71</f>
        <v>0</v>
      </c>
      <c r="AA40" s="173">
        <f>'תקציב החברה לפיתוח 2021 '!AA71</f>
        <v>0</v>
      </c>
      <c r="AB40" s="293" t="str">
        <f>'תקציב החברה לפיתוח 2021 '!AB71</f>
        <v xml:space="preserve">הגדלת קו הניקוז ברח' דוד המלך בקטע קרן היסוד - מדינת היהודים . </v>
      </c>
      <c r="AC40" s="172">
        <f>'תקציב החברה לפיתוח 2021 '!AC71</f>
        <v>742000</v>
      </c>
    </row>
    <row r="41" spans="1:36" s="176" customFormat="1" ht="42">
      <c r="A41" s="172">
        <f t="shared" si="2"/>
        <v>36</v>
      </c>
      <c r="B41" s="172">
        <f>'תקציב החברה לפיתוח 2021 '!B72</f>
        <v>2106</v>
      </c>
      <c r="C41" s="326" t="str">
        <f>'תקציב החברה לפיתוח 2021 '!C72</f>
        <v>אוצר הצמחים ,הראשונים ואבן אודם</v>
      </c>
      <c r="D41" s="173">
        <f>'תקציב החברה לפיתוח 2021 '!D72</f>
        <v>15000000</v>
      </c>
      <c r="E41" s="173">
        <f>'תקציב החברה לפיתוח 2021 '!E72</f>
        <v>15000000</v>
      </c>
      <c r="F41" s="173">
        <f>'תקציב החברה לפיתוח 2021 '!F72</f>
        <v>0</v>
      </c>
      <c r="G41" s="173">
        <f>'תקציב החברה לפיתוח 2021 '!G72</f>
        <v>4000000</v>
      </c>
      <c r="H41" s="173">
        <f>'תקציב החברה לפיתוח 2021 '!H72</f>
        <v>22889</v>
      </c>
      <c r="I41" s="173">
        <f>'תקציב החברה לפיתוח 2021 '!I72</f>
        <v>0</v>
      </c>
      <c r="J41" s="173">
        <f>'תקציב החברה לפיתוח 2021 '!J72</f>
        <v>127110</v>
      </c>
      <c r="K41" s="173">
        <f>'תקציב החברה לפיתוח 2021 '!K72</f>
        <v>127110</v>
      </c>
      <c r="L41" s="173">
        <f>'תקציב החברה לפיתוח 2021 '!L72</f>
        <v>149999</v>
      </c>
      <c r="M41" s="173">
        <f>'תקציב החברה לפיתוח 2021 '!M72</f>
        <v>3850001</v>
      </c>
      <c r="N41" s="173">
        <f>'תקציב החברה לפיתוח 2021 '!N72</f>
        <v>0</v>
      </c>
      <c r="O41" s="173">
        <f>'תקציב החברה לפיתוח 2021 '!O72</f>
        <v>11000000</v>
      </c>
      <c r="P41" s="173">
        <f>'תקציב החברה לפיתוח 2021 '!P72</f>
        <v>3850001</v>
      </c>
      <c r="Q41" s="173">
        <f>'תקציב החברה לפיתוח 2021 '!Q72</f>
        <v>0</v>
      </c>
      <c r="R41" s="173">
        <f>'תקציב החברה לפיתוח 2021 '!R72</f>
        <v>0</v>
      </c>
      <c r="S41" s="173">
        <f>'תקציב החברה לפיתוח 2021 '!S72</f>
        <v>0</v>
      </c>
      <c r="T41" s="173">
        <f>'תקציב החברה לפיתוח 2021 '!T72</f>
        <v>0</v>
      </c>
      <c r="U41" s="173">
        <f>'תקציב החברה לפיתוח 2021 '!U72</f>
        <v>0</v>
      </c>
      <c r="V41" s="173">
        <f>'תקציב החברה לפיתוח 2021 '!V72</f>
        <v>0</v>
      </c>
      <c r="W41" s="173">
        <f>'תקציב החברה לפיתוח 2021 '!W72</f>
        <v>0</v>
      </c>
      <c r="X41" s="173">
        <f>'תקציב החברה לפיתוח 2021 '!X72</f>
        <v>0</v>
      </c>
      <c r="Y41" s="173">
        <f>'תקציב החברה לפיתוח 2021 '!Y72</f>
        <v>0</v>
      </c>
      <c r="Z41" s="173">
        <f>'תקציב החברה לפיתוח 2021 '!Z72</f>
        <v>0</v>
      </c>
      <c r="AA41" s="173">
        <f>'תקציב החברה לפיתוח 2021 '!AA72</f>
        <v>0</v>
      </c>
      <c r="AB41" s="293" t="str">
        <f>'תקציב החברה לפיתוח 2021 '!AB72</f>
        <v>פיתוח מתחם הרחובות אוצר הצמחים, אבן אודם, הראשונים.</v>
      </c>
      <c r="AC41" s="172">
        <f>'תקציב החברה לפיתוח 2021 '!AC72</f>
        <v>742000</v>
      </c>
      <c r="AD41" s="284"/>
      <c r="AE41" s="284"/>
      <c r="AF41" s="166"/>
      <c r="AG41" s="166"/>
      <c r="AH41" s="166"/>
      <c r="AI41" s="166"/>
      <c r="AJ41" s="166"/>
    </row>
    <row r="42" spans="1:36" ht="42">
      <c r="A42" s="172">
        <f t="shared" si="2"/>
        <v>37</v>
      </c>
      <c r="B42" s="172">
        <f>'תקציב החברה לפיתוח 2021 '!B73</f>
        <v>2109</v>
      </c>
      <c r="C42" s="326" t="str">
        <f>'תקציב החברה לפיתוח 2021 '!C73</f>
        <v>רחוב הפרטיזנים</v>
      </c>
      <c r="D42" s="173">
        <f>'תקציב החברה לפיתוח 2021 '!D73</f>
        <v>2000000</v>
      </c>
      <c r="E42" s="173">
        <f>'תקציב החברה לפיתוח 2021 '!E73</f>
        <v>2000000</v>
      </c>
      <c r="F42" s="173">
        <f>'תקציב החברה לפיתוח 2021 '!F73</f>
        <v>0</v>
      </c>
      <c r="G42" s="173">
        <f>'תקציב החברה לפיתוח 2021 '!G73</f>
        <v>0</v>
      </c>
      <c r="H42" s="173">
        <f>'תקציב החברה לפיתוח 2021 '!H73</f>
        <v>0</v>
      </c>
      <c r="I42" s="173">
        <f>'תקציב החברה לפיתוח 2021 '!I73</f>
        <v>0</v>
      </c>
      <c r="J42" s="173">
        <f>'תקציב החברה לפיתוח 2021 '!J73</f>
        <v>0</v>
      </c>
      <c r="K42" s="173">
        <f>'תקציב החברה לפיתוח 2021 '!K73</f>
        <v>0</v>
      </c>
      <c r="L42" s="173">
        <f>'תקציב החברה לפיתוח 2021 '!L73</f>
        <v>0</v>
      </c>
      <c r="M42" s="173">
        <f>'תקציב החברה לפיתוח 2021 '!M73</f>
        <v>0</v>
      </c>
      <c r="N42" s="173">
        <f>'תקציב החברה לפיתוח 2021 '!N73</f>
        <v>500000</v>
      </c>
      <c r="O42" s="173">
        <f>'תקציב החברה לפיתוח 2021 '!O73</f>
        <v>1500000</v>
      </c>
      <c r="P42" s="173">
        <f>'תקציב החברה לפיתוח 2021 '!P73</f>
        <v>0</v>
      </c>
      <c r="Q42" s="173">
        <f>'תקציב החברה לפיתוח 2021 '!Q73</f>
        <v>0</v>
      </c>
      <c r="R42" s="173">
        <f>'תקציב החברה לפיתוח 2021 '!R73</f>
        <v>0</v>
      </c>
      <c r="S42" s="173">
        <f>'תקציב החברה לפיתוח 2021 '!S73</f>
        <v>0</v>
      </c>
      <c r="T42" s="173">
        <f>'תקציב החברה לפיתוח 2021 '!T73</f>
        <v>0</v>
      </c>
      <c r="U42" s="173">
        <f>'תקציב החברה לפיתוח 2021 '!U73</f>
        <v>500000</v>
      </c>
      <c r="V42" s="173">
        <f>'תקציב החברה לפיתוח 2021 '!V73</f>
        <v>500000</v>
      </c>
      <c r="W42" s="173">
        <f>'תקציב החברה לפיתוח 2021 '!W73</f>
        <v>0</v>
      </c>
      <c r="X42" s="173">
        <f>'תקציב החברה לפיתוח 2021 '!X73</f>
        <v>0</v>
      </c>
      <c r="Y42" s="173">
        <f>'תקציב החברה לפיתוח 2021 '!Y73</f>
        <v>0</v>
      </c>
      <c r="Z42" s="173">
        <f>'תקציב החברה לפיתוח 2021 '!Z73</f>
        <v>0</v>
      </c>
      <c r="AA42" s="173">
        <f>'תקציב החברה לפיתוח 2021 '!AA73</f>
        <v>0</v>
      </c>
      <c r="AB42" s="293" t="str">
        <f>'תקציב החברה לפיתוח 2021 '!AB73</f>
        <v xml:space="preserve">תכנון פיתוח רחוב הפרטיזנים. מדרכה מזרחית/דרומית, עבודות ניקוז. </v>
      </c>
      <c r="AC42" s="172">
        <f>'תקציב החברה לפיתוח 2021 '!AC73</f>
        <v>742000</v>
      </c>
    </row>
    <row r="43" spans="1:36" ht="42">
      <c r="A43" s="172">
        <f t="shared" si="2"/>
        <v>38</v>
      </c>
      <c r="B43" s="172">
        <f>'תקציב החברה לפיתוח 2021 '!B74</f>
        <v>2110</v>
      </c>
      <c r="C43" s="326" t="str">
        <f>'תקציב החברה לפיתוח 2021 '!C74</f>
        <v>שיכון דרום הר' 2312</v>
      </c>
      <c r="D43" s="173">
        <f>'תקציב החברה לפיתוח 2021 '!D74</f>
        <v>16000000</v>
      </c>
      <c r="E43" s="173">
        <f>'תקציב החברה לפיתוח 2021 '!E74</f>
        <v>16000000</v>
      </c>
      <c r="F43" s="173">
        <f>'תקציב החברה לפיתוח 2021 '!F74</f>
        <v>0</v>
      </c>
      <c r="G43" s="173">
        <f>'תקציב החברה לפיתוח 2021 '!G74</f>
        <v>0</v>
      </c>
      <c r="H43" s="173">
        <f>'תקציב החברה לפיתוח 2021 '!H74</f>
        <v>0</v>
      </c>
      <c r="I43" s="173">
        <f>'תקציב החברה לפיתוח 2021 '!I74</f>
        <v>0</v>
      </c>
      <c r="J43" s="173">
        <f>'תקציב החברה לפיתוח 2021 '!J74</f>
        <v>0</v>
      </c>
      <c r="K43" s="173">
        <f>'תקציב החברה לפיתוח 2021 '!K74</f>
        <v>0</v>
      </c>
      <c r="L43" s="173">
        <f>'תקציב החברה לפיתוח 2021 '!L74</f>
        <v>0</v>
      </c>
      <c r="M43" s="173">
        <f>'תקציב החברה לפיתוח 2021 '!M74</f>
        <v>0</v>
      </c>
      <c r="N43" s="173">
        <f>'תקציב החברה לפיתוח 2021 '!N74</f>
        <v>500000</v>
      </c>
      <c r="O43" s="173">
        <f>'תקציב החברה לפיתוח 2021 '!O74</f>
        <v>15500000</v>
      </c>
      <c r="P43" s="173">
        <f>'תקציב החברה לפיתוח 2021 '!P74</f>
        <v>0</v>
      </c>
      <c r="Q43" s="173">
        <f>'תקציב החברה לפיתוח 2021 '!Q74</f>
        <v>0</v>
      </c>
      <c r="R43" s="173">
        <f>'תקציב החברה לפיתוח 2021 '!R74</f>
        <v>0</v>
      </c>
      <c r="S43" s="173">
        <f>'תקציב החברה לפיתוח 2021 '!S74</f>
        <v>0</v>
      </c>
      <c r="T43" s="173">
        <f>'תקציב החברה לפיתוח 2021 '!T74</f>
        <v>0</v>
      </c>
      <c r="U43" s="173">
        <f>'תקציב החברה לפיתוח 2021 '!U74</f>
        <v>500000</v>
      </c>
      <c r="V43" s="173">
        <f>'תקציב החברה לפיתוח 2021 '!V74</f>
        <v>500000</v>
      </c>
      <c r="W43" s="173">
        <f>'תקציב החברה לפיתוח 2021 '!W74</f>
        <v>0</v>
      </c>
      <c r="X43" s="173">
        <f>'תקציב החברה לפיתוח 2021 '!X74</f>
        <v>0</v>
      </c>
      <c r="Y43" s="173">
        <f>'תקציב החברה לפיתוח 2021 '!Y74</f>
        <v>0</v>
      </c>
      <c r="Z43" s="173">
        <f>'תקציב החברה לפיתוח 2021 '!Z74</f>
        <v>0</v>
      </c>
      <c r="AA43" s="173">
        <f>'תקציב החברה לפיתוח 2021 '!AA74</f>
        <v>0</v>
      </c>
      <c r="AB43" s="293" t="str">
        <f>'תקציב החברה לפיתוח 2021 '!AB74</f>
        <v xml:space="preserve">תכנון פיתוח מתחם שיכון דרום. תכנון בין רח' בן גוריון-רבי עקיבא-בן יהודה. </v>
      </c>
      <c r="AC43" s="172">
        <f>'תקציב החברה לפיתוח 2021 '!AC74</f>
        <v>742000</v>
      </c>
    </row>
    <row r="44" spans="1:36" ht="56">
      <c r="A44" s="172">
        <f t="shared" si="2"/>
        <v>39</v>
      </c>
      <c r="B44" s="172">
        <f>'תקציב החברה לפיתוח 2021 '!B75</f>
        <v>2111</v>
      </c>
      <c r="C44" s="326" t="str">
        <f>'תקציב החברה לפיתוח 2021 '!C75</f>
        <v>הר מירון בר כוכבא הר' 2266</v>
      </c>
      <c r="D44" s="173">
        <f>'תקציב החברה לפיתוח 2021 '!D75</f>
        <v>10240000</v>
      </c>
      <c r="E44" s="173">
        <f>'תקציב החברה לפיתוח 2021 '!E75</f>
        <v>10240000</v>
      </c>
      <c r="F44" s="173">
        <f>'תקציב החברה לפיתוח 2021 '!F75</f>
        <v>0</v>
      </c>
      <c r="G44" s="173">
        <f>'תקציב החברה לפיתוח 2021 '!G75</f>
        <v>0</v>
      </c>
      <c r="H44" s="173">
        <f>'תקציב החברה לפיתוח 2021 '!H75</f>
        <v>0</v>
      </c>
      <c r="I44" s="173">
        <f>'תקציב החברה לפיתוח 2021 '!I75</f>
        <v>0</v>
      </c>
      <c r="J44" s="173">
        <f>'תקציב החברה לפיתוח 2021 '!J75</f>
        <v>0</v>
      </c>
      <c r="K44" s="173">
        <f>'תקציב החברה לפיתוח 2021 '!K75</f>
        <v>0</v>
      </c>
      <c r="L44" s="173">
        <f>'תקציב החברה לפיתוח 2021 '!L75</f>
        <v>0</v>
      </c>
      <c r="M44" s="173">
        <f>'תקציב החברה לפיתוח 2021 '!M75</f>
        <v>0</v>
      </c>
      <c r="N44" s="173">
        <f>'תקציב החברה לפיתוח 2021 '!N75</f>
        <v>500000</v>
      </c>
      <c r="O44" s="173">
        <f>'תקציב החברה לפיתוח 2021 '!O75</f>
        <v>9740000</v>
      </c>
      <c r="P44" s="173">
        <f>'תקציב החברה לפיתוח 2021 '!P75</f>
        <v>0</v>
      </c>
      <c r="Q44" s="173">
        <f>'תקציב החברה לפיתוח 2021 '!Q75</f>
        <v>0</v>
      </c>
      <c r="R44" s="173">
        <f>'תקציב החברה לפיתוח 2021 '!R75</f>
        <v>0</v>
      </c>
      <c r="S44" s="173">
        <f>'תקציב החברה לפיתוח 2021 '!S75</f>
        <v>0</v>
      </c>
      <c r="T44" s="173">
        <f>'תקציב החברה לפיתוח 2021 '!T75</f>
        <v>0</v>
      </c>
      <c r="U44" s="173">
        <f>'תקציב החברה לפיתוח 2021 '!U75</f>
        <v>500000</v>
      </c>
      <c r="V44" s="173">
        <f>'תקציב החברה לפיתוח 2021 '!V75</f>
        <v>500000</v>
      </c>
      <c r="W44" s="173">
        <f>'תקציב החברה לפיתוח 2021 '!W75</f>
        <v>0</v>
      </c>
      <c r="X44" s="173">
        <f>'תקציב החברה לפיתוח 2021 '!X75</f>
        <v>0</v>
      </c>
      <c r="Y44" s="173">
        <f>'תקציב החברה לפיתוח 2021 '!Y75</f>
        <v>0</v>
      </c>
      <c r="Z44" s="173">
        <f>'תקציב החברה לפיתוח 2021 '!Z75</f>
        <v>0</v>
      </c>
      <c r="AA44" s="173">
        <f>'תקציב החברה לפיתוח 2021 '!AA75</f>
        <v>0</v>
      </c>
      <c r="AB44" s="293" t="str">
        <f>'תקציב החברה לפיתוח 2021 '!AB75</f>
        <v xml:space="preserve">תכנון פיתוח הרחובות הר מירון בר כוכבא בעקבות אישור תוכנית התחדשות עירונית. </v>
      </c>
      <c r="AC44" s="172">
        <f>'תקציב החברה לפיתוח 2021 '!AC75</f>
        <v>742000</v>
      </c>
    </row>
    <row r="45" spans="1:36" s="183" customFormat="1" ht="42">
      <c r="A45" s="172">
        <f t="shared" si="2"/>
        <v>40</v>
      </c>
      <c r="B45" s="172">
        <f>'תקציב החברה לפיתוח 2021 '!B78</f>
        <v>2119</v>
      </c>
      <c r="C45" s="326" t="str">
        <f>'תקציב החברה לפיתוח 2021 '!C78</f>
        <v>שביל מתחם העצמאות הרב גורן הבנים</v>
      </c>
      <c r="D45" s="173">
        <f>'תקציב החברה לפיתוח 2021 '!D78</f>
        <v>2500000</v>
      </c>
      <c r="E45" s="173">
        <f>'תקציב החברה לפיתוח 2021 '!E78</f>
        <v>1400000</v>
      </c>
      <c r="F45" s="173">
        <f>'תקציב החברה לפיתוח 2021 '!F78</f>
        <v>1100000</v>
      </c>
      <c r="G45" s="173">
        <f>'תקציב החברה לפיתוח 2021 '!G78</f>
        <v>1100000</v>
      </c>
      <c r="H45" s="173">
        <f>'תקציב החברה לפיתוח 2021 '!H78</f>
        <v>101214</v>
      </c>
      <c r="I45" s="173">
        <f>'תקציב החברה לפיתוח 2021 '!I78</f>
        <v>0</v>
      </c>
      <c r="J45" s="173">
        <f>'תקציב החברה לפיתוח 2021 '!J78</f>
        <v>48786</v>
      </c>
      <c r="K45" s="173">
        <f>'תקציב החברה לפיתוח 2021 '!K78</f>
        <v>48786</v>
      </c>
      <c r="L45" s="173">
        <f>'תקציב החברה לפיתוח 2021 '!L78</f>
        <v>150000</v>
      </c>
      <c r="M45" s="173">
        <f>'תקציב החברה לפיתוח 2021 '!M78</f>
        <v>950000</v>
      </c>
      <c r="N45" s="173">
        <f>'תקציב החברה לפיתוח 2021 '!N78</f>
        <v>0</v>
      </c>
      <c r="O45" s="173">
        <f>'תקציב החברה לפיתוח 2021 '!O78</f>
        <v>1400000</v>
      </c>
      <c r="P45" s="173">
        <f>'תקציב החברה לפיתוח 2021 '!P78</f>
        <v>950000</v>
      </c>
      <c r="Q45" s="173">
        <f>'תקציב החברה לפיתוח 2021 '!Q78</f>
        <v>0</v>
      </c>
      <c r="R45" s="173">
        <f>'תקציב החברה לפיתוח 2021 '!R78</f>
        <v>0</v>
      </c>
      <c r="S45" s="173">
        <f>'תקציב החברה לפיתוח 2021 '!S78</f>
        <v>0</v>
      </c>
      <c r="T45" s="173">
        <f>'תקציב החברה לפיתוח 2021 '!T78</f>
        <v>0</v>
      </c>
      <c r="U45" s="173">
        <f>'תקציב החברה לפיתוח 2021 '!U78</f>
        <v>0</v>
      </c>
      <c r="V45" s="173">
        <f>'תקציב החברה לפיתוח 2021 '!V78</f>
        <v>0</v>
      </c>
      <c r="W45" s="173">
        <f>'תקציב החברה לפיתוח 2021 '!W78</f>
        <v>0</v>
      </c>
      <c r="X45" s="173">
        <f>'תקציב החברה לפיתוח 2021 '!X78</f>
        <v>0</v>
      </c>
      <c r="Y45" s="173">
        <f>'תקציב החברה לפיתוח 2021 '!Y78</f>
        <v>0</v>
      </c>
      <c r="Z45" s="173">
        <f>'תקציב החברה לפיתוח 2021 '!Z78</f>
        <v>0</v>
      </c>
      <c r="AA45" s="173">
        <f>'תקציב החברה לפיתוח 2021 '!AA78</f>
        <v>0</v>
      </c>
      <c r="AB45" s="293" t="str">
        <f>'תקציב החברה לפיתוח 2021 '!AB78</f>
        <v>עבודות פיתוח מערך שבילים בין הרחובות העצמאות הרב גורן ורחוב הבנים.</v>
      </c>
      <c r="AC45" s="172">
        <f>'תקציב החברה לפיתוח 2021 '!AC78</f>
        <v>742000</v>
      </c>
      <c r="AD45" s="284"/>
      <c r="AE45" s="284"/>
      <c r="AF45" s="166"/>
      <c r="AG45" s="166"/>
      <c r="AH45" s="166"/>
      <c r="AI45" s="166"/>
      <c r="AJ45" s="166"/>
    </row>
    <row r="46" spans="1:36" s="183" customFormat="1">
      <c r="A46" s="172">
        <f t="shared" si="2"/>
        <v>41</v>
      </c>
      <c r="B46" s="172">
        <f>'תקציב החברה לפיתוח 2021 '!B79</f>
        <v>2126</v>
      </c>
      <c r="C46" s="326" t="str">
        <f>'תקציב החברה לפיתוח 2021 '!C79</f>
        <v>כיכר העוגן השונית</v>
      </c>
      <c r="D46" s="173">
        <f>'תקציב החברה לפיתוח 2021 '!D79</f>
        <v>1975000</v>
      </c>
      <c r="E46" s="173">
        <f>'תקציב החברה לפיתוח 2021 '!E79</f>
        <v>1375000</v>
      </c>
      <c r="F46" s="173">
        <f>'תקציב החברה לפיתוח 2021 '!F79</f>
        <v>600000</v>
      </c>
      <c r="G46" s="173">
        <f>'תקציב החברה לפיתוח 2021 '!G79</f>
        <v>0</v>
      </c>
      <c r="H46" s="173">
        <f>'תקציב החברה לפיתוח 2021 '!H79</f>
        <v>0</v>
      </c>
      <c r="I46" s="173">
        <f>'תקציב החברה לפיתוח 2021 '!I79</f>
        <v>0</v>
      </c>
      <c r="J46" s="173">
        <f>'תקציב החברה לפיתוח 2021 '!J79</f>
        <v>0</v>
      </c>
      <c r="K46" s="173">
        <f>'תקציב החברה לפיתוח 2021 '!K79</f>
        <v>0</v>
      </c>
      <c r="L46" s="173">
        <f>'תקציב החברה לפיתוח 2021 '!L79</f>
        <v>0</v>
      </c>
      <c r="M46" s="173">
        <f>'תקציב החברה לפיתוח 2021 '!M79</f>
        <v>0</v>
      </c>
      <c r="N46" s="173">
        <f>'תקציב החברה לפיתוח 2021 '!N79</f>
        <v>0</v>
      </c>
      <c r="O46" s="173">
        <f>'תקציב החברה לפיתוח 2021 '!O79</f>
        <v>1975000</v>
      </c>
      <c r="P46" s="173">
        <f>'תקציב החברה לפיתוח 2021 '!P79</f>
        <v>0</v>
      </c>
      <c r="Q46" s="173">
        <f>'תקציב החברה לפיתוח 2021 '!Q79</f>
        <v>0</v>
      </c>
      <c r="R46" s="173">
        <f>'תקציב החברה לפיתוח 2021 '!R79</f>
        <v>0</v>
      </c>
      <c r="S46" s="173">
        <f>'תקציב החברה לפיתוח 2021 '!S79</f>
        <v>0</v>
      </c>
      <c r="T46" s="173">
        <f>'תקציב החברה לפיתוח 2021 '!T79</f>
        <v>0</v>
      </c>
      <c r="U46" s="173">
        <f>'תקציב החברה לפיתוח 2021 '!U79</f>
        <v>0</v>
      </c>
      <c r="V46" s="173">
        <f>'תקציב החברה לפיתוח 2021 '!V79</f>
        <v>0</v>
      </c>
      <c r="W46" s="173">
        <f>'תקציב החברה לפיתוח 2021 '!W79</f>
        <v>0</v>
      </c>
      <c r="X46" s="173">
        <f>'תקציב החברה לפיתוח 2021 '!X79</f>
        <v>0</v>
      </c>
      <c r="Y46" s="173">
        <f>'תקציב החברה לפיתוח 2021 '!Y79</f>
        <v>0</v>
      </c>
      <c r="Z46" s="173">
        <f>'תקציב החברה לפיתוח 2021 '!Z79</f>
        <v>0</v>
      </c>
      <c r="AA46" s="173">
        <f>'תקציב החברה לפיתוח 2021 '!AA79</f>
        <v>0</v>
      </c>
      <c r="AB46" s="293" t="str">
        <f>'תקציב החברה לפיתוח 2021 '!AB79</f>
        <v xml:space="preserve">מימון מ. התחבורה. </v>
      </c>
      <c r="AC46" s="172">
        <f>'תקציב החברה לפיתוח 2021 '!AC79</f>
        <v>742000</v>
      </c>
      <c r="AD46" s="284"/>
      <c r="AE46" s="284"/>
      <c r="AF46" s="166"/>
      <c r="AG46" s="166"/>
      <c r="AH46" s="166"/>
      <c r="AI46" s="166"/>
      <c r="AJ46" s="166"/>
    </row>
    <row r="47" spans="1:36" s="183" customFormat="1" ht="42">
      <c r="A47" s="172">
        <f t="shared" si="2"/>
        <v>42</v>
      </c>
      <c r="B47" s="172">
        <f>'תקציב החברה לפיתוח 2021 '!B83</f>
        <v>2148</v>
      </c>
      <c r="C47" s="326" t="str">
        <f>'תקציב החברה לפיתוח 2021 '!C83</f>
        <v>מתקן חניה עילי  בחניון באיזהת"ש בספיר (*) עדכון שם</v>
      </c>
      <c r="D47" s="173">
        <f>'תקציב החברה לפיתוח 2021 '!D83</f>
        <v>1200000</v>
      </c>
      <c r="E47" s="173">
        <f>'תקציב החברה לפיתוח 2021 '!E83</f>
        <v>1200000</v>
      </c>
      <c r="F47" s="173">
        <f>'תקציב החברה לפיתוח 2021 '!F83</f>
        <v>0</v>
      </c>
      <c r="G47" s="173">
        <f>'תקציב החברה לפיתוח 2021 '!G83</f>
        <v>0</v>
      </c>
      <c r="H47" s="173">
        <f>'תקציב החברה לפיתוח 2021 '!H83</f>
        <v>0</v>
      </c>
      <c r="I47" s="173">
        <f>'תקציב החברה לפיתוח 2021 '!I83</f>
        <v>0</v>
      </c>
      <c r="J47" s="173">
        <f>'תקציב החברה לפיתוח 2021 '!J83</f>
        <v>0</v>
      </c>
      <c r="K47" s="173">
        <f>'תקציב החברה לפיתוח 2021 '!K83</f>
        <v>0</v>
      </c>
      <c r="L47" s="173">
        <f>'תקציב החברה לפיתוח 2021 '!L83</f>
        <v>0</v>
      </c>
      <c r="M47" s="173">
        <f>'תקציב החברה לפיתוח 2021 '!M83</f>
        <v>0</v>
      </c>
      <c r="N47" s="173">
        <f>'תקציב החברה לפיתוח 2021 '!N83</f>
        <v>0</v>
      </c>
      <c r="O47" s="173">
        <f>'תקציב החברה לפיתוח 2021 '!O83</f>
        <v>1200000</v>
      </c>
      <c r="P47" s="173">
        <f>'תקציב החברה לפיתוח 2021 '!P83</f>
        <v>0</v>
      </c>
      <c r="Q47" s="173">
        <f>'תקציב החברה לפיתוח 2021 '!Q83</f>
        <v>0</v>
      </c>
      <c r="R47" s="173">
        <f>'תקציב החברה לפיתוח 2021 '!R83</f>
        <v>0</v>
      </c>
      <c r="S47" s="173">
        <f>'תקציב החברה לפיתוח 2021 '!S83</f>
        <v>0</v>
      </c>
      <c r="T47" s="173">
        <f>'תקציב החברה לפיתוח 2021 '!T83</f>
        <v>0</v>
      </c>
      <c r="U47" s="173">
        <f>'תקציב החברה לפיתוח 2021 '!U83</f>
        <v>0</v>
      </c>
      <c r="V47" s="173">
        <f>'תקציב החברה לפיתוח 2021 '!V83</f>
        <v>0</v>
      </c>
      <c r="W47" s="173">
        <f>'תקציב החברה לפיתוח 2021 '!W83</f>
        <v>0</v>
      </c>
      <c r="X47" s="173">
        <f>'תקציב החברה לפיתוח 2021 '!X83</f>
        <v>0</v>
      </c>
      <c r="Y47" s="173">
        <f>'תקציב החברה לפיתוח 2021 '!Y83</f>
        <v>0</v>
      </c>
      <c r="Z47" s="173">
        <f>'תקציב החברה לפיתוח 2021 '!Z83</f>
        <v>0</v>
      </c>
      <c r="AA47" s="173">
        <f>'תקציב החברה לפיתוח 2021 '!AA83</f>
        <v>0</v>
      </c>
      <c r="AB47" s="293" t="str">
        <f>'תקציב החברה לפיתוח 2021 '!AB83</f>
        <v xml:space="preserve">הקמת מתקן חניה עילי באחד מחניוני אזהת"ש. </v>
      </c>
      <c r="AC47" s="172">
        <f>'תקציב החברה לפיתוח 2021 '!AC83</f>
        <v>742000</v>
      </c>
      <c r="AD47" s="284"/>
      <c r="AE47" s="284"/>
      <c r="AF47" s="166"/>
      <c r="AG47" s="166"/>
      <c r="AH47" s="166"/>
      <c r="AI47" s="166"/>
      <c r="AJ47" s="166"/>
    </row>
    <row r="48" spans="1:36" s="5" customFormat="1" ht="56">
      <c r="A48" s="172">
        <f t="shared" si="2"/>
        <v>43</v>
      </c>
      <c r="B48" s="172">
        <f>'תקציב החברה לפיתוח 2021 '!B86</f>
        <v>2151</v>
      </c>
      <c r="C48" s="326" t="str">
        <f>'תקציב החברה לפיתוח 2021 '!C86</f>
        <v>מתחם בזק</v>
      </c>
      <c r="D48" s="173">
        <f>'תקציב החברה לפיתוח 2021 '!D86</f>
        <v>54000000</v>
      </c>
      <c r="E48" s="173">
        <f>'תקציב החברה לפיתוח 2021 '!E86</f>
        <v>2000000</v>
      </c>
      <c r="F48" s="173">
        <f>'תקציב החברה לפיתוח 2021 '!F86</f>
        <v>52000000</v>
      </c>
      <c r="G48" s="173">
        <f>'תקציב החברה לפיתוח 2021 '!G86</f>
        <v>2000000</v>
      </c>
      <c r="H48" s="173">
        <f>'תקציב החברה לפיתוח 2021 '!H86</f>
        <v>446093</v>
      </c>
      <c r="I48" s="173">
        <f>'תקציב החברה לפיתוח 2021 '!I86</f>
        <v>0</v>
      </c>
      <c r="J48" s="173">
        <f>'תקציב החברה לפיתוח 2021 '!J86</f>
        <v>3906</v>
      </c>
      <c r="K48" s="173">
        <f>'תקציב החברה לפיתוח 2021 '!K86</f>
        <v>3906</v>
      </c>
      <c r="L48" s="173">
        <f>'תקציב החברה לפיתוח 2021 '!L86</f>
        <v>449999</v>
      </c>
      <c r="M48" s="173">
        <f>'תקציב החברה לפיתוח 2021 '!M86</f>
        <v>1550001</v>
      </c>
      <c r="N48" s="173">
        <f>'תקציב החברה לפיתוח 2021 '!N86</f>
        <v>3000000</v>
      </c>
      <c r="O48" s="173">
        <f>'תקציב החברה לפיתוח 2021 '!O86</f>
        <v>49000000</v>
      </c>
      <c r="P48" s="173">
        <f>'תקציב החברה לפיתוח 2021 '!P86</f>
        <v>1550001</v>
      </c>
      <c r="Q48" s="173">
        <f>'תקציב החברה לפיתוח 2021 '!Q86</f>
        <v>0</v>
      </c>
      <c r="R48" s="173">
        <f>'תקציב החברה לפיתוח 2021 '!R86</f>
        <v>0</v>
      </c>
      <c r="S48" s="173">
        <f>'תקציב החברה לפיתוח 2021 '!S86</f>
        <v>0</v>
      </c>
      <c r="T48" s="173">
        <f>'תקציב החברה לפיתוח 2021 '!T86</f>
        <v>0</v>
      </c>
      <c r="U48" s="173">
        <f>'תקציב החברה לפיתוח 2021 '!U86</f>
        <v>3000000</v>
      </c>
      <c r="V48" s="173">
        <f>'תקציב החברה לפיתוח 2021 '!V86</f>
        <v>3000000</v>
      </c>
      <c r="W48" s="173">
        <f>'תקציב החברה לפיתוח 2021 '!W86</f>
        <v>0</v>
      </c>
      <c r="X48" s="173">
        <f>'תקציב החברה לפיתוח 2021 '!X86</f>
        <v>0</v>
      </c>
      <c r="Y48" s="173">
        <f>'תקציב החברה לפיתוח 2021 '!Y86</f>
        <v>0</v>
      </c>
      <c r="Z48" s="173">
        <f>'תקציב החברה לפיתוח 2021 '!Z86</f>
        <v>0</v>
      </c>
      <c r="AA48" s="173">
        <f>'תקציב החברה לפיתוח 2021 '!AA86</f>
        <v>0</v>
      </c>
      <c r="AB48" s="293" t="str">
        <f>'תקציב החברה לפיתוח 2021 '!AB86</f>
        <v>תכנון ראשוני של פיתוח מתחם "בזק" בו ייבנה בניין משרדים שבין היתר יאוכלס אגף הרווחה.</v>
      </c>
      <c r="AC48" s="172">
        <f>'תקציב החברה לפיתוח 2021 '!AC86</f>
        <v>742000</v>
      </c>
      <c r="AD48" s="284"/>
      <c r="AE48" s="284"/>
      <c r="AF48" s="166"/>
      <c r="AG48" s="166"/>
      <c r="AH48" s="166"/>
      <c r="AI48" s="166"/>
      <c r="AJ48" s="166"/>
    </row>
    <row r="49" spans="1:36" s="5" customFormat="1" ht="28">
      <c r="A49" s="172">
        <f t="shared" si="2"/>
        <v>44</v>
      </c>
      <c r="B49" s="172">
        <f>'תקציב החברה לפיתוח 2021 '!B108</f>
        <v>1547</v>
      </c>
      <c r="C49" s="326" t="str">
        <f>'תקציב החברה לפיתוח 2021 '!C108</f>
        <v>פיתוח מתחם גליל ים הר' 1985 א'</v>
      </c>
      <c r="D49" s="173">
        <f>'תקציב החברה לפיתוח 2021 '!D108</f>
        <v>144000000</v>
      </c>
      <c r="E49" s="173">
        <f>'תקציב החברה לפיתוח 2021 '!E108</f>
        <v>144000000</v>
      </c>
      <c r="F49" s="173">
        <f>'תקציב החברה לפיתוח 2021 '!F108</f>
        <v>0</v>
      </c>
      <c r="G49" s="173">
        <f>'תקציב החברה לפיתוח 2021 '!G108</f>
        <v>144000000</v>
      </c>
      <c r="H49" s="173">
        <f>'תקציב החברה לפיתוח 2021 '!H108</f>
        <v>103040054</v>
      </c>
      <c r="I49" s="173">
        <f>'תקציב החברה לפיתוח 2021 '!I108</f>
        <v>941728</v>
      </c>
      <c r="J49" s="173">
        <f>'תקציב החברה לפיתוח 2021 '!J108</f>
        <v>243985</v>
      </c>
      <c r="K49" s="173">
        <f>'תקציב החברה לפיתוח 2021 '!K108</f>
        <v>1185713</v>
      </c>
      <c r="L49" s="173">
        <f>'תקציב החברה לפיתוח 2021 '!L108</f>
        <v>104225767</v>
      </c>
      <c r="M49" s="173">
        <f>'תקציב החברה לפיתוח 2021 '!M108</f>
        <v>9774233</v>
      </c>
      <c r="N49" s="173">
        <f>'תקציב החברה לפיתוח 2021 '!N108</f>
        <v>0</v>
      </c>
      <c r="O49" s="173">
        <f>'תקציב החברה לפיתוח 2021 '!O108</f>
        <v>30000000</v>
      </c>
      <c r="P49" s="173">
        <f>'תקציב החברה לפיתוח 2021 '!P108</f>
        <v>39774233</v>
      </c>
      <c r="Q49" s="173">
        <f>'תקציב החברה לפיתוח 2021 '!Q108</f>
        <v>0</v>
      </c>
      <c r="R49" s="173">
        <f>'תקציב החברה לפיתוח 2021 '!R108</f>
        <v>0</v>
      </c>
      <c r="S49" s="173">
        <f>'תקציב החברה לפיתוח 2021 '!S108</f>
        <v>0</v>
      </c>
      <c r="T49" s="173">
        <f>'תקציב החברה לפיתוח 2021 '!T108</f>
        <v>30000000</v>
      </c>
      <c r="U49" s="173">
        <f>'תקציב החברה לפיתוח 2021 '!U108</f>
        <v>-30000000</v>
      </c>
      <c r="V49" s="173">
        <f>'תקציב החברה לפיתוח 2021 '!V108</f>
        <v>-15000000</v>
      </c>
      <c r="W49" s="173">
        <f>'תקציב החברה לפיתוח 2021 '!W108</f>
        <v>0</v>
      </c>
      <c r="X49" s="173">
        <f>'תקציב החברה לפיתוח 2021 '!X108</f>
        <v>0</v>
      </c>
      <c r="Y49" s="173">
        <f>'תקציב החברה לפיתוח 2021 '!Y108</f>
        <v>-15000000</v>
      </c>
      <c r="Z49" s="173">
        <f>'תקציב החברה לפיתוח 2021 '!Z108</f>
        <v>0</v>
      </c>
      <c r="AA49" s="173">
        <f>'תקציב החברה לפיתוח 2021 '!AA108</f>
        <v>0</v>
      </c>
      <c r="AB49" s="293" t="str">
        <f>'תקציב החברה לפיתוח 2021 '!AB108</f>
        <v>עבודות פיתוח. מימון רמ"י במסגרת הסכם "הגג".</v>
      </c>
      <c r="AC49" s="172">
        <f>'תקציב החברה לפיתוח 2021 '!AC108</f>
        <v>742000</v>
      </c>
      <c r="AD49" s="284"/>
      <c r="AE49" s="284"/>
      <c r="AF49" s="166"/>
      <c r="AG49" s="166"/>
      <c r="AH49" s="166"/>
      <c r="AI49" s="166"/>
      <c r="AJ49" s="166"/>
    </row>
    <row r="50" spans="1:36" s="183" customFormat="1" ht="28">
      <c r="A50" s="172">
        <f t="shared" si="2"/>
        <v>45</v>
      </c>
      <c r="B50" s="172">
        <f>'תקציב החברה לפיתוח 2021 '!B116</f>
        <v>1919</v>
      </c>
      <c r="C50" s="326" t="str">
        <f>'תקציב החברה לפיתוח 2021 '!C116</f>
        <v>פיתוח גליל ים ב'</v>
      </c>
      <c r="D50" s="173">
        <f>'תקציב החברה לפיתוח 2021 '!D116</f>
        <v>135100000</v>
      </c>
      <c r="E50" s="173">
        <f>'תקציב החברה לפיתוח 2021 '!E116</f>
        <v>135100000</v>
      </c>
      <c r="F50" s="173">
        <f>'תקציב החברה לפיתוח 2021 '!F116</f>
        <v>0</v>
      </c>
      <c r="G50" s="173">
        <f>'תקציב החברה לפיתוח 2021 '!G116</f>
        <v>70359741</v>
      </c>
      <c r="H50" s="173">
        <f>'תקציב החברה לפיתוח 2021 '!H116</f>
        <v>48115329</v>
      </c>
      <c r="I50" s="173">
        <f>'תקציב החברה לפיתוח 2021 '!I116</f>
        <v>0</v>
      </c>
      <c r="J50" s="173">
        <f>'תקציב החברה לפיתוח 2021 '!J116</f>
        <v>5704221</v>
      </c>
      <c r="K50" s="173">
        <f>'תקציב החברה לפיתוח 2021 '!K116</f>
        <v>5704221</v>
      </c>
      <c r="L50" s="173">
        <f>'תקציב החברה לפיתוח 2021 '!L116</f>
        <v>53819550</v>
      </c>
      <c r="M50" s="173">
        <f>'תקציב החברה לפיתוח 2021 '!M116</f>
        <v>16540191</v>
      </c>
      <c r="N50" s="173">
        <f>'תקציב החברה לפיתוח 2021 '!N116</f>
        <v>0</v>
      </c>
      <c r="O50" s="173">
        <f>'תקציב החברה לפיתוח 2021 '!O116</f>
        <v>64740259</v>
      </c>
      <c r="P50" s="173">
        <f>'תקציב החברה לפיתוח 2021 '!P116</f>
        <v>16540191</v>
      </c>
      <c r="Q50" s="173">
        <f>'תקציב החברה לפיתוח 2021 '!Q116</f>
        <v>0</v>
      </c>
      <c r="R50" s="173">
        <f>'תקציב החברה לפיתוח 2021 '!R116</f>
        <v>0</v>
      </c>
      <c r="S50" s="173">
        <f>'תקציב החברה לפיתוח 2021 '!S116</f>
        <v>0</v>
      </c>
      <c r="T50" s="173">
        <f>'תקציב החברה לפיתוח 2021 '!T116</f>
        <v>0</v>
      </c>
      <c r="U50" s="173">
        <f>'תקציב החברה לפיתוח 2021 '!U116</f>
        <v>0</v>
      </c>
      <c r="V50" s="173">
        <f>'תקציב החברה לפיתוח 2021 '!V116</f>
        <v>0</v>
      </c>
      <c r="W50" s="173">
        <f>'תקציב החברה לפיתוח 2021 '!W116</f>
        <v>0</v>
      </c>
      <c r="X50" s="173">
        <f>'תקציב החברה לפיתוח 2021 '!X116</f>
        <v>0</v>
      </c>
      <c r="Y50" s="173">
        <f>'תקציב החברה לפיתוח 2021 '!Y116</f>
        <v>0</v>
      </c>
      <c r="Z50" s="173">
        <f>'תקציב החברה לפיתוח 2021 '!Z116</f>
        <v>0</v>
      </c>
      <c r="AA50" s="173">
        <f>'תקציב החברה לפיתוח 2021 '!AA116</f>
        <v>0</v>
      </c>
      <c r="AB50" s="293" t="str">
        <f>'תקציב החברה לפיתוח 2021 '!AB116</f>
        <v xml:space="preserve">עבודות פיתוח. מימון רמ"י במסגרת הסכם "הגג". </v>
      </c>
      <c r="AC50" s="172">
        <f>'תקציב החברה לפיתוח 2021 '!AC116</f>
        <v>742000</v>
      </c>
      <c r="AD50" s="284"/>
      <c r="AE50" s="284"/>
      <c r="AF50" s="166"/>
      <c r="AG50" s="166"/>
      <c r="AH50" s="166"/>
      <c r="AI50" s="166"/>
      <c r="AJ50" s="166"/>
    </row>
    <row r="51" spans="1:36" ht="28">
      <c r="A51" s="172">
        <f t="shared" si="2"/>
        <v>46</v>
      </c>
      <c r="B51" s="172">
        <f>'תקציב החברה לפיתוח 2021 '!B118</f>
        <v>1962</v>
      </c>
      <c r="C51" s="326" t="str">
        <f>'תקציב החברה לפיתוח 2021 '!C118</f>
        <v>גשר הולכי רגל מעל שבעת הכוכבים</v>
      </c>
      <c r="D51" s="173">
        <f>'תקציב החברה לפיתוח 2021 '!D118</f>
        <v>20000000</v>
      </c>
      <c r="E51" s="173">
        <f>'תקציב החברה לפיתוח 2021 '!E118</f>
        <v>20000000</v>
      </c>
      <c r="F51" s="173">
        <f>'תקציב החברה לפיתוח 2021 '!F118</f>
        <v>0</v>
      </c>
      <c r="G51" s="173">
        <f>'תקציב החברה לפיתוח 2021 '!G118</f>
        <v>1000000</v>
      </c>
      <c r="H51" s="173">
        <f>'תקציב החברה לפיתוח 2021 '!H118</f>
        <v>0</v>
      </c>
      <c r="I51" s="173">
        <f>'תקציב החברה לפיתוח 2021 '!I118</f>
        <v>0</v>
      </c>
      <c r="J51" s="173">
        <f>'תקציב החברה לפיתוח 2021 '!J118</f>
        <v>0</v>
      </c>
      <c r="K51" s="173">
        <f>'תקציב החברה לפיתוח 2021 '!K118</f>
        <v>0</v>
      </c>
      <c r="L51" s="173">
        <f>'תקציב החברה לפיתוח 2021 '!L118</f>
        <v>0</v>
      </c>
      <c r="M51" s="173">
        <f>'תקציב החברה לפיתוח 2021 '!M118</f>
        <v>1000000</v>
      </c>
      <c r="N51" s="173">
        <f>'תקציב החברה לפיתוח 2021 '!N118</f>
        <v>0</v>
      </c>
      <c r="O51" s="173">
        <f>'תקציב החברה לפיתוח 2021 '!O118</f>
        <v>19000000</v>
      </c>
      <c r="P51" s="173">
        <f>'תקציב החברה לפיתוח 2021 '!P118</f>
        <v>1000000</v>
      </c>
      <c r="Q51" s="173">
        <f>'תקציב החברה לפיתוח 2021 '!Q118</f>
        <v>0</v>
      </c>
      <c r="R51" s="173">
        <f>'תקציב החברה לפיתוח 2021 '!R118</f>
        <v>0</v>
      </c>
      <c r="S51" s="173">
        <f>'תקציב החברה לפיתוח 2021 '!S118</f>
        <v>0</v>
      </c>
      <c r="T51" s="173">
        <f>'תקציב החברה לפיתוח 2021 '!T118</f>
        <v>0</v>
      </c>
      <c r="U51" s="173">
        <f>'תקציב החברה לפיתוח 2021 '!U118</f>
        <v>0</v>
      </c>
      <c r="V51" s="173">
        <f>'תקציב החברה לפיתוח 2021 '!V118</f>
        <v>0</v>
      </c>
      <c r="W51" s="173">
        <f>'תקציב החברה לפיתוח 2021 '!W118</f>
        <v>0</v>
      </c>
      <c r="X51" s="173">
        <f>'תקציב החברה לפיתוח 2021 '!X118</f>
        <v>0</v>
      </c>
      <c r="Y51" s="173">
        <f>'תקציב החברה לפיתוח 2021 '!Y118</f>
        <v>0</v>
      </c>
      <c r="Z51" s="173">
        <f>'תקציב החברה לפיתוח 2021 '!Z118</f>
        <v>0</v>
      </c>
      <c r="AA51" s="173">
        <f>'תקציב החברה לפיתוח 2021 '!AA118</f>
        <v>0</v>
      </c>
      <c r="AB51" s="293" t="str">
        <f>'תקציב החברה לפיתוח 2021 '!AB118</f>
        <v>גשר מחבר בין הפארק לבין שבעת הכוכבים.</v>
      </c>
      <c r="AC51" s="172">
        <f>'תקציב החברה לפיתוח 2021 '!AC118</f>
        <v>742000</v>
      </c>
    </row>
    <row r="52" spans="1:36" ht="28">
      <c r="A52" s="172">
        <f t="shared" si="2"/>
        <v>47</v>
      </c>
      <c r="B52" s="172">
        <f>'תקציב החברה לפיתוח 2021 '!B43</f>
        <v>1972</v>
      </c>
      <c r="C52" s="326" t="str">
        <f>'תקציב החברה לפיתוח 2021 '!C43</f>
        <v>פיתוח חורשת הפרחים</v>
      </c>
      <c r="D52" s="173">
        <f>'תקציב החברה לפיתוח 2021 '!D43</f>
        <v>4470000</v>
      </c>
      <c r="E52" s="173">
        <f>'תקציב החברה לפיתוח 2021 '!E43</f>
        <v>4470000</v>
      </c>
      <c r="F52" s="173">
        <f>'תקציב החברה לפיתוח 2021 '!F43</f>
        <v>0</v>
      </c>
      <c r="G52" s="173">
        <f>'תקציב החברה לפיתוח 2021 '!G43</f>
        <v>4470000</v>
      </c>
      <c r="H52" s="173">
        <f>'תקציב החברה לפיתוח 2021 '!H43</f>
        <v>3896210</v>
      </c>
      <c r="I52" s="173">
        <f>'תקציב החברה לפיתוח 2021 '!I43</f>
        <v>0</v>
      </c>
      <c r="J52" s="173">
        <f>'תקציב החברה לפיתוח 2021 '!J43</f>
        <v>91648</v>
      </c>
      <c r="K52" s="173">
        <f>'תקציב החברה לפיתוח 2021 '!K43</f>
        <v>91648</v>
      </c>
      <c r="L52" s="173">
        <f>'תקציב החברה לפיתוח 2021 '!L43</f>
        <v>3987858</v>
      </c>
      <c r="M52" s="173">
        <f>'תקציב החברה לפיתוח 2021 '!M43</f>
        <v>482142</v>
      </c>
      <c r="N52" s="173">
        <f>'תקציב החברה לפיתוח 2021 '!N43</f>
        <v>0</v>
      </c>
      <c r="O52" s="173">
        <f>'תקציב החברה לפיתוח 2021 '!O43</f>
        <v>0</v>
      </c>
      <c r="P52" s="173">
        <f>'תקציב החברה לפיתוח 2021 '!P43</f>
        <v>482142</v>
      </c>
      <c r="Q52" s="173">
        <f>'תקציב החברה לפיתוח 2021 '!Q43</f>
        <v>0</v>
      </c>
      <c r="R52" s="173">
        <f>'תקציב החברה לפיתוח 2021 '!R43</f>
        <v>0</v>
      </c>
      <c r="S52" s="173">
        <f>'תקציב החברה לפיתוח 2021 '!S43</f>
        <v>0</v>
      </c>
      <c r="T52" s="173">
        <f>'תקציב החברה לפיתוח 2021 '!T43</f>
        <v>0</v>
      </c>
      <c r="U52" s="173">
        <f>'תקציב החברה לפיתוח 2021 '!U43</f>
        <v>0</v>
      </c>
      <c r="V52" s="173">
        <f>'תקציב החברה לפיתוח 2021 '!V43</f>
        <v>0</v>
      </c>
      <c r="W52" s="173">
        <f>'תקציב החברה לפיתוח 2021 '!W43</f>
        <v>0</v>
      </c>
      <c r="X52" s="173">
        <f>'תקציב החברה לפיתוח 2021 '!X43</f>
        <v>0</v>
      </c>
      <c r="Y52" s="173">
        <f>'תקציב החברה לפיתוח 2021 '!Y43</f>
        <v>0</v>
      </c>
      <c r="Z52" s="173">
        <f>'תקציב החברה לפיתוח 2021 '!Z43</f>
        <v>0</v>
      </c>
      <c r="AA52" s="173">
        <f>'תקציב החברה לפיתוח 2021 '!AA43</f>
        <v>0</v>
      </c>
      <c r="AB52" s="293" t="str">
        <f>'תקציב החברה לפיתוח 2021 '!AB43</f>
        <v>פיתוח שצ"פ בגבעת הפרחים כולל הנגשה. ח-ן סופיים.</v>
      </c>
      <c r="AC52" s="172">
        <f>'תקציב החברה לפיתוח 2021 '!AC43</f>
        <v>746000</v>
      </c>
    </row>
    <row r="53" spans="1:36" ht="42">
      <c r="A53" s="172">
        <f t="shared" si="2"/>
        <v>48</v>
      </c>
      <c r="B53" s="172">
        <f>'תקציב החברה לפיתוח 2021 '!B77</f>
        <v>2118</v>
      </c>
      <c r="C53" s="326" t="str">
        <f>'תקציב החברה לפיתוח 2021 '!C77</f>
        <v>שצ"פ דליה רביקוביץ בשכונת אלתרמן (הר/1920)</v>
      </c>
      <c r="D53" s="173">
        <f>'תקציב החברה לפיתוח 2021 '!D77</f>
        <v>2600000</v>
      </c>
      <c r="E53" s="173">
        <f>'תקציב החברה לפיתוח 2021 '!E77</f>
        <v>2600000</v>
      </c>
      <c r="F53" s="173">
        <f>'תקציב החברה לפיתוח 2021 '!F77</f>
        <v>0</v>
      </c>
      <c r="G53" s="173">
        <f>'תקציב החברה לפיתוח 2021 '!G77</f>
        <v>2600000</v>
      </c>
      <c r="H53" s="173">
        <f>'תקציב החברה לפיתוח 2021 '!H77</f>
        <v>333114</v>
      </c>
      <c r="I53" s="173">
        <f>'תקציב החברה לפיתוח 2021 '!I77</f>
        <v>0</v>
      </c>
      <c r="J53" s="173">
        <f>'תקציב החברה לפיתוח 2021 '!J77</f>
        <v>1007084</v>
      </c>
      <c r="K53" s="173">
        <f>'תקציב החברה לפיתוח 2021 '!K77</f>
        <v>1007084</v>
      </c>
      <c r="L53" s="173">
        <f>'תקציב החברה לפיתוח 2021 '!L77</f>
        <v>1340198</v>
      </c>
      <c r="M53" s="173">
        <f>'תקציב החברה לפיתוח 2021 '!M77</f>
        <v>1259802</v>
      </c>
      <c r="N53" s="173">
        <f>'תקציב החברה לפיתוח 2021 '!N77</f>
        <v>0</v>
      </c>
      <c r="O53" s="173">
        <f>'תקציב החברה לפיתוח 2021 '!O77</f>
        <v>0</v>
      </c>
      <c r="P53" s="173">
        <f>'תקציב החברה לפיתוח 2021 '!P77</f>
        <v>1259802</v>
      </c>
      <c r="Q53" s="173">
        <f>'תקציב החברה לפיתוח 2021 '!Q77</f>
        <v>0</v>
      </c>
      <c r="R53" s="173">
        <f>'תקציב החברה לפיתוח 2021 '!R77</f>
        <v>0</v>
      </c>
      <c r="S53" s="173">
        <f>'תקציב החברה לפיתוח 2021 '!S77</f>
        <v>0</v>
      </c>
      <c r="T53" s="173">
        <f>'תקציב החברה לפיתוח 2021 '!T77</f>
        <v>0</v>
      </c>
      <c r="U53" s="173">
        <f>'תקציב החברה לפיתוח 2021 '!U77</f>
        <v>0</v>
      </c>
      <c r="V53" s="173">
        <f>'תקציב החברה לפיתוח 2021 '!V77</f>
        <v>0</v>
      </c>
      <c r="W53" s="173">
        <f>'תקציב החברה לפיתוח 2021 '!W77</f>
        <v>0</v>
      </c>
      <c r="X53" s="173">
        <f>'תקציב החברה לפיתוח 2021 '!X77</f>
        <v>0</v>
      </c>
      <c r="Y53" s="173">
        <f>'תקציב החברה לפיתוח 2021 '!Y77</f>
        <v>0</v>
      </c>
      <c r="Z53" s="173">
        <f>'תקציב החברה לפיתוח 2021 '!Z77</f>
        <v>0</v>
      </c>
      <c r="AA53" s="173">
        <f>'תקציב החברה לפיתוח 2021 '!AA77</f>
        <v>0</v>
      </c>
      <c r="AB53" s="293" t="str">
        <f>'תקציב החברה לפיתוח 2021 '!AB77</f>
        <v xml:space="preserve">ביצוע שצ"פ בקטע רח' דליה רביקוביץ פינת אסתר רהב. </v>
      </c>
      <c r="AC53" s="172">
        <f>'תקציב החברה לפיתוח 2021 '!AC77</f>
        <v>746000</v>
      </c>
    </row>
    <row r="54" spans="1:36" s="176" customFormat="1" ht="42">
      <c r="A54" s="172">
        <f t="shared" si="2"/>
        <v>49</v>
      </c>
      <c r="B54" s="172">
        <f>'תקציב החברה לפיתוח 2021 '!B85</f>
        <v>2150</v>
      </c>
      <c r="C54" s="326" t="str">
        <f>'תקציב החברה לפיתוח 2021 '!C85</f>
        <v>חורשת האקליפטוסים שצ"פים במתחם הר 1960 (*) עדכון שם</v>
      </c>
      <c r="D54" s="173">
        <f>'תקציב החברה לפיתוח 2021 '!D85</f>
        <v>23500000</v>
      </c>
      <c r="E54" s="173">
        <f>'תקציב החברה לפיתוח 2021 '!E85</f>
        <v>3500000</v>
      </c>
      <c r="F54" s="173">
        <f>'תקציב החברה לפיתוח 2021 '!F85</f>
        <v>20000000</v>
      </c>
      <c r="G54" s="173">
        <f>'תקציב החברה לפיתוח 2021 '!G85</f>
        <v>150000</v>
      </c>
      <c r="H54" s="173">
        <f>'תקציב החברה לפיתוח 2021 '!H85</f>
        <v>146784</v>
      </c>
      <c r="I54" s="173">
        <f>'תקציב החברה לפיתוח 2021 '!I85</f>
        <v>0</v>
      </c>
      <c r="J54" s="173">
        <f>'תקציב החברה לפיתוח 2021 '!J85</f>
        <v>3215</v>
      </c>
      <c r="K54" s="173">
        <f>'תקציב החברה לפיתוח 2021 '!K85</f>
        <v>3215</v>
      </c>
      <c r="L54" s="173">
        <f>'תקציב החברה לפיתוח 2021 '!L85</f>
        <v>149999</v>
      </c>
      <c r="M54" s="173">
        <f>'תקציב החברה לפיתוח 2021 '!M85</f>
        <v>1</v>
      </c>
      <c r="N54" s="173">
        <f>'תקציב החברה לפיתוח 2021 '!N85</f>
        <v>10000000</v>
      </c>
      <c r="O54" s="173">
        <f>'תקציב החברה לפיתוח 2021 '!O85</f>
        <v>13350000</v>
      </c>
      <c r="P54" s="173">
        <f>'תקציב החברה לפיתוח 2021 '!P85</f>
        <v>1</v>
      </c>
      <c r="Q54" s="173">
        <f>'תקציב החברה לפיתוח 2021 '!Q85</f>
        <v>0</v>
      </c>
      <c r="R54" s="173">
        <f>'תקציב החברה לפיתוח 2021 '!R85</f>
        <v>0</v>
      </c>
      <c r="S54" s="173">
        <f>'תקציב החברה לפיתוח 2021 '!S85</f>
        <v>0</v>
      </c>
      <c r="T54" s="173">
        <f>'תקציב החברה לפיתוח 2021 '!T85</f>
        <v>0</v>
      </c>
      <c r="U54" s="173">
        <f>'תקציב החברה לפיתוח 2021 '!U85</f>
        <v>10000000</v>
      </c>
      <c r="V54" s="173">
        <f>'תקציב החברה לפיתוח 2021 '!V85</f>
        <v>10000000</v>
      </c>
      <c r="W54" s="173">
        <f>'תקציב החברה לפיתוח 2021 '!W85</f>
        <v>0</v>
      </c>
      <c r="X54" s="173">
        <f>'תקציב החברה לפיתוח 2021 '!X85</f>
        <v>0</v>
      </c>
      <c r="Y54" s="173">
        <f>'תקציב החברה לפיתוח 2021 '!Y85</f>
        <v>0</v>
      </c>
      <c r="Z54" s="173">
        <f>'תקציב החברה לפיתוח 2021 '!Z85</f>
        <v>0</v>
      </c>
      <c r="AA54" s="173">
        <f>'תקציב החברה לפיתוח 2021 '!AA85</f>
        <v>0</v>
      </c>
      <c r="AB54" s="293" t="str">
        <f>'תקציב החברה לפיתוח 2021 '!AB85</f>
        <v xml:space="preserve">ביצוע שצ"פים במתחם : מלכי יהודה (האקליפטוס), קורן,דן שומרון,דורי,משה שמיר. </v>
      </c>
      <c r="AC54" s="172">
        <f>'תקציב החברה לפיתוח 2021 '!AC85</f>
        <v>746000</v>
      </c>
      <c r="AD54" s="284"/>
      <c r="AE54" s="284"/>
      <c r="AF54" s="166"/>
      <c r="AG54" s="166"/>
      <c r="AH54" s="166"/>
      <c r="AI54" s="166"/>
      <c r="AJ54" s="166"/>
    </row>
    <row r="55" spans="1:36" s="176" customFormat="1" ht="28">
      <c r="A55" s="172">
        <f t="shared" si="2"/>
        <v>50</v>
      </c>
      <c r="B55" s="172">
        <f>'תקציב החברה לפיתוח 2021 '!B109</f>
        <v>1827</v>
      </c>
      <c r="C55" s="326" t="str">
        <f>'תקציב החברה לפיתוח 2021 '!C109</f>
        <v xml:space="preserve">פארק גליל ים </v>
      </c>
      <c r="D55" s="173">
        <f>'תקציב החברה לפיתוח 2021 '!D109</f>
        <v>100000000</v>
      </c>
      <c r="E55" s="173">
        <f>'תקציב החברה לפיתוח 2021 '!E109</f>
        <v>100000000</v>
      </c>
      <c r="F55" s="173">
        <f>'תקציב החברה לפיתוח 2021 '!F109</f>
        <v>0</v>
      </c>
      <c r="G55" s="173">
        <f>'תקציב החברה לפיתוח 2021 '!G109</f>
        <v>83771629</v>
      </c>
      <c r="H55" s="173">
        <f>'תקציב החברה לפיתוח 2021 '!H109</f>
        <v>69667842</v>
      </c>
      <c r="I55" s="173">
        <f>'תקציב החברה לפיתוח 2021 '!I109</f>
        <v>0</v>
      </c>
      <c r="J55" s="173">
        <f>'תקציב החברה לפיתוח 2021 '!J109</f>
        <v>4975071</v>
      </c>
      <c r="K55" s="173">
        <f>'תקציב החברה לפיתוח 2021 '!K109</f>
        <v>4975071</v>
      </c>
      <c r="L55" s="173">
        <f>'תקציב החברה לפיתוח 2021 '!L109</f>
        <v>74642913</v>
      </c>
      <c r="M55" s="173">
        <f>'תקציב החברה לפיתוח 2021 '!M109</f>
        <v>9128716</v>
      </c>
      <c r="N55" s="173">
        <f>'תקציב החברה לפיתוח 2021 '!N109</f>
        <v>16228371</v>
      </c>
      <c r="O55" s="173">
        <f>'תקציב החברה לפיתוח 2021 '!O109</f>
        <v>0</v>
      </c>
      <c r="P55" s="173">
        <f>'תקציב החברה לפיתוח 2021 '!P109</f>
        <v>9128716</v>
      </c>
      <c r="Q55" s="173">
        <f>'תקציב החברה לפיתוח 2021 '!Q109</f>
        <v>0</v>
      </c>
      <c r="R55" s="173">
        <f>'תקציב החברה לפיתוח 2021 '!R109</f>
        <v>0</v>
      </c>
      <c r="S55" s="173">
        <f>'תקציב החברה לפיתוח 2021 '!S109</f>
        <v>0</v>
      </c>
      <c r="T55" s="173">
        <f>'תקציב החברה לפיתוח 2021 '!T109</f>
        <v>0</v>
      </c>
      <c r="U55" s="173">
        <f>'תקציב החברה לפיתוח 2021 '!U109</f>
        <v>16228371</v>
      </c>
      <c r="V55" s="173">
        <f>'תקציב החברה לפיתוח 2021 '!V109</f>
        <v>0</v>
      </c>
      <c r="W55" s="173">
        <f>'תקציב החברה לפיתוח 2021 '!W109</f>
        <v>0</v>
      </c>
      <c r="X55" s="173">
        <f>'תקציב החברה לפיתוח 2021 '!X109</f>
        <v>0</v>
      </c>
      <c r="Y55" s="173">
        <f>'תקציב החברה לפיתוח 2021 '!Y109</f>
        <v>0</v>
      </c>
      <c r="Z55" s="173">
        <f>'תקציב החברה לפיתוח 2021 '!Z109</f>
        <v>0</v>
      </c>
      <c r="AA55" s="173">
        <f>'תקציב החברה לפיתוח 2021 '!AA109</f>
        <v>16228371</v>
      </c>
      <c r="AB55" s="293" t="str">
        <f>'תקציב החברה לפיתוח 2021 '!AB109</f>
        <v>עבודות פיתוח. מימון רמ"י במסגרת הסכם "הגג".</v>
      </c>
      <c r="AC55" s="172">
        <f>'תקציב החברה לפיתוח 2021 '!AC109</f>
        <v>746000</v>
      </c>
      <c r="AD55" s="284"/>
      <c r="AE55" s="284"/>
      <c r="AF55" s="166"/>
      <c r="AG55" s="166"/>
      <c r="AH55" s="166"/>
      <c r="AI55" s="166"/>
      <c r="AJ55" s="166"/>
    </row>
    <row r="56" spans="1:36" s="176" customFormat="1" ht="28">
      <c r="A56" s="172">
        <f t="shared" si="2"/>
        <v>51</v>
      </c>
      <c r="B56" s="172">
        <f>'תקציב החברה לפיתוח 2021 '!B110</f>
        <v>1905</v>
      </c>
      <c r="C56" s="326" t="str">
        <f>'תקציב החברה לפיתוח 2021 '!C110</f>
        <v>שצ"פ מערב קיר אקוסטי גליל ים ב'</v>
      </c>
      <c r="D56" s="173">
        <f>'תקציב החברה לפיתוח 2021 '!D110</f>
        <v>3366000</v>
      </c>
      <c r="E56" s="173">
        <f>'תקציב החברה לפיתוח 2021 '!E110</f>
        <v>3366000</v>
      </c>
      <c r="F56" s="173">
        <f>'תקציב החברה לפיתוח 2021 '!F110</f>
        <v>0</v>
      </c>
      <c r="G56" s="173">
        <f>'תקציב החברה לפיתוח 2021 '!G110</f>
        <v>3366000</v>
      </c>
      <c r="H56" s="173">
        <f>'תקציב החברה לפיתוח 2021 '!H110</f>
        <v>0</v>
      </c>
      <c r="I56" s="173">
        <f>'תקציב החברה לפיתוח 2021 '!I110</f>
        <v>0</v>
      </c>
      <c r="J56" s="173">
        <f>'תקציב החברה לפיתוח 2021 '!J110</f>
        <v>0</v>
      </c>
      <c r="K56" s="173">
        <f>'תקציב החברה לפיתוח 2021 '!K110</f>
        <v>0</v>
      </c>
      <c r="L56" s="173">
        <f>'תקציב החברה לפיתוח 2021 '!L110</f>
        <v>0</v>
      </c>
      <c r="M56" s="173">
        <f>'תקציב החברה לפיתוח 2021 '!M110</f>
        <v>3366000</v>
      </c>
      <c r="N56" s="173">
        <f>'תקציב החברה לפיתוח 2021 '!N110</f>
        <v>0</v>
      </c>
      <c r="O56" s="173">
        <f>'תקציב החברה לפיתוח 2021 '!O110</f>
        <v>0</v>
      </c>
      <c r="P56" s="173">
        <f>'תקציב החברה לפיתוח 2021 '!P110</f>
        <v>3366000</v>
      </c>
      <c r="Q56" s="173">
        <f>'תקציב החברה לפיתוח 2021 '!Q110</f>
        <v>0</v>
      </c>
      <c r="R56" s="173">
        <f>'תקציב החברה לפיתוח 2021 '!R110</f>
        <v>0</v>
      </c>
      <c r="S56" s="173">
        <f>'תקציב החברה לפיתוח 2021 '!S110</f>
        <v>0</v>
      </c>
      <c r="T56" s="173">
        <f>'תקציב החברה לפיתוח 2021 '!T110</f>
        <v>0</v>
      </c>
      <c r="U56" s="173">
        <f>'תקציב החברה לפיתוח 2021 '!U110</f>
        <v>0</v>
      </c>
      <c r="V56" s="173">
        <f>'תקציב החברה לפיתוח 2021 '!V110</f>
        <v>0</v>
      </c>
      <c r="W56" s="173">
        <f>'תקציב החברה לפיתוח 2021 '!W110</f>
        <v>0</v>
      </c>
      <c r="X56" s="173">
        <f>'תקציב החברה לפיתוח 2021 '!X110</f>
        <v>0</v>
      </c>
      <c r="Y56" s="173">
        <f>'תקציב החברה לפיתוח 2021 '!Y110</f>
        <v>0</v>
      </c>
      <c r="Z56" s="173">
        <f>'תקציב החברה לפיתוח 2021 '!Z110</f>
        <v>0</v>
      </c>
      <c r="AA56" s="173">
        <f>'תקציב החברה לפיתוח 2021 '!AA110</f>
        <v>0</v>
      </c>
      <c r="AB56" s="293" t="str">
        <f>'תקציב החברה לפיתוח 2021 '!AB110</f>
        <v>מימון רמ"י במסגרת הסכם "הגג".</v>
      </c>
      <c r="AC56" s="172">
        <f>'תקציב החברה לפיתוח 2021 '!AC110</f>
        <v>746000</v>
      </c>
      <c r="AD56" s="284"/>
      <c r="AE56" s="284"/>
      <c r="AF56" s="166"/>
      <c r="AG56" s="166"/>
      <c r="AH56" s="166"/>
      <c r="AI56" s="166"/>
      <c r="AJ56" s="166"/>
    </row>
    <row r="57" spans="1:36" s="332" customFormat="1">
      <c r="A57" s="291"/>
      <c r="B57" s="291"/>
      <c r="C57" s="423" t="s">
        <v>1477</v>
      </c>
      <c r="D57" s="350">
        <f>SUM(D12:D56)</f>
        <v>1250897330</v>
      </c>
      <c r="E57" s="350">
        <f t="shared" ref="E57:AA57" si="3">SUM(E12:E56)</f>
        <v>1182097330</v>
      </c>
      <c r="F57" s="350">
        <f t="shared" si="3"/>
        <v>68800000</v>
      </c>
      <c r="G57" s="350">
        <f t="shared" si="3"/>
        <v>713043700</v>
      </c>
      <c r="H57" s="350">
        <f t="shared" si="3"/>
        <v>535414602</v>
      </c>
      <c r="I57" s="350">
        <f t="shared" si="3"/>
        <v>1761004</v>
      </c>
      <c r="J57" s="350">
        <f t="shared" si="3"/>
        <v>24375395</v>
      </c>
      <c r="K57" s="350">
        <f t="shared" si="3"/>
        <v>26136399</v>
      </c>
      <c r="L57" s="350">
        <f t="shared" si="3"/>
        <v>561551001</v>
      </c>
      <c r="M57" s="350">
        <f t="shared" si="3"/>
        <v>120492699</v>
      </c>
      <c r="N57" s="350">
        <f t="shared" si="3"/>
        <v>92298371</v>
      </c>
      <c r="O57" s="350">
        <f t="shared" si="3"/>
        <v>476555259</v>
      </c>
      <c r="P57" s="350">
        <f t="shared" si="3"/>
        <v>151492699</v>
      </c>
      <c r="Q57" s="350">
        <f t="shared" si="3"/>
        <v>0</v>
      </c>
      <c r="R57" s="350">
        <f t="shared" si="3"/>
        <v>0</v>
      </c>
      <c r="S57" s="350">
        <f t="shared" si="3"/>
        <v>0</v>
      </c>
      <c r="T57" s="350">
        <f t="shared" si="3"/>
        <v>31000000</v>
      </c>
      <c r="U57" s="350">
        <f t="shared" si="3"/>
        <v>61298371</v>
      </c>
      <c r="V57" s="350">
        <f t="shared" si="3"/>
        <v>60070000</v>
      </c>
      <c r="W57" s="350">
        <f t="shared" si="3"/>
        <v>0</v>
      </c>
      <c r="X57" s="350">
        <f t="shared" si="3"/>
        <v>0</v>
      </c>
      <c r="Y57" s="350">
        <f t="shared" si="3"/>
        <v>-15000000</v>
      </c>
      <c r="Z57" s="350">
        <f t="shared" si="3"/>
        <v>0</v>
      </c>
      <c r="AA57" s="350">
        <f t="shared" si="3"/>
        <v>16228371</v>
      </c>
      <c r="AB57" s="352"/>
      <c r="AC57" s="172"/>
      <c r="AD57" s="334"/>
      <c r="AE57" s="334"/>
      <c r="AF57" s="345"/>
      <c r="AG57" s="345"/>
      <c r="AH57" s="345"/>
      <c r="AI57" s="345"/>
      <c r="AJ57" s="345"/>
    </row>
    <row r="58" spans="1:36" s="176" customFormat="1" ht="28">
      <c r="A58" s="172">
        <f>A56+1</f>
        <v>52</v>
      </c>
      <c r="B58" s="172">
        <f>'תקציב החברה לפיתוח 2021 '!B17</f>
        <v>1375</v>
      </c>
      <c r="C58" s="326" t="str">
        <f>'תקציב החברה לפיתוח 2021 '!C17</f>
        <v>הקמת בריכה ומרכז לאומנויות לחימה</v>
      </c>
      <c r="D58" s="173">
        <f>'תקציב החברה לפיתוח 2021 '!D17</f>
        <v>40150000</v>
      </c>
      <c r="E58" s="173">
        <f>'תקציב החברה לפיתוח 2021 '!E17</f>
        <v>40150000</v>
      </c>
      <c r="F58" s="173">
        <f>'תקציב החברה לפיתוח 2021 '!F17</f>
        <v>0</v>
      </c>
      <c r="G58" s="173">
        <f>'תקציב החברה לפיתוח 2021 '!G17</f>
        <v>30150000</v>
      </c>
      <c r="H58" s="173">
        <f>'תקציב החברה לפיתוח 2021 '!H17</f>
        <v>29163485</v>
      </c>
      <c r="I58" s="173">
        <f>'תקציב החברה לפיתוח 2021 '!I17</f>
        <v>0</v>
      </c>
      <c r="J58" s="173">
        <f>'תקציב החברה לפיתוח 2021 '!J17</f>
        <v>735246</v>
      </c>
      <c r="K58" s="173">
        <f>'תקציב החברה לפיתוח 2021 '!K17</f>
        <v>735246</v>
      </c>
      <c r="L58" s="173">
        <f>'תקציב החברה לפיתוח 2021 '!L17</f>
        <v>29898731</v>
      </c>
      <c r="M58" s="173">
        <f>'תקציב החברה לפיתוח 2021 '!M17</f>
        <v>251269</v>
      </c>
      <c r="N58" s="173">
        <f>'תקציב החברה לפיתוח 2021 '!N17</f>
        <v>0</v>
      </c>
      <c r="O58" s="173">
        <f>'תקציב החברה לפיתוח 2021 '!O17</f>
        <v>10000000</v>
      </c>
      <c r="P58" s="173">
        <f>'תקציב החברה לפיתוח 2021 '!P17</f>
        <v>251269</v>
      </c>
      <c r="Q58" s="173">
        <f>'תקציב החברה לפיתוח 2021 '!Q17</f>
        <v>0</v>
      </c>
      <c r="R58" s="173">
        <f>'תקציב החברה לפיתוח 2021 '!R17</f>
        <v>0</v>
      </c>
      <c r="S58" s="173">
        <f>'תקציב החברה לפיתוח 2021 '!S17</f>
        <v>0</v>
      </c>
      <c r="T58" s="173">
        <f>'תקציב החברה לפיתוח 2021 '!T17</f>
        <v>0</v>
      </c>
      <c r="U58" s="173">
        <f>'תקציב החברה לפיתוח 2021 '!U17</f>
        <v>0</v>
      </c>
      <c r="V58" s="173">
        <f>'תקציב החברה לפיתוח 2021 '!V17</f>
        <v>0</v>
      </c>
      <c r="W58" s="173">
        <f>'תקציב החברה לפיתוח 2021 '!W17</f>
        <v>0</v>
      </c>
      <c r="X58" s="173">
        <f>'תקציב החברה לפיתוח 2021 '!X17</f>
        <v>0</v>
      </c>
      <c r="Y58" s="173">
        <f>'תקציב החברה לפיתוח 2021 '!Y17</f>
        <v>0</v>
      </c>
      <c r="Z58" s="173">
        <f>'תקציב החברה לפיתוח 2021 '!Z17</f>
        <v>0</v>
      </c>
      <c r="AA58" s="173">
        <f>'תקציב החברה לפיתוח 2021 '!AA17</f>
        <v>0</v>
      </c>
      <c r="AB58" s="293" t="str">
        <f>'תקציב החברה לפיתוח 2021 '!AB17</f>
        <v>תוספת קומה והקמת חדרי פעילויות .</v>
      </c>
      <c r="AC58" s="172">
        <f>'תקציב החברה לפיתוח 2021 '!AC17</f>
        <v>747000</v>
      </c>
      <c r="AD58" s="284"/>
      <c r="AE58" s="284"/>
      <c r="AF58" s="166"/>
      <c r="AG58" s="166"/>
      <c r="AH58" s="166"/>
      <c r="AI58" s="166"/>
      <c r="AJ58" s="166"/>
    </row>
    <row r="59" spans="1:36" s="176" customFormat="1" ht="42">
      <c r="A59" s="172">
        <f>A58+1</f>
        <v>53</v>
      </c>
      <c r="B59" s="172">
        <f>'תקציב החברה לפיתוח 2021 '!B65</f>
        <v>2080</v>
      </c>
      <c r="C59" s="326" t="str">
        <f>'תקציב החברה לפיתוח 2021 '!C65</f>
        <v>הכשרת החוף הנפרד</v>
      </c>
      <c r="D59" s="173">
        <f>'תקציב החברה לפיתוח 2021 '!D65</f>
        <v>2400000</v>
      </c>
      <c r="E59" s="173">
        <f>'תקציב החברה לפיתוח 2021 '!E65</f>
        <v>2400000</v>
      </c>
      <c r="F59" s="173">
        <f>'תקציב החברה לפיתוח 2021 '!F65</f>
        <v>0</v>
      </c>
      <c r="G59" s="173">
        <f>'תקציב החברה לפיתוח 2021 '!G65</f>
        <v>2400000</v>
      </c>
      <c r="H59" s="173">
        <f>'תקציב החברה לפיתוח 2021 '!H65</f>
        <v>1705114</v>
      </c>
      <c r="I59" s="173">
        <f>'תקציב החברה לפיתוח 2021 '!I65</f>
        <v>0</v>
      </c>
      <c r="J59" s="173">
        <f>'תקציב החברה לפיתוח 2021 '!J65</f>
        <v>262255</v>
      </c>
      <c r="K59" s="173">
        <f>'תקציב החברה לפיתוח 2021 '!K65</f>
        <v>262255</v>
      </c>
      <c r="L59" s="173">
        <f>'תקציב החברה לפיתוח 2021 '!L65</f>
        <v>1967369</v>
      </c>
      <c r="M59" s="173">
        <f>'תקציב החברה לפיתוח 2021 '!M65</f>
        <v>432631</v>
      </c>
      <c r="N59" s="173">
        <f>'תקציב החברה לפיתוח 2021 '!N65</f>
        <v>0</v>
      </c>
      <c r="O59" s="173">
        <f>'תקציב החברה לפיתוח 2021 '!O65</f>
        <v>0</v>
      </c>
      <c r="P59" s="173">
        <f>'תקציב החברה לפיתוח 2021 '!P65</f>
        <v>432631</v>
      </c>
      <c r="Q59" s="173">
        <f>'תקציב החברה לפיתוח 2021 '!Q65</f>
        <v>0</v>
      </c>
      <c r="R59" s="173">
        <f>'תקציב החברה לפיתוח 2021 '!R65</f>
        <v>0</v>
      </c>
      <c r="S59" s="173">
        <f>'תקציב החברה לפיתוח 2021 '!S65</f>
        <v>0</v>
      </c>
      <c r="T59" s="173">
        <f>'תקציב החברה לפיתוח 2021 '!T65</f>
        <v>0</v>
      </c>
      <c r="U59" s="173">
        <f>'תקציב החברה לפיתוח 2021 '!U65</f>
        <v>0</v>
      </c>
      <c r="V59" s="173">
        <f>'תקציב החברה לפיתוח 2021 '!V65</f>
        <v>0</v>
      </c>
      <c r="W59" s="173">
        <f>'תקציב החברה לפיתוח 2021 '!W65</f>
        <v>0</v>
      </c>
      <c r="X59" s="173">
        <f>'תקציב החברה לפיתוח 2021 '!X65</f>
        <v>0</v>
      </c>
      <c r="Y59" s="173">
        <f>'תקציב החברה לפיתוח 2021 '!Y65</f>
        <v>0</v>
      </c>
      <c r="Z59" s="173">
        <f>'תקציב החברה לפיתוח 2021 '!Z65</f>
        <v>0</v>
      </c>
      <c r="AA59" s="173">
        <f>'תקציב החברה לפיתוח 2021 '!AA65</f>
        <v>0</v>
      </c>
      <c r="AB59" s="293" t="str">
        <f>'תקציב החברה לפיתוח 2021 '!AB65</f>
        <v>עבודות הכשרת החוף הנפרד, מעברים ושיפוץ כולל גשר מעבר. ח-ן סופיים.</v>
      </c>
      <c r="AC59" s="172">
        <f>'תקציב החברה לפיתוח 2021 '!AC65</f>
        <v>747000</v>
      </c>
      <c r="AD59" s="284"/>
      <c r="AE59" s="284"/>
      <c r="AF59" s="166"/>
      <c r="AG59" s="166"/>
      <c r="AH59" s="166"/>
      <c r="AI59" s="166"/>
      <c r="AJ59" s="166"/>
    </row>
    <row r="60" spans="1:36" s="176" customFormat="1" ht="56">
      <c r="A60" s="172">
        <f>A59+1</f>
        <v>54</v>
      </c>
      <c r="B60" s="172">
        <f>'תקציב החברה לפיתוח 2021 '!B80</f>
        <v>2127</v>
      </c>
      <c r="C60" s="326" t="str">
        <f>'תקציב החברה לפיתוח 2021 '!C80</f>
        <v>הגנה על מצוקי הים</v>
      </c>
      <c r="D60" s="173">
        <f>'תקציב החברה לפיתוח 2021 '!D80</f>
        <v>2259000</v>
      </c>
      <c r="E60" s="173">
        <f>'תקציב החברה לפיתוח 2021 '!E80</f>
        <v>1000000</v>
      </c>
      <c r="F60" s="173">
        <f>'תקציב החברה לפיתוח 2021 '!F80</f>
        <v>1259000</v>
      </c>
      <c r="G60" s="173">
        <f>'תקציב החברה לפיתוח 2021 '!G80</f>
        <v>1000000</v>
      </c>
      <c r="H60" s="173">
        <f>'תקציב החברה לפיתוח 2021 '!H80</f>
        <v>24804</v>
      </c>
      <c r="I60" s="173">
        <f>'תקציב החברה לפיתוח 2021 '!I80</f>
        <v>0</v>
      </c>
      <c r="J60" s="173">
        <f>'תקציב החברה לפיתוח 2021 '!J80</f>
        <v>975194</v>
      </c>
      <c r="K60" s="173">
        <f>'תקציב החברה לפיתוח 2021 '!K80</f>
        <v>975194</v>
      </c>
      <c r="L60" s="173">
        <f>'תקציב החברה לפיתוח 2021 '!L80</f>
        <v>999998</v>
      </c>
      <c r="M60" s="173">
        <f>'תקציב החברה לפיתוח 2021 '!M80</f>
        <v>2</v>
      </c>
      <c r="N60" s="173">
        <f>'תקציב החברה לפיתוח 2021 '!N80</f>
        <v>1259000</v>
      </c>
      <c r="O60" s="173">
        <f>'תקציב החברה לפיתוח 2021 '!O80</f>
        <v>0</v>
      </c>
      <c r="P60" s="173">
        <f>'תקציב החברה לפיתוח 2021 '!P80</f>
        <v>2</v>
      </c>
      <c r="Q60" s="173">
        <f>'תקציב החברה לפיתוח 2021 '!Q80</f>
        <v>0</v>
      </c>
      <c r="R60" s="173">
        <f>'תקציב החברה לפיתוח 2021 '!R80</f>
        <v>0</v>
      </c>
      <c r="S60" s="173">
        <f>'תקציב החברה לפיתוח 2021 '!S80</f>
        <v>0</v>
      </c>
      <c r="T60" s="173">
        <f>'תקציב החברה לפיתוח 2021 '!T80</f>
        <v>0</v>
      </c>
      <c r="U60" s="173">
        <f>'תקציב החברה לפיתוח 2021 '!U80</f>
        <v>1259000</v>
      </c>
      <c r="V60" s="173">
        <f>'תקציב החברה לפיתוח 2021 '!V80</f>
        <v>0</v>
      </c>
      <c r="W60" s="173">
        <f>'תקציב החברה לפיתוח 2021 '!W80</f>
        <v>0</v>
      </c>
      <c r="X60" s="173">
        <f>'תקציב החברה לפיתוח 2021 '!X80</f>
        <v>0</v>
      </c>
      <c r="Y60" s="173">
        <f>'תקציב החברה לפיתוח 2021 '!Y80</f>
        <v>0</v>
      </c>
      <c r="Z60" s="173">
        <f>'תקציב החברה לפיתוח 2021 '!Z80</f>
        <v>0</v>
      </c>
      <c r="AA60" s="173">
        <f>'תקציב החברה לפיתוח 2021 '!AA80</f>
        <v>1259000</v>
      </c>
      <c r="AB60" s="293" t="str">
        <f>'תקציב החברה לפיתוח 2021 '!AB80</f>
        <v xml:space="preserve">גיבוש תוכנית פעולות לעבודות הגנה על מצוקי חופי הים . 2021: המשך תכנון. מימון מ. הפנים. </v>
      </c>
      <c r="AC60" s="172">
        <f>'תקציב החברה לפיתוח 2021 '!AC80</f>
        <v>747000</v>
      </c>
      <c r="AD60" s="284"/>
      <c r="AE60" s="284"/>
      <c r="AF60" s="166"/>
      <c r="AG60" s="166"/>
      <c r="AH60" s="166"/>
      <c r="AI60" s="166"/>
      <c r="AJ60" s="166"/>
    </row>
    <row r="61" spans="1:36" s="332" customFormat="1">
      <c r="A61" s="291"/>
      <c r="B61" s="291"/>
      <c r="C61" s="423" t="s">
        <v>1479</v>
      </c>
      <c r="D61" s="350">
        <f>SUM(D58:D60)</f>
        <v>44809000</v>
      </c>
      <c r="E61" s="350">
        <f t="shared" ref="E61:AA61" si="4">SUM(E58:E60)</f>
        <v>43550000</v>
      </c>
      <c r="F61" s="350">
        <f t="shared" si="4"/>
        <v>1259000</v>
      </c>
      <c r="G61" s="350">
        <f t="shared" si="4"/>
        <v>33550000</v>
      </c>
      <c r="H61" s="350">
        <f t="shared" si="4"/>
        <v>30893403</v>
      </c>
      <c r="I61" s="350">
        <f t="shared" si="4"/>
        <v>0</v>
      </c>
      <c r="J61" s="350">
        <f t="shared" si="4"/>
        <v>1972695</v>
      </c>
      <c r="K61" s="350">
        <f t="shared" si="4"/>
        <v>1972695</v>
      </c>
      <c r="L61" s="350">
        <f t="shared" si="4"/>
        <v>32866098</v>
      </c>
      <c r="M61" s="350">
        <f t="shared" si="4"/>
        <v>683902</v>
      </c>
      <c r="N61" s="350">
        <f t="shared" si="4"/>
        <v>1259000</v>
      </c>
      <c r="O61" s="350">
        <f t="shared" si="4"/>
        <v>10000000</v>
      </c>
      <c r="P61" s="350">
        <f t="shared" si="4"/>
        <v>683902</v>
      </c>
      <c r="Q61" s="350">
        <f t="shared" si="4"/>
        <v>0</v>
      </c>
      <c r="R61" s="350">
        <f t="shared" si="4"/>
        <v>0</v>
      </c>
      <c r="S61" s="350">
        <f t="shared" si="4"/>
        <v>0</v>
      </c>
      <c r="T61" s="350">
        <f t="shared" si="4"/>
        <v>0</v>
      </c>
      <c r="U61" s="350">
        <f t="shared" si="4"/>
        <v>1259000</v>
      </c>
      <c r="V61" s="350">
        <f t="shared" si="4"/>
        <v>0</v>
      </c>
      <c r="W61" s="350">
        <f t="shared" si="4"/>
        <v>0</v>
      </c>
      <c r="X61" s="350">
        <f t="shared" si="4"/>
        <v>0</v>
      </c>
      <c r="Y61" s="350">
        <f t="shared" si="4"/>
        <v>0</v>
      </c>
      <c r="Z61" s="350">
        <f t="shared" si="4"/>
        <v>0</v>
      </c>
      <c r="AA61" s="350">
        <f t="shared" si="4"/>
        <v>1259000</v>
      </c>
      <c r="AB61" s="352"/>
      <c r="AC61" s="291"/>
      <c r="AD61" s="334"/>
      <c r="AE61" s="334"/>
      <c r="AF61" s="345"/>
      <c r="AG61" s="345"/>
      <c r="AH61" s="345"/>
      <c r="AI61" s="345"/>
      <c r="AJ61" s="345"/>
    </row>
    <row r="62" spans="1:36" ht="28">
      <c r="A62" s="172">
        <f>A60+1</f>
        <v>55</v>
      </c>
      <c r="B62" s="172">
        <f>'תקציב החברה לפיתוח 2021 '!B19</f>
        <v>1443</v>
      </c>
      <c r="C62" s="326" t="str">
        <f>'תקציב החברה לפיתוח 2021 '!C19</f>
        <v>עבודות פינוי ומיחזור הר' 1903</v>
      </c>
      <c r="D62" s="173">
        <f>'תקציב החברה לפיתוח 2021 '!D19</f>
        <v>78500000</v>
      </c>
      <c r="E62" s="173">
        <f>'תקציב החברה לפיתוח 2021 '!E19</f>
        <v>78500000</v>
      </c>
      <c r="F62" s="173">
        <f>'תקציב החברה לפיתוח 2021 '!F19</f>
        <v>0</v>
      </c>
      <c r="G62" s="173">
        <f>'תקציב החברה לפיתוח 2021 '!G19</f>
        <v>53840000</v>
      </c>
      <c r="H62" s="173">
        <f>'תקציב החברה לפיתוח 2021 '!H19</f>
        <v>50824299</v>
      </c>
      <c r="I62" s="173">
        <f>'תקציב החברה לפיתוח 2021 '!I19</f>
        <v>0</v>
      </c>
      <c r="J62" s="173">
        <f>'תקציב החברה לפיתוח 2021 '!J19</f>
        <v>0</v>
      </c>
      <c r="K62" s="173">
        <f>'תקציב החברה לפיתוח 2021 '!K19</f>
        <v>0</v>
      </c>
      <c r="L62" s="173">
        <f>'תקציב החברה לפיתוח 2021 '!L19</f>
        <v>50824299</v>
      </c>
      <c r="M62" s="173">
        <f>'תקציב החברה לפיתוח 2021 '!M19</f>
        <v>3015701</v>
      </c>
      <c r="N62" s="173">
        <f>'תקציב החברה לפיתוח 2021 '!N19</f>
        <v>0</v>
      </c>
      <c r="O62" s="173">
        <f>'תקציב החברה לפיתוח 2021 '!O19</f>
        <v>24660000</v>
      </c>
      <c r="P62" s="173">
        <f>'תקציב החברה לפיתוח 2021 '!P19</f>
        <v>3015701</v>
      </c>
      <c r="Q62" s="173">
        <f>'תקציב החברה לפיתוח 2021 '!Q19</f>
        <v>0</v>
      </c>
      <c r="R62" s="173">
        <f>'תקציב החברה לפיתוח 2021 '!R19</f>
        <v>0</v>
      </c>
      <c r="S62" s="173">
        <f>'תקציב החברה לפיתוח 2021 '!S19</f>
        <v>0</v>
      </c>
      <c r="T62" s="173">
        <f>'תקציב החברה לפיתוח 2021 '!T19</f>
        <v>0</v>
      </c>
      <c r="U62" s="173">
        <f>'תקציב החברה לפיתוח 2021 '!U19</f>
        <v>0</v>
      </c>
      <c r="V62" s="173">
        <f>'תקציב החברה לפיתוח 2021 '!V19</f>
        <v>0</v>
      </c>
      <c r="W62" s="173">
        <f>'תקציב החברה לפיתוח 2021 '!W19</f>
        <v>0</v>
      </c>
      <c r="X62" s="173">
        <f>'תקציב החברה לפיתוח 2021 '!X19</f>
        <v>0</v>
      </c>
      <c r="Y62" s="173">
        <f>'תקציב החברה לפיתוח 2021 '!Y19</f>
        <v>0</v>
      </c>
      <c r="Z62" s="173">
        <f>'תקציב החברה לפיתוח 2021 '!Z19</f>
        <v>0</v>
      </c>
      <c r="AA62" s="173">
        <f>'תקציב החברה לפיתוח 2021 '!AA19</f>
        <v>0</v>
      </c>
      <c r="AB62" s="293">
        <f>'תקציב החברה לפיתוח 2021 '!AB19</f>
        <v>0</v>
      </c>
      <c r="AC62" s="172">
        <f>'תקציב החברה לפיתוח 2021 '!AC19</f>
        <v>749000</v>
      </c>
    </row>
    <row r="63" spans="1:36" s="345" customFormat="1">
      <c r="A63" s="291"/>
      <c r="B63" s="291"/>
      <c r="C63" s="423" t="s">
        <v>1480</v>
      </c>
      <c r="D63" s="350">
        <f>SUM(D62)</f>
        <v>78500000</v>
      </c>
      <c r="E63" s="350">
        <f t="shared" ref="E63:AA63" si="5">SUM(E62)</f>
        <v>78500000</v>
      </c>
      <c r="F63" s="350">
        <f t="shared" si="5"/>
        <v>0</v>
      </c>
      <c r="G63" s="350">
        <f t="shared" si="5"/>
        <v>53840000</v>
      </c>
      <c r="H63" s="350">
        <f t="shared" si="5"/>
        <v>50824299</v>
      </c>
      <c r="I63" s="350">
        <f t="shared" si="5"/>
        <v>0</v>
      </c>
      <c r="J63" s="350">
        <f t="shared" si="5"/>
        <v>0</v>
      </c>
      <c r="K63" s="350">
        <f t="shared" si="5"/>
        <v>0</v>
      </c>
      <c r="L63" s="350">
        <f t="shared" si="5"/>
        <v>50824299</v>
      </c>
      <c r="M63" s="350">
        <f t="shared" si="5"/>
        <v>3015701</v>
      </c>
      <c r="N63" s="350">
        <f t="shared" si="5"/>
        <v>0</v>
      </c>
      <c r="O63" s="350">
        <f t="shared" si="5"/>
        <v>24660000</v>
      </c>
      <c r="P63" s="350">
        <f t="shared" si="5"/>
        <v>3015701</v>
      </c>
      <c r="Q63" s="350">
        <f t="shared" si="5"/>
        <v>0</v>
      </c>
      <c r="R63" s="350">
        <f t="shared" si="5"/>
        <v>0</v>
      </c>
      <c r="S63" s="350">
        <f t="shared" si="5"/>
        <v>0</v>
      </c>
      <c r="T63" s="350">
        <f t="shared" si="5"/>
        <v>0</v>
      </c>
      <c r="U63" s="350">
        <f t="shared" si="5"/>
        <v>0</v>
      </c>
      <c r="V63" s="350">
        <f t="shared" si="5"/>
        <v>0</v>
      </c>
      <c r="W63" s="350">
        <f t="shared" si="5"/>
        <v>0</v>
      </c>
      <c r="X63" s="350">
        <f t="shared" si="5"/>
        <v>0</v>
      </c>
      <c r="Y63" s="350">
        <f t="shared" si="5"/>
        <v>0</v>
      </c>
      <c r="Z63" s="350">
        <f t="shared" si="5"/>
        <v>0</v>
      </c>
      <c r="AA63" s="350">
        <f t="shared" si="5"/>
        <v>0</v>
      </c>
      <c r="AB63" s="352"/>
      <c r="AC63" s="291"/>
      <c r="AD63" s="334"/>
      <c r="AE63" s="334"/>
    </row>
    <row r="64" spans="1:36" ht="56">
      <c r="A64" s="172">
        <f>A62+1</f>
        <v>56</v>
      </c>
      <c r="B64" s="172">
        <f>'תקציב החברה לפיתוח 2021 '!B7</f>
        <v>576</v>
      </c>
      <c r="C64" s="326" t="str">
        <f>'תקציב החברה לפיתוח 2021 '!C7</f>
        <v>בית העלמין החדש</v>
      </c>
      <c r="D64" s="173">
        <f>'תקציב החברה לפיתוח 2021 '!D7</f>
        <v>76913000</v>
      </c>
      <c r="E64" s="173">
        <f>'תקציב החברה לפיתוח 2021 '!E7</f>
        <v>58113000</v>
      </c>
      <c r="F64" s="173">
        <f>'תקציב החברה לפיתוח 2021 '!F7</f>
        <v>18800000</v>
      </c>
      <c r="G64" s="173">
        <f>'תקציב החברה לפיתוח 2021 '!G7</f>
        <v>58113000</v>
      </c>
      <c r="H64" s="173">
        <f>'תקציב החברה לפיתוח 2021 '!H7</f>
        <v>53684633</v>
      </c>
      <c r="I64" s="173">
        <f>'תקציב החברה לפיתוח 2021 '!I7</f>
        <v>0</v>
      </c>
      <c r="J64" s="173">
        <f>'תקציב החברה לפיתוח 2021 '!J7</f>
        <v>645799</v>
      </c>
      <c r="K64" s="173">
        <f>'תקציב החברה לפיתוח 2021 '!K7</f>
        <v>645799</v>
      </c>
      <c r="L64" s="173">
        <f>'תקציב החברה לפיתוח 2021 '!L7</f>
        <v>54330432</v>
      </c>
      <c r="M64" s="173">
        <f>'תקציב החברה לפיתוח 2021 '!M7</f>
        <v>3782568</v>
      </c>
      <c r="N64" s="173">
        <f>'תקציב החברה לפיתוח 2021 '!N7</f>
        <v>12000000</v>
      </c>
      <c r="O64" s="173">
        <f>'תקציב החברה לפיתוח 2021 '!O7</f>
        <v>6800000</v>
      </c>
      <c r="P64" s="173">
        <f>'תקציב החברה לפיתוח 2021 '!P7</f>
        <v>3782568</v>
      </c>
      <c r="Q64" s="173">
        <f>'תקציב החברה לפיתוח 2021 '!Q7</f>
        <v>0</v>
      </c>
      <c r="R64" s="173">
        <f>'תקציב החברה לפיתוח 2021 '!R7</f>
        <v>0</v>
      </c>
      <c r="S64" s="173">
        <f>'תקציב החברה לפיתוח 2021 '!S7</f>
        <v>0</v>
      </c>
      <c r="T64" s="173">
        <f>'תקציב החברה לפיתוח 2021 '!T7</f>
        <v>0</v>
      </c>
      <c r="U64" s="173">
        <f>'תקציב החברה לפיתוח 2021 '!U7</f>
        <v>12000000</v>
      </c>
      <c r="V64" s="173">
        <f>'תקציב החברה לפיתוח 2021 '!V7</f>
        <v>0</v>
      </c>
      <c r="W64" s="173">
        <f>'תקציב החברה לפיתוח 2021 '!W7</f>
        <v>0</v>
      </c>
      <c r="X64" s="173">
        <f>'תקציב החברה לפיתוח 2021 '!X7</f>
        <v>0</v>
      </c>
      <c r="Y64" s="173">
        <f>'תקציב החברה לפיתוח 2021 '!Y7</f>
        <v>0</v>
      </c>
      <c r="Z64" s="173">
        <f>'תקציב החברה לפיתוח 2021 '!Z7</f>
        <v>0</v>
      </c>
      <c r="AA64" s="173">
        <f>'תקציב החברה לפיתוח 2021 '!AA7</f>
        <v>12000000</v>
      </c>
      <c r="AB64" s="293" t="str">
        <f>'תקציב החברה לפיתוח 2021 '!AB7</f>
        <v>עבודות הרחבת והכשרת חלקות נוספות מס' 3 , 5, בבית העלמין החדש. מימון תאגיד בית העלמין הרצליה.</v>
      </c>
      <c r="AC64" s="172">
        <f>'תקציב החברה לפיתוח 2021 '!AC7</f>
        <v>760000</v>
      </c>
    </row>
    <row r="65" spans="1:36" s="345" customFormat="1">
      <c r="A65" s="291"/>
      <c r="B65" s="291"/>
      <c r="C65" s="423" t="s">
        <v>1481</v>
      </c>
      <c r="D65" s="350">
        <f>SUM(D64)</f>
        <v>76913000</v>
      </c>
      <c r="E65" s="350">
        <f t="shared" ref="E65:AA65" si="6">SUM(E64)</f>
        <v>58113000</v>
      </c>
      <c r="F65" s="350">
        <f t="shared" si="6"/>
        <v>18800000</v>
      </c>
      <c r="G65" s="350">
        <f t="shared" si="6"/>
        <v>58113000</v>
      </c>
      <c r="H65" s="350">
        <f t="shared" si="6"/>
        <v>53684633</v>
      </c>
      <c r="I65" s="350">
        <f t="shared" si="6"/>
        <v>0</v>
      </c>
      <c r="J65" s="350">
        <f t="shared" si="6"/>
        <v>645799</v>
      </c>
      <c r="K65" s="350">
        <f t="shared" si="6"/>
        <v>645799</v>
      </c>
      <c r="L65" s="350">
        <f t="shared" si="6"/>
        <v>54330432</v>
      </c>
      <c r="M65" s="350">
        <f t="shared" si="6"/>
        <v>3782568</v>
      </c>
      <c r="N65" s="350">
        <f t="shared" si="6"/>
        <v>12000000</v>
      </c>
      <c r="O65" s="350">
        <f t="shared" si="6"/>
        <v>6800000</v>
      </c>
      <c r="P65" s="350">
        <f t="shared" si="6"/>
        <v>3782568</v>
      </c>
      <c r="Q65" s="350">
        <f t="shared" si="6"/>
        <v>0</v>
      </c>
      <c r="R65" s="350">
        <f t="shared" si="6"/>
        <v>0</v>
      </c>
      <c r="S65" s="350">
        <f t="shared" si="6"/>
        <v>0</v>
      </c>
      <c r="T65" s="350">
        <f t="shared" si="6"/>
        <v>0</v>
      </c>
      <c r="U65" s="350">
        <f t="shared" si="6"/>
        <v>12000000</v>
      </c>
      <c r="V65" s="350">
        <f t="shared" si="6"/>
        <v>0</v>
      </c>
      <c r="W65" s="350">
        <f t="shared" si="6"/>
        <v>0</v>
      </c>
      <c r="X65" s="350">
        <f t="shared" si="6"/>
        <v>0</v>
      </c>
      <c r="Y65" s="350">
        <f t="shared" si="6"/>
        <v>0</v>
      </c>
      <c r="Z65" s="350">
        <f t="shared" si="6"/>
        <v>0</v>
      </c>
      <c r="AA65" s="350">
        <f t="shared" si="6"/>
        <v>12000000</v>
      </c>
      <c r="AB65" s="352"/>
      <c r="AC65" s="291"/>
      <c r="AD65" s="334"/>
      <c r="AE65" s="334"/>
    </row>
    <row r="66" spans="1:36" ht="28">
      <c r="A66" s="172">
        <f>A64+1</f>
        <v>57</v>
      </c>
      <c r="B66" s="172">
        <f>'תקציב החברה לפיתוח 2021 '!B27</f>
        <v>1751</v>
      </c>
      <c r="C66" s="326" t="str">
        <f>'תקציב החברה לפיתוח 2021 '!C27</f>
        <v>תכנון מבנה מעונות הסטודנטים</v>
      </c>
      <c r="D66" s="173">
        <f>'תקציב החברה לפיתוח 2021 '!D27</f>
        <v>4800000</v>
      </c>
      <c r="E66" s="173">
        <f>'תקציב החברה לפיתוח 2021 '!E27</f>
        <v>4800000</v>
      </c>
      <c r="F66" s="173">
        <f>'תקציב החברה לפיתוח 2021 '!F27</f>
        <v>0</v>
      </c>
      <c r="G66" s="173">
        <f>'תקציב החברה לפיתוח 2021 '!G27</f>
        <v>2720000</v>
      </c>
      <c r="H66" s="173">
        <f>'תקציב החברה לפיתוח 2021 '!H27</f>
        <v>2602335</v>
      </c>
      <c r="I66" s="173">
        <f>'תקציב החברה לפיתוח 2021 '!I27</f>
        <v>0</v>
      </c>
      <c r="J66" s="173">
        <f>'תקציב החברה לפיתוח 2021 '!J27</f>
        <v>59452</v>
      </c>
      <c r="K66" s="173">
        <f>'תקציב החברה לפיתוח 2021 '!K27</f>
        <v>59452</v>
      </c>
      <c r="L66" s="173">
        <f>'תקציב החברה לפיתוח 2021 '!L27</f>
        <v>2661787</v>
      </c>
      <c r="M66" s="173">
        <f>'תקציב החברה לפיתוח 2021 '!M27</f>
        <v>58213</v>
      </c>
      <c r="N66" s="173">
        <f>'תקציב החברה לפיתוח 2021 '!N27</f>
        <v>0</v>
      </c>
      <c r="O66" s="173">
        <f>'תקציב החברה לפיתוח 2021 '!O27</f>
        <v>2080000</v>
      </c>
      <c r="P66" s="173">
        <f>'תקציב החברה לפיתוח 2021 '!P27</f>
        <v>58213</v>
      </c>
      <c r="Q66" s="173">
        <f>'תקציב החברה לפיתוח 2021 '!Q27</f>
        <v>0</v>
      </c>
      <c r="R66" s="173">
        <f>'תקציב החברה לפיתוח 2021 '!R27</f>
        <v>0</v>
      </c>
      <c r="S66" s="173">
        <f>'תקציב החברה לפיתוח 2021 '!S27</f>
        <v>0</v>
      </c>
      <c r="T66" s="173">
        <f>'תקציב החברה לפיתוח 2021 '!T27</f>
        <v>0</v>
      </c>
      <c r="U66" s="173">
        <f>'תקציב החברה לפיתוח 2021 '!U27</f>
        <v>0</v>
      </c>
      <c r="V66" s="173">
        <f>'תקציב החברה לפיתוח 2021 '!V27</f>
        <v>0</v>
      </c>
      <c r="W66" s="173">
        <f>'תקציב החברה לפיתוח 2021 '!W27</f>
        <v>0</v>
      </c>
      <c r="X66" s="173">
        <f>'תקציב החברה לפיתוח 2021 '!X27</f>
        <v>0</v>
      </c>
      <c r="Y66" s="173">
        <f>'תקציב החברה לפיתוח 2021 '!Y27</f>
        <v>0</v>
      </c>
      <c r="Z66" s="173">
        <f>'תקציב החברה לפיתוח 2021 '!Z27</f>
        <v>0</v>
      </c>
      <c r="AA66" s="173">
        <f>'תקציב החברה לפיתוח 2021 '!AA27</f>
        <v>0</v>
      </c>
      <c r="AB66" s="293" t="str">
        <f>'תקציב החברה לפיתוח 2021 '!AB27</f>
        <v>תכנון מבנה מעונות לסטודנטים ברח' בן שפרוט.</v>
      </c>
      <c r="AC66" s="172">
        <f>'תקציב החברה לפיתוח 2021 '!AC27</f>
        <v>810000</v>
      </c>
    </row>
    <row r="67" spans="1:36" ht="28">
      <c r="A67" s="172">
        <f>A66+1</f>
        <v>58</v>
      </c>
      <c r="B67" s="172">
        <f>'תקציב החברה לפיתוח 2021 '!B41</f>
        <v>1957</v>
      </c>
      <c r="C67" s="326" t="str">
        <f>'תקציב החברה לפיתוח 2021 '!C41</f>
        <v>מתחם קמפוס הרצליה (יד גיורא)</v>
      </c>
      <c r="D67" s="173">
        <f>'תקציב החברה לפיתוח 2021 '!D41</f>
        <v>60000000</v>
      </c>
      <c r="E67" s="173">
        <f>'תקציב החברה לפיתוח 2021 '!E41</f>
        <v>60000000</v>
      </c>
      <c r="F67" s="173">
        <f>'תקציב החברה לפיתוח 2021 '!F41</f>
        <v>0</v>
      </c>
      <c r="G67" s="173">
        <f>'תקציב החברה לפיתוח 2021 '!G41</f>
        <v>4420000</v>
      </c>
      <c r="H67" s="173">
        <f>'תקציב החברה לפיתוח 2021 '!H41</f>
        <v>2763611</v>
      </c>
      <c r="I67" s="173">
        <f>'תקציב החברה לפיתוח 2021 '!I41</f>
        <v>0</v>
      </c>
      <c r="J67" s="173">
        <f>'תקציב החברה לפיתוח 2021 '!J41</f>
        <v>82619</v>
      </c>
      <c r="K67" s="173">
        <f>'תקציב החברה לפיתוח 2021 '!K41</f>
        <v>82619</v>
      </c>
      <c r="L67" s="173">
        <f>'תקציב החברה לפיתוח 2021 '!L41</f>
        <v>2846230</v>
      </c>
      <c r="M67" s="173">
        <f>'תקציב החברה לפיתוח 2021 '!M41</f>
        <v>1573770</v>
      </c>
      <c r="N67" s="173">
        <f>'תקציב החברה לפיתוח 2021 '!N41</f>
        <v>1000000</v>
      </c>
      <c r="O67" s="173">
        <f>'תקציב החברה לפיתוח 2021 '!O41</f>
        <v>54580000</v>
      </c>
      <c r="P67" s="173">
        <f>'תקציב החברה לפיתוח 2021 '!P41</f>
        <v>1573770</v>
      </c>
      <c r="Q67" s="173">
        <f>'תקציב החברה לפיתוח 2021 '!Q41</f>
        <v>0</v>
      </c>
      <c r="R67" s="173">
        <f>'תקציב החברה לפיתוח 2021 '!R41</f>
        <v>0</v>
      </c>
      <c r="S67" s="173">
        <f>'תקציב החברה לפיתוח 2021 '!S41</f>
        <v>0</v>
      </c>
      <c r="T67" s="173">
        <f>'תקציב החברה לפיתוח 2021 '!T41</f>
        <v>0</v>
      </c>
      <c r="U67" s="173">
        <f>'תקציב החברה לפיתוח 2021 '!U41</f>
        <v>1000000</v>
      </c>
      <c r="V67" s="173">
        <f>'תקציב החברה לפיתוח 2021 '!V41</f>
        <v>1000000</v>
      </c>
      <c r="W67" s="173">
        <f>'תקציב החברה לפיתוח 2021 '!W41</f>
        <v>0</v>
      </c>
      <c r="X67" s="173">
        <f>'תקציב החברה לפיתוח 2021 '!X41</f>
        <v>0</v>
      </c>
      <c r="Y67" s="173">
        <f>'תקציב החברה לפיתוח 2021 '!Y41</f>
        <v>0</v>
      </c>
      <c r="Z67" s="173">
        <f>'תקציב החברה לפיתוח 2021 '!Z41</f>
        <v>0</v>
      </c>
      <c r="AA67" s="173">
        <f>'תקציב החברה לפיתוח 2021 '!AA41</f>
        <v>0</v>
      </c>
      <c r="AB67" s="293" t="str">
        <f>'תקציב החברה לפיתוח 2021 '!AB41</f>
        <v>הקמת קמפוס מדעים:בי"ס להנדסאים ותיכון חדש.</v>
      </c>
      <c r="AC67" s="172">
        <f>'תקציב החברה לפיתוח 2021 '!AC41</f>
        <v>810000</v>
      </c>
    </row>
    <row r="68" spans="1:36" s="5" customFormat="1" ht="42">
      <c r="A68" s="172">
        <f t="shared" ref="A68:A96" si="7">A67+1</f>
        <v>59</v>
      </c>
      <c r="B68" s="172">
        <f>'תקציב החברה לפיתוח 2021 '!B49</f>
        <v>2015</v>
      </c>
      <c r="C68" s="326" t="str">
        <f>'תקציב החברה לפיתוח 2021 '!C49</f>
        <v xml:space="preserve"> מרכז מדעים וקהילה (*) עדכון שם (3) גנ"י מדעיים באלתרמן</v>
      </c>
      <c r="D68" s="173">
        <f>'תקציב החברה לפיתוח 2021 '!D49</f>
        <v>54000000</v>
      </c>
      <c r="E68" s="173">
        <f>'תקציב החברה לפיתוח 2021 '!E49</f>
        <v>25000000</v>
      </c>
      <c r="F68" s="173">
        <f>'תקציב החברה לפיתוח 2021 '!F49</f>
        <v>29000000</v>
      </c>
      <c r="G68" s="173">
        <f>'תקציב החברה לפיתוח 2021 '!G49</f>
        <v>10500000</v>
      </c>
      <c r="H68" s="173">
        <f>'תקציב החברה לפיתוח 2021 '!H49</f>
        <v>347358</v>
      </c>
      <c r="I68" s="173">
        <f>'תקציב החברה לפיתוח 2021 '!I49</f>
        <v>0</v>
      </c>
      <c r="J68" s="173">
        <f>'תקציב החברה לפיתוח 2021 '!J49</f>
        <v>54169</v>
      </c>
      <c r="K68" s="173">
        <f>'תקציב החברה לפיתוח 2021 '!K49</f>
        <v>54169</v>
      </c>
      <c r="L68" s="173">
        <f>'תקציב החברה לפיתוח 2021 '!L49</f>
        <v>401527</v>
      </c>
      <c r="M68" s="173">
        <f>'תקציב החברה לפיתוח 2021 '!M49</f>
        <v>10098473</v>
      </c>
      <c r="N68" s="173">
        <f>'תקציב החברה לפיתוח 2021 '!N49</f>
        <v>20000000</v>
      </c>
      <c r="O68" s="173">
        <f>'תקציב החברה לפיתוח 2021 '!O49</f>
        <v>23500000</v>
      </c>
      <c r="P68" s="173">
        <f>'תקציב החברה לפיתוח 2021 '!P49</f>
        <v>10098473</v>
      </c>
      <c r="Q68" s="173">
        <f>'תקציב החברה לפיתוח 2021 '!Q49</f>
        <v>0</v>
      </c>
      <c r="R68" s="173">
        <f>'תקציב החברה לפיתוח 2021 '!R49</f>
        <v>0</v>
      </c>
      <c r="S68" s="173">
        <f>'תקציב החברה לפיתוח 2021 '!S49</f>
        <v>0</v>
      </c>
      <c r="T68" s="173">
        <f>'תקציב החברה לפיתוח 2021 '!T49</f>
        <v>0</v>
      </c>
      <c r="U68" s="173">
        <f>'תקציב החברה לפיתוח 2021 '!U49</f>
        <v>20000000</v>
      </c>
      <c r="V68" s="173">
        <f>'תקציב החברה לפיתוח 2021 '!V49</f>
        <v>20000000</v>
      </c>
      <c r="W68" s="173">
        <f>'תקציב החברה לפיתוח 2021 '!W49</f>
        <v>0</v>
      </c>
      <c r="X68" s="173">
        <f>'תקציב החברה לפיתוח 2021 '!X49</f>
        <v>0</v>
      </c>
      <c r="Y68" s="173">
        <f>'תקציב החברה לפיתוח 2021 '!Y49</f>
        <v>0</v>
      </c>
      <c r="Z68" s="173">
        <f>'תקציב החברה לפיתוח 2021 '!Z49</f>
        <v>0</v>
      </c>
      <c r="AA68" s="173">
        <f>'תקציב החברה לפיתוח 2021 '!AA49</f>
        <v>0</v>
      </c>
      <c r="AB68" s="293" t="str">
        <f>'תקציב החברה לפיתוח 2021 '!AB49</f>
        <v>עבודות בניה ופיתוח מרכז מדעיים וקהילה באלתרמן. מבנה 5 קומות ופיתוח.</v>
      </c>
      <c r="AC68" s="172">
        <f>'תקציב החברה לפיתוח 2021 '!AC49</f>
        <v>810000</v>
      </c>
      <c r="AD68" s="284"/>
      <c r="AE68" s="284"/>
      <c r="AF68" s="166"/>
      <c r="AG68" s="166"/>
      <c r="AH68" s="166"/>
      <c r="AI68" s="166"/>
      <c r="AJ68" s="166"/>
    </row>
    <row r="69" spans="1:36" ht="42">
      <c r="A69" s="172">
        <f t="shared" si="7"/>
        <v>60</v>
      </c>
      <c r="B69" s="172">
        <f>'תקציב החברה לפיתוח 2021 '!B55</f>
        <v>2023</v>
      </c>
      <c r="C69" s="326" t="str">
        <f>'תקציב החברה לפיתוח 2021 '!C55</f>
        <v>גנ"י נווה עמל ציפורן מוריה</v>
      </c>
      <c r="D69" s="173">
        <f>'תקציב החברה לפיתוח 2021 '!D55</f>
        <v>7340000</v>
      </c>
      <c r="E69" s="173">
        <f>'תקציב החברה לפיתוח 2021 '!E55</f>
        <v>7340000</v>
      </c>
      <c r="F69" s="173">
        <f>'תקציב החברה לפיתוח 2021 '!F55</f>
        <v>0</v>
      </c>
      <c r="G69" s="173">
        <f>'תקציב החברה לפיתוח 2021 '!G55</f>
        <v>230000</v>
      </c>
      <c r="H69" s="173">
        <f>'תקציב החברה לפיתוח 2021 '!H55</f>
        <v>225703</v>
      </c>
      <c r="I69" s="173">
        <f>'תקציב החברה לפיתוח 2021 '!I55</f>
        <v>0</v>
      </c>
      <c r="J69" s="173">
        <f>'תקציב החברה לפיתוח 2021 '!J55</f>
        <v>0</v>
      </c>
      <c r="K69" s="173">
        <f>'תקציב החברה לפיתוח 2021 '!K55</f>
        <v>0</v>
      </c>
      <c r="L69" s="173">
        <f>'תקציב החברה לפיתוח 2021 '!L55</f>
        <v>225703</v>
      </c>
      <c r="M69" s="173">
        <f>'תקציב החברה לפיתוח 2021 '!M55</f>
        <v>4297</v>
      </c>
      <c r="N69" s="173">
        <f>'תקציב החברה לפיתוח 2021 '!N55</f>
        <v>0</v>
      </c>
      <c r="O69" s="173">
        <f>'תקציב החברה לפיתוח 2021 '!O55</f>
        <v>7110000</v>
      </c>
      <c r="P69" s="173">
        <f>'תקציב החברה לפיתוח 2021 '!P55</f>
        <v>4297</v>
      </c>
      <c r="Q69" s="173">
        <f>'תקציב החברה לפיתוח 2021 '!Q55</f>
        <v>0</v>
      </c>
      <c r="R69" s="173">
        <f>'תקציב החברה לפיתוח 2021 '!R55</f>
        <v>0</v>
      </c>
      <c r="S69" s="173">
        <f>'תקציב החברה לפיתוח 2021 '!S55</f>
        <v>0</v>
      </c>
      <c r="T69" s="173">
        <f>'תקציב החברה לפיתוח 2021 '!T55</f>
        <v>0</v>
      </c>
      <c r="U69" s="173">
        <f>'תקציב החברה לפיתוח 2021 '!U55</f>
        <v>0</v>
      </c>
      <c r="V69" s="173">
        <f>'תקציב החברה לפיתוח 2021 '!V55</f>
        <v>0</v>
      </c>
      <c r="W69" s="173">
        <f>'תקציב החברה לפיתוח 2021 '!W55</f>
        <v>0</v>
      </c>
      <c r="X69" s="173">
        <f>'תקציב החברה לפיתוח 2021 '!X55</f>
        <v>0</v>
      </c>
      <c r="Y69" s="173">
        <f>'תקציב החברה לפיתוח 2021 '!Y55</f>
        <v>0</v>
      </c>
      <c r="Z69" s="173">
        <f>'תקציב החברה לפיתוח 2021 '!Z55</f>
        <v>0</v>
      </c>
      <c r="AA69" s="173">
        <f>'תקציב החברה לפיתוח 2021 '!AA55</f>
        <v>0</v>
      </c>
      <c r="AB69" s="293" t="str">
        <f>'תקציב החברה לפיתוח 2021 '!AB55</f>
        <v>בניית גנ"י בנווה עמל. חלקות בבעלות רמ"י. נדחה עד הכרת מ. החינוך והסכם חכירה רמ"י.</v>
      </c>
      <c r="AC69" s="172">
        <f>'תקציב החברה לפיתוח 2021 '!AC55</f>
        <v>810000</v>
      </c>
    </row>
    <row r="70" spans="1:36" ht="28">
      <c r="A70" s="172">
        <f t="shared" si="7"/>
        <v>61</v>
      </c>
      <c r="B70" s="172">
        <f>'תקציב החברה לפיתוח 2021 '!B56</f>
        <v>2024</v>
      </c>
      <c r="C70" s="326" t="str">
        <f>'תקציב החברה לפיתוח 2021 '!C56</f>
        <v>גנ"י מרכז ויצמן תמר תאנה</v>
      </c>
      <c r="D70" s="173">
        <f>'תקציב החברה לפיתוח 2021 '!D56</f>
        <v>16300000</v>
      </c>
      <c r="E70" s="173">
        <f>'תקציב החברה לפיתוח 2021 '!E56</f>
        <v>16300000</v>
      </c>
      <c r="F70" s="173">
        <f>'תקציב החברה לפיתוח 2021 '!F56</f>
        <v>0</v>
      </c>
      <c r="G70" s="173">
        <f>'תקציב החברה לפיתוח 2021 '!G56</f>
        <v>10040000</v>
      </c>
      <c r="H70" s="173">
        <f>'תקציב החברה לפיתוח 2021 '!H56</f>
        <v>529871</v>
      </c>
      <c r="I70" s="173">
        <f>'תקציב החברה לפיתוח 2021 '!I56</f>
        <v>0</v>
      </c>
      <c r="J70" s="173">
        <f>'תקציב החברה לפיתוח 2021 '!J56</f>
        <v>88610</v>
      </c>
      <c r="K70" s="173">
        <f>'תקציב החברה לפיתוח 2021 '!K56</f>
        <v>88610</v>
      </c>
      <c r="L70" s="173">
        <f>'תקציב החברה לפיתוח 2021 '!L56</f>
        <v>618481</v>
      </c>
      <c r="M70" s="173">
        <f>'תקציב החברה לפיתוח 2021 '!M56</f>
        <v>9421519</v>
      </c>
      <c r="N70" s="173">
        <f>'תקציב החברה לפיתוח 2021 '!N56</f>
        <v>6260000</v>
      </c>
      <c r="O70" s="173">
        <f>'תקציב החברה לפיתוח 2021 '!O56</f>
        <v>0</v>
      </c>
      <c r="P70" s="173">
        <f>'תקציב החברה לפיתוח 2021 '!P56</f>
        <v>9421519</v>
      </c>
      <c r="Q70" s="173">
        <f>'תקציב החברה לפיתוח 2021 '!Q56</f>
        <v>0</v>
      </c>
      <c r="R70" s="173">
        <f>'תקציב החברה לפיתוח 2021 '!R56</f>
        <v>0</v>
      </c>
      <c r="S70" s="173">
        <f>'תקציב החברה לפיתוח 2021 '!S56</f>
        <v>0</v>
      </c>
      <c r="T70" s="173">
        <f>'תקציב החברה לפיתוח 2021 '!T56</f>
        <v>0</v>
      </c>
      <c r="U70" s="173">
        <f>'תקציב החברה לפיתוח 2021 '!U56</f>
        <v>6260000</v>
      </c>
      <c r="V70" s="173">
        <f>'תקציב החברה לפיתוח 2021 '!V56</f>
        <v>6260000</v>
      </c>
      <c r="W70" s="173">
        <f>'תקציב החברה לפיתוח 2021 '!W56</f>
        <v>0</v>
      </c>
      <c r="X70" s="173">
        <f>'תקציב החברה לפיתוח 2021 '!X56</f>
        <v>0</v>
      </c>
      <c r="Y70" s="173">
        <f>'תקציב החברה לפיתוח 2021 '!Y56</f>
        <v>0</v>
      </c>
      <c r="Z70" s="173">
        <f>'תקציב החברה לפיתוח 2021 '!Z56</f>
        <v>0</v>
      </c>
      <c r="AA70" s="173">
        <f>'תקציב החברה לפיתוח 2021 '!AA56</f>
        <v>0</v>
      </c>
      <c r="AB70" s="293" t="str">
        <f>'תקציב החברה לפיתוח 2021 '!AB56</f>
        <v xml:space="preserve">בניית 6 כיתות גנ"י במתחם ויצמן. לו"ז לאיכלוס 9/2021. </v>
      </c>
      <c r="AC70" s="172">
        <f>'תקציב החברה לפיתוח 2021 '!AC56</f>
        <v>810000</v>
      </c>
    </row>
    <row r="71" spans="1:36" ht="28">
      <c r="A71" s="172">
        <f t="shared" si="7"/>
        <v>62</v>
      </c>
      <c r="B71" s="172">
        <f>'תקציב החברה לפיתוח 2021 '!B57</f>
        <v>2025</v>
      </c>
      <c r="C71" s="326" t="str">
        <f>'תקציב החברה לפיתוח 2021 '!C57</f>
        <v>גן ילדים מתחם זרובבל</v>
      </c>
      <c r="D71" s="173">
        <f>'תקציב החברה לפיתוח 2021 '!D57</f>
        <v>2600000</v>
      </c>
      <c r="E71" s="173">
        <f>'תקציב החברה לפיתוח 2021 '!E57</f>
        <v>2600000</v>
      </c>
      <c r="F71" s="173">
        <f>'תקציב החברה לפיתוח 2021 '!F57</f>
        <v>0</v>
      </c>
      <c r="G71" s="173">
        <f>'תקציב החברה לפיתוח 2021 '!G57</f>
        <v>2600000</v>
      </c>
      <c r="H71" s="173">
        <f>'תקציב החברה לפיתוח 2021 '!H57</f>
        <v>2187801</v>
      </c>
      <c r="I71" s="173">
        <f>'תקציב החברה לפיתוח 2021 '!I57</f>
        <v>0</v>
      </c>
      <c r="J71" s="173">
        <f>'תקציב החברה לפיתוח 2021 '!J57</f>
        <v>337758</v>
      </c>
      <c r="K71" s="173">
        <f>'תקציב החברה לפיתוח 2021 '!K57</f>
        <v>337758</v>
      </c>
      <c r="L71" s="173">
        <f>'תקציב החברה לפיתוח 2021 '!L57</f>
        <v>2525559</v>
      </c>
      <c r="M71" s="173">
        <f>'תקציב החברה לפיתוח 2021 '!M57</f>
        <v>74441</v>
      </c>
      <c r="N71" s="173">
        <f>'תקציב החברה לפיתוח 2021 '!N57</f>
        <v>0</v>
      </c>
      <c r="O71" s="173">
        <f>'תקציב החברה לפיתוח 2021 '!O57</f>
        <v>0</v>
      </c>
      <c r="P71" s="173">
        <f>'תקציב החברה לפיתוח 2021 '!P57</f>
        <v>74441</v>
      </c>
      <c r="Q71" s="173">
        <f>'תקציב החברה לפיתוח 2021 '!Q57</f>
        <v>0</v>
      </c>
      <c r="R71" s="173">
        <f>'תקציב החברה לפיתוח 2021 '!R57</f>
        <v>0</v>
      </c>
      <c r="S71" s="173">
        <f>'תקציב החברה לפיתוח 2021 '!S57</f>
        <v>0</v>
      </c>
      <c r="T71" s="173">
        <f>'תקציב החברה לפיתוח 2021 '!T57</f>
        <v>0</v>
      </c>
      <c r="U71" s="173">
        <f>'תקציב החברה לפיתוח 2021 '!U57</f>
        <v>0</v>
      </c>
      <c r="V71" s="173">
        <f>'תקציב החברה לפיתוח 2021 '!V57</f>
        <v>0</v>
      </c>
      <c r="W71" s="173">
        <f>'תקציב החברה לפיתוח 2021 '!W57</f>
        <v>0</v>
      </c>
      <c r="X71" s="173">
        <f>'תקציב החברה לפיתוח 2021 '!X57</f>
        <v>0</v>
      </c>
      <c r="Y71" s="173">
        <f>'תקציב החברה לפיתוח 2021 '!Y57</f>
        <v>0</v>
      </c>
      <c r="Z71" s="173">
        <f>'תקציב החברה לפיתוח 2021 '!Z57</f>
        <v>0</v>
      </c>
      <c r="AA71" s="173">
        <f>'תקציב החברה לפיתוח 2021 '!AA57</f>
        <v>0</v>
      </c>
      <c r="AB71" s="293" t="str">
        <f>'תקציב החברה לפיתוח 2021 '!AB57</f>
        <v xml:space="preserve">בניית גן ילדים במתחם זרובבל. ח-ן סופיים. </v>
      </c>
      <c r="AC71" s="172">
        <f>'תקציב החברה לפיתוח 2021 '!AC57</f>
        <v>810000</v>
      </c>
    </row>
    <row r="72" spans="1:36" ht="28">
      <c r="A72" s="172">
        <f t="shared" si="7"/>
        <v>63</v>
      </c>
      <c r="B72" s="172">
        <f>'תקציב החברה לפיתוח 2021 '!B58</f>
        <v>2026</v>
      </c>
      <c r="C72" s="326" t="str">
        <f>'תקציב החברה לפיתוח 2021 '!C58</f>
        <v>גן רשל, גנ"י בבי"ס אילנות</v>
      </c>
      <c r="D72" s="173">
        <f>'תקציב החברה לפיתוח 2021 '!D58</f>
        <v>8200000</v>
      </c>
      <c r="E72" s="173">
        <f>'תקציב החברה לפיתוח 2021 '!E58</f>
        <v>8200000</v>
      </c>
      <c r="F72" s="173">
        <f>'תקציב החברה לפיתוח 2021 '!F58</f>
        <v>0</v>
      </c>
      <c r="G72" s="173">
        <f>'תקציב החברה לפיתוח 2021 '!G58</f>
        <v>8200000</v>
      </c>
      <c r="H72" s="173">
        <f>'תקציב החברה לפיתוח 2021 '!H58</f>
        <v>7555196</v>
      </c>
      <c r="I72" s="173">
        <f>'תקציב החברה לפיתוח 2021 '!I58</f>
        <v>0</v>
      </c>
      <c r="J72" s="173">
        <f>'תקציב החברה לפיתוח 2021 '!J58</f>
        <v>257213</v>
      </c>
      <c r="K72" s="173">
        <f>'תקציב החברה לפיתוח 2021 '!K58</f>
        <v>257213</v>
      </c>
      <c r="L72" s="173">
        <f>'תקציב החברה לפיתוח 2021 '!L58</f>
        <v>7812409</v>
      </c>
      <c r="M72" s="173">
        <f>'תקציב החברה לפיתוח 2021 '!M58</f>
        <v>387591</v>
      </c>
      <c r="N72" s="173">
        <f>'תקציב החברה לפיתוח 2021 '!N58</f>
        <v>0</v>
      </c>
      <c r="O72" s="173">
        <f>'תקציב החברה לפיתוח 2021 '!O58</f>
        <v>0</v>
      </c>
      <c r="P72" s="173">
        <f>'תקציב החברה לפיתוח 2021 '!P58</f>
        <v>387591</v>
      </c>
      <c r="Q72" s="173">
        <f>'תקציב החברה לפיתוח 2021 '!Q58</f>
        <v>0</v>
      </c>
      <c r="R72" s="173">
        <f>'תקציב החברה לפיתוח 2021 '!R58</f>
        <v>0</v>
      </c>
      <c r="S72" s="173">
        <f>'תקציב החברה לפיתוח 2021 '!S58</f>
        <v>0</v>
      </c>
      <c r="T72" s="173">
        <f>'תקציב החברה לפיתוח 2021 '!T58</f>
        <v>0</v>
      </c>
      <c r="U72" s="173">
        <f>'תקציב החברה לפיתוח 2021 '!U58</f>
        <v>0</v>
      </c>
      <c r="V72" s="173">
        <f>'תקציב החברה לפיתוח 2021 '!V58</f>
        <v>0</v>
      </c>
      <c r="W72" s="173">
        <f>'תקציב החברה לפיתוח 2021 '!W58</f>
        <v>0</v>
      </c>
      <c r="X72" s="173">
        <f>'תקציב החברה לפיתוח 2021 '!X58</f>
        <v>0</v>
      </c>
      <c r="Y72" s="173">
        <f>'תקציב החברה לפיתוח 2021 '!Y58</f>
        <v>0</v>
      </c>
      <c r="Z72" s="173">
        <f>'תקציב החברה לפיתוח 2021 '!Z58</f>
        <v>0</v>
      </c>
      <c r="AA72" s="173">
        <f>'תקציב החברה לפיתוח 2021 '!AA58</f>
        <v>0</v>
      </c>
      <c r="AB72" s="293" t="str">
        <f>'תקציב החברה לפיתוח 2021 '!AB58</f>
        <v xml:space="preserve">בניית גנ"י - גן רשל ובב"ס אילנות. ח-ן סופיים. </v>
      </c>
      <c r="AC72" s="172">
        <f>'תקציב החברה לפיתוח 2021 '!AC58</f>
        <v>810000</v>
      </c>
    </row>
    <row r="73" spans="1:36" ht="56">
      <c r="A73" s="172">
        <f t="shared" si="7"/>
        <v>64</v>
      </c>
      <c r="B73" s="172">
        <f>'תקציב החברה לפיתוח 2021 '!B66</f>
        <v>2097</v>
      </c>
      <c r="C73" s="326" t="str">
        <f>'תקציב החברה לפיתוח 2021 '!C66</f>
        <v>בית ספר בן גוריון</v>
      </c>
      <c r="D73" s="173">
        <f>'תקציב החברה לפיתוח 2021 '!D66</f>
        <v>79000000</v>
      </c>
      <c r="E73" s="173">
        <f>'תקציב החברה לפיתוח 2021 '!E66</f>
        <v>79000000</v>
      </c>
      <c r="F73" s="173">
        <f>'תקציב החברה לפיתוח 2021 '!F66</f>
        <v>0</v>
      </c>
      <c r="G73" s="173">
        <f>'תקציב החברה לפיתוח 2021 '!G66</f>
        <v>6000000</v>
      </c>
      <c r="H73" s="173">
        <f>'תקציב החברה לפיתוח 2021 '!H66</f>
        <v>740499</v>
      </c>
      <c r="I73" s="173">
        <f>'תקציב החברה לפיתוח 2021 '!I66</f>
        <v>0</v>
      </c>
      <c r="J73" s="173">
        <f>'תקציב החברה לפיתוח 2021 '!J66</f>
        <v>109903</v>
      </c>
      <c r="K73" s="173">
        <f>'תקציב החברה לפיתוח 2021 '!K66</f>
        <v>109903</v>
      </c>
      <c r="L73" s="173">
        <f>'תקציב החברה לפיתוח 2021 '!L66</f>
        <v>850402</v>
      </c>
      <c r="M73" s="173">
        <f>'תקציב החברה לפיתוח 2021 '!M66</f>
        <v>5149598</v>
      </c>
      <c r="N73" s="173">
        <f>'תקציב החברה לפיתוח 2021 '!N66</f>
        <v>0</v>
      </c>
      <c r="O73" s="173">
        <f>'תקציב החברה לפיתוח 2021 '!O66</f>
        <v>73000000</v>
      </c>
      <c r="P73" s="173">
        <f>'תקציב החברה לפיתוח 2021 '!P66</f>
        <v>5149598</v>
      </c>
      <c r="Q73" s="173">
        <f>'תקציב החברה לפיתוח 2021 '!Q66</f>
        <v>0</v>
      </c>
      <c r="R73" s="173">
        <f>'תקציב החברה לפיתוח 2021 '!R66</f>
        <v>0</v>
      </c>
      <c r="S73" s="173">
        <f>'תקציב החברה לפיתוח 2021 '!S66</f>
        <v>0</v>
      </c>
      <c r="T73" s="173">
        <f>'תקציב החברה לפיתוח 2021 '!T66</f>
        <v>0</v>
      </c>
      <c r="U73" s="173">
        <f>'תקציב החברה לפיתוח 2021 '!U66</f>
        <v>0</v>
      </c>
      <c r="V73" s="173">
        <f>'תקציב החברה לפיתוח 2021 '!V66</f>
        <v>0</v>
      </c>
      <c r="W73" s="173">
        <f>'תקציב החברה לפיתוח 2021 '!W66</f>
        <v>0</v>
      </c>
      <c r="X73" s="173">
        <f>'תקציב החברה לפיתוח 2021 '!X66</f>
        <v>0</v>
      </c>
      <c r="Y73" s="173">
        <f>'תקציב החברה לפיתוח 2021 '!Y66</f>
        <v>0</v>
      </c>
      <c r="Z73" s="173">
        <f>'תקציב החברה לפיתוח 2021 '!Z66</f>
        <v>0</v>
      </c>
      <c r="AA73" s="173">
        <f>'תקציב החברה לפיתוח 2021 '!AA66</f>
        <v>0</v>
      </c>
      <c r="AB73" s="293" t="str">
        <f>'תקציב החברה לפיתוח 2021 '!AB66</f>
        <v xml:space="preserve">תכנון שיפוץ/הריסה ובניה מחדש של בי"ס. הריסה של 18 כיתות,4 כיתות גן ח"מ ובניה של 24 כיתות,5 כיתות גן ח"מ.  </v>
      </c>
      <c r="AC73" s="172">
        <f>'תקציב החברה לפיתוח 2021 '!AC66</f>
        <v>810000</v>
      </c>
    </row>
    <row r="74" spans="1:36" ht="28">
      <c r="A74" s="172">
        <f t="shared" si="7"/>
        <v>65</v>
      </c>
      <c r="B74" s="172">
        <f>'תקציב החברה לפיתוח 2021 '!B81</f>
        <v>2130</v>
      </c>
      <c r="C74" s="326" t="str">
        <f>'תקציב החברה לפיתוח 2021 '!C81</f>
        <v>עיצוב חצר לימודית בי"ס גורדון</v>
      </c>
      <c r="D74" s="173">
        <f>'תקציב החברה לפיתוח 2021 '!D81</f>
        <v>500000</v>
      </c>
      <c r="E74" s="173">
        <f>'תקציב החברה לפיתוח 2021 '!E81</f>
        <v>500000</v>
      </c>
      <c r="F74" s="173">
        <f>'תקציב החברה לפיתוח 2021 '!F81</f>
        <v>0</v>
      </c>
      <c r="G74" s="173">
        <f>'תקציב החברה לפיתוח 2021 '!G81</f>
        <v>500000</v>
      </c>
      <c r="H74" s="173">
        <f>'תקציב החברה לפיתוח 2021 '!H81</f>
        <v>7441</v>
      </c>
      <c r="I74" s="173">
        <f>'תקציב החברה לפיתוח 2021 '!I81</f>
        <v>0</v>
      </c>
      <c r="J74" s="173">
        <f>'תקציב החברה לפיתוח 2021 '!J81</f>
        <v>0</v>
      </c>
      <c r="K74" s="173">
        <f>'תקציב החברה לפיתוח 2021 '!K81</f>
        <v>0</v>
      </c>
      <c r="L74" s="173">
        <f>'תקציב החברה לפיתוח 2021 '!L81</f>
        <v>7441</v>
      </c>
      <c r="M74" s="173">
        <f>'תקציב החברה לפיתוח 2021 '!M81</f>
        <v>492559</v>
      </c>
      <c r="N74" s="173">
        <f>'תקציב החברה לפיתוח 2021 '!N81</f>
        <v>0</v>
      </c>
      <c r="O74" s="173">
        <f>'תקציב החברה לפיתוח 2021 '!O81</f>
        <v>0</v>
      </c>
      <c r="P74" s="173">
        <f>'תקציב החברה לפיתוח 2021 '!P81</f>
        <v>492559</v>
      </c>
      <c r="Q74" s="173">
        <f>'תקציב החברה לפיתוח 2021 '!Q81</f>
        <v>0</v>
      </c>
      <c r="R74" s="173">
        <f>'תקציב החברה לפיתוח 2021 '!R81</f>
        <v>0</v>
      </c>
      <c r="S74" s="173">
        <f>'תקציב החברה לפיתוח 2021 '!S81</f>
        <v>0</v>
      </c>
      <c r="T74" s="173">
        <f>'תקציב החברה לפיתוח 2021 '!T81</f>
        <v>0</v>
      </c>
      <c r="U74" s="173">
        <f>'תקציב החברה לפיתוח 2021 '!U81</f>
        <v>0</v>
      </c>
      <c r="V74" s="173">
        <f>'תקציב החברה לפיתוח 2021 '!V81</f>
        <v>0</v>
      </c>
      <c r="W74" s="173">
        <f>'תקציב החברה לפיתוח 2021 '!W81</f>
        <v>0</v>
      </c>
      <c r="X74" s="173">
        <f>'תקציב החברה לפיתוח 2021 '!X81</f>
        <v>0</v>
      </c>
      <c r="Y74" s="173">
        <f>'תקציב החברה לפיתוח 2021 '!Y81</f>
        <v>0</v>
      </c>
      <c r="Z74" s="173">
        <f>'תקציב החברה לפיתוח 2021 '!Z81</f>
        <v>0</v>
      </c>
      <c r="AA74" s="173">
        <f>'תקציב החברה לפיתוח 2021 '!AA81</f>
        <v>0</v>
      </c>
      <c r="AB74" s="293" t="str">
        <f>'תקציב החברה לפיתוח 2021 '!AB81</f>
        <v xml:space="preserve">עיצוב חצר לימודית בי"ס גורדון. מימון חלקי מ. החינוך. </v>
      </c>
      <c r="AC74" s="172">
        <f>'תקציב החברה לפיתוח 2021 '!AC81</f>
        <v>810000</v>
      </c>
    </row>
    <row r="75" spans="1:36" ht="42">
      <c r="A75" s="172">
        <f t="shared" si="7"/>
        <v>66</v>
      </c>
      <c r="B75" s="172">
        <f>'תקציב החברה לפיתוח 2021 '!B82</f>
        <v>2147</v>
      </c>
      <c r="C75" s="326" t="str">
        <f>'תקציב החברה לפיתוח 2021 '!C82</f>
        <v>השלמת 6 כיתות בנבון</v>
      </c>
      <c r="D75" s="173">
        <f>'תקציב החברה לפיתוח 2021 '!D82</f>
        <v>6500000</v>
      </c>
      <c r="E75" s="173">
        <f>'תקציב החברה לפיתוח 2021 '!E82</f>
        <v>6500000</v>
      </c>
      <c r="F75" s="173">
        <f>'תקציב החברה לפיתוח 2021 '!F82</f>
        <v>0</v>
      </c>
      <c r="G75" s="173">
        <f>'תקציב החברה לפיתוח 2021 '!G82</f>
        <v>6500000</v>
      </c>
      <c r="H75" s="173">
        <f>'תקציב החברה לפיתוח 2021 '!H82</f>
        <v>410670</v>
      </c>
      <c r="I75" s="173">
        <f>'תקציב החברה לפיתוח 2021 '!I82</f>
        <v>0</v>
      </c>
      <c r="J75" s="173">
        <f>'תקציב החברה לפיתוח 2021 '!J82</f>
        <v>4347853</v>
      </c>
      <c r="K75" s="173">
        <f>'תקציב החברה לפיתוח 2021 '!K82</f>
        <v>4347853</v>
      </c>
      <c r="L75" s="173">
        <f>'תקציב החברה לפיתוח 2021 '!L82</f>
        <v>4758523</v>
      </c>
      <c r="M75" s="173">
        <f>'תקציב החברה לפיתוח 2021 '!M82</f>
        <v>1741477</v>
      </c>
      <c r="N75" s="173">
        <f>'תקציב החברה לפיתוח 2021 '!N82</f>
        <v>0</v>
      </c>
      <c r="O75" s="173">
        <f>'תקציב החברה לפיתוח 2021 '!O82</f>
        <v>0</v>
      </c>
      <c r="P75" s="173">
        <f>'תקציב החברה לפיתוח 2021 '!P82</f>
        <v>1741477</v>
      </c>
      <c r="Q75" s="173">
        <f>'תקציב החברה לפיתוח 2021 '!Q82</f>
        <v>0</v>
      </c>
      <c r="R75" s="173">
        <f>'תקציב החברה לפיתוח 2021 '!R82</f>
        <v>0</v>
      </c>
      <c r="S75" s="173">
        <f>'תקציב החברה לפיתוח 2021 '!S82</f>
        <v>0</v>
      </c>
      <c r="T75" s="173">
        <f>'תקציב החברה לפיתוח 2021 '!T82</f>
        <v>0</v>
      </c>
      <c r="U75" s="173">
        <f>'תקציב החברה לפיתוח 2021 '!U82</f>
        <v>0</v>
      </c>
      <c r="V75" s="173">
        <f>'תקציב החברה לפיתוח 2021 '!V82</f>
        <v>0</v>
      </c>
      <c r="W75" s="173">
        <f>'תקציב החברה לפיתוח 2021 '!W82</f>
        <v>0</v>
      </c>
      <c r="X75" s="173">
        <f>'תקציב החברה לפיתוח 2021 '!X82</f>
        <v>0</v>
      </c>
      <c r="Y75" s="173">
        <f>'תקציב החברה לפיתוח 2021 '!Y82</f>
        <v>0</v>
      </c>
      <c r="Z75" s="173">
        <f>'תקציב החברה לפיתוח 2021 '!Z82</f>
        <v>0</v>
      </c>
      <c r="AA75" s="173">
        <f>'תקציב החברה לפיתוח 2021 '!AA82</f>
        <v>0</v>
      </c>
      <c r="AB75" s="293" t="str">
        <f>'תקציב החברה לפיתוח 2021 '!AB82</f>
        <v xml:space="preserve">הוספת 6 כיתות כולל מיקלוט במתחם בי"ס נבון. הצטיידות בחינוך. </v>
      </c>
      <c r="AC75" s="172">
        <f>'תקציב החברה לפיתוח 2021 '!AC82</f>
        <v>810000</v>
      </c>
    </row>
    <row r="76" spans="1:36" s="5" customFormat="1" ht="70">
      <c r="A76" s="172">
        <f t="shared" si="7"/>
        <v>67</v>
      </c>
      <c r="B76" s="172">
        <f>'תקציב החברה לפיתוח 2021 '!B84</f>
        <v>2149</v>
      </c>
      <c r="C76" s="326" t="str">
        <f>'תקציב החברה לפיתוח 2021 '!C84</f>
        <v>בחינת התכנות לגנ"י חדשים במתחמים שונים. (*) עדכון שם</v>
      </c>
      <c r="D76" s="173">
        <f>'תקציב החברה לפיתוח 2021 '!D84</f>
        <v>2000000</v>
      </c>
      <c r="E76" s="173">
        <f>'תקציב החברה לפיתוח 2021 '!E84</f>
        <v>30000000</v>
      </c>
      <c r="F76" s="173">
        <f>'תקציב החברה לפיתוח 2021 '!F84</f>
        <v>-28000000</v>
      </c>
      <c r="G76" s="173">
        <f>'תקציב החברה לפיתוח 2021 '!G84</f>
        <v>2000000</v>
      </c>
      <c r="H76" s="173">
        <f>'תקציב החברה לפיתוח 2021 '!H84</f>
        <v>200635</v>
      </c>
      <c r="I76" s="173">
        <f>'תקציב החברה לפיתוח 2021 '!I84</f>
        <v>0</v>
      </c>
      <c r="J76" s="173">
        <f>'תקציב החברה לפיתוח 2021 '!J84</f>
        <v>149364</v>
      </c>
      <c r="K76" s="173">
        <f>'תקציב החברה לפיתוח 2021 '!K84</f>
        <v>149364</v>
      </c>
      <c r="L76" s="173">
        <f>'תקציב החברה לפיתוח 2021 '!L84</f>
        <v>349999</v>
      </c>
      <c r="M76" s="173">
        <f>'תקציב החברה לפיתוח 2021 '!M84</f>
        <v>1650001</v>
      </c>
      <c r="N76" s="173">
        <f>'תקציב החברה לפיתוח 2021 '!N84</f>
        <v>0</v>
      </c>
      <c r="O76" s="173">
        <f>'תקציב החברה לפיתוח 2021 '!O84</f>
        <v>0</v>
      </c>
      <c r="P76" s="173">
        <f>'תקציב החברה לפיתוח 2021 '!P84</f>
        <v>1650001</v>
      </c>
      <c r="Q76" s="173">
        <f>'תקציב החברה לפיתוח 2021 '!Q84</f>
        <v>0</v>
      </c>
      <c r="R76" s="173">
        <f>'תקציב החברה לפיתוח 2021 '!R84</f>
        <v>0</v>
      </c>
      <c r="S76" s="173">
        <f>'תקציב החברה לפיתוח 2021 '!S84</f>
        <v>0</v>
      </c>
      <c r="T76" s="173">
        <f>'תקציב החברה לפיתוח 2021 '!T84</f>
        <v>0</v>
      </c>
      <c r="U76" s="173">
        <f>'תקציב החברה לפיתוח 2021 '!U84</f>
        <v>0</v>
      </c>
      <c r="V76" s="173">
        <f>'תקציב החברה לפיתוח 2021 '!V84</f>
        <v>0</v>
      </c>
      <c r="W76" s="173">
        <f>'תקציב החברה לפיתוח 2021 '!W84</f>
        <v>0</v>
      </c>
      <c r="X76" s="173">
        <f>'תקציב החברה לפיתוח 2021 '!X84</f>
        <v>0</v>
      </c>
      <c r="Y76" s="173">
        <f>'תקציב החברה לפיתוח 2021 '!Y84</f>
        <v>0</v>
      </c>
      <c r="Z76" s="173">
        <f>'תקציב החברה לפיתוח 2021 '!Z84</f>
        <v>0</v>
      </c>
      <c r="AA76" s="173">
        <f>'תקציב החברה לפיתוח 2021 '!AA84</f>
        <v>0</v>
      </c>
      <c r="AB76" s="293" t="str">
        <f>'תקציב החברה לפיתוח 2021 '!AB84</f>
        <v xml:space="preserve">בדיקת התכנות לבניית גנ"י ב - 3 מתחמים שונים  מתחם אחד העם, הסתדרות, נוף ים .בהתאם לצרכים העירוניים מעת לעת. </v>
      </c>
      <c r="AC76" s="172">
        <f>'תקציב החברה לפיתוח 2021 '!AC84</f>
        <v>810000</v>
      </c>
      <c r="AD76" s="284"/>
      <c r="AE76" s="284"/>
      <c r="AF76" s="166"/>
      <c r="AG76" s="166"/>
      <c r="AH76" s="166"/>
      <c r="AI76" s="166"/>
      <c r="AJ76" s="166"/>
    </row>
    <row r="77" spans="1:36" s="6" customFormat="1" ht="42">
      <c r="A77" s="172">
        <f t="shared" si="7"/>
        <v>68</v>
      </c>
      <c r="B77" s="172">
        <f>'תקציב החברה לפיתוח 2021 '!B87</f>
        <v>2152</v>
      </c>
      <c r="C77" s="326" t="str">
        <f>'תקציב החברה לפיתוח 2021 '!C87</f>
        <v>בית ספר בן צבי</v>
      </c>
      <c r="D77" s="173">
        <f>'תקציב החברה לפיתוח 2021 '!D87</f>
        <v>16000000</v>
      </c>
      <c r="E77" s="173">
        <f>'תקציב החברה לפיתוח 2021 '!E87</f>
        <v>1000000</v>
      </c>
      <c r="F77" s="173">
        <f>'תקציב החברה לפיתוח 2021 '!F87</f>
        <v>15000000</v>
      </c>
      <c r="G77" s="173">
        <f>'תקציב החברה לפיתוח 2021 '!G87</f>
        <v>1000000</v>
      </c>
      <c r="H77" s="173">
        <f>'תקציב החברה לפיתוח 2021 '!H87</f>
        <v>31005</v>
      </c>
      <c r="I77" s="173">
        <f>'תקציב החברה לפיתוח 2021 '!I87</f>
        <v>0</v>
      </c>
      <c r="J77" s="173">
        <f>'תקציב החברה לפיתוח 2021 '!J87</f>
        <v>93015</v>
      </c>
      <c r="K77" s="173">
        <f>'תקציב החברה לפיתוח 2021 '!K87</f>
        <v>93015</v>
      </c>
      <c r="L77" s="173">
        <f>'תקציב החברה לפיתוח 2021 '!L87</f>
        <v>124020</v>
      </c>
      <c r="M77" s="173">
        <f>'תקציב החברה לפיתוח 2021 '!M87</f>
        <v>875980</v>
      </c>
      <c r="N77" s="173">
        <f>'תקציב החברה לפיתוח 2021 '!N87</f>
        <v>500000</v>
      </c>
      <c r="O77" s="173">
        <f>'תקציב החברה לפיתוח 2021 '!O87</f>
        <v>14500000</v>
      </c>
      <c r="P77" s="173">
        <f>'תקציב החברה לפיתוח 2021 '!P87</f>
        <v>875980</v>
      </c>
      <c r="Q77" s="173">
        <f>'תקציב החברה לפיתוח 2021 '!Q87</f>
        <v>0</v>
      </c>
      <c r="R77" s="173">
        <f>'תקציב החברה לפיתוח 2021 '!R87</f>
        <v>0</v>
      </c>
      <c r="S77" s="173">
        <f>'תקציב החברה לפיתוח 2021 '!S87</f>
        <v>0</v>
      </c>
      <c r="T77" s="173">
        <f>'תקציב החברה לפיתוח 2021 '!T87</f>
        <v>0</v>
      </c>
      <c r="U77" s="173">
        <f>'תקציב החברה לפיתוח 2021 '!U87</f>
        <v>500000</v>
      </c>
      <c r="V77" s="173">
        <f>'תקציב החברה לפיתוח 2021 '!V87</f>
        <v>500000</v>
      </c>
      <c r="W77" s="173">
        <f>'תקציב החברה לפיתוח 2021 '!W87</f>
        <v>0</v>
      </c>
      <c r="X77" s="173">
        <f>'תקציב החברה לפיתוח 2021 '!X87</f>
        <v>0</v>
      </c>
      <c r="Y77" s="173">
        <f>'תקציב החברה לפיתוח 2021 '!Y87</f>
        <v>0</v>
      </c>
      <c r="Z77" s="173">
        <f>'תקציב החברה לפיתוח 2021 '!Z87</f>
        <v>0</v>
      </c>
      <c r="AA77" s="173">
        <f>'תקציב החברה לפיתוח 2021 '!AA87</f>
        <v>0</v>
      </c>
      <c r="AB77" s="293" t="str">
        <f>'תקציב החברה לפיתוח 2021 '!AB87</f>
        <v>הריסת מבני ספח והקמת מבנה חדש.תכנון ראשוני בי"ס בן צבי. הרחבה ל - 24 כיתות.</v>
      </c>
      <c r="AC77" s="172">
        <f>'תקציב החברה לפיתוח 2021 '!AC87</f>
        <v>810000</v>
      </c>
      <c r="AD77" s="284"/>
      <c r="AE77" s="284"/>
      <c r="AF77" s="166"/>
      <c r="AG77" s="166"/>
      <c r="AH77" s="166"/>
      <c r="AI77" s="166"/>
      <c r="AJ77" s="166"/>
    </row>
    <row r="78" spans="1:36" s="5" customFormat="1" ht="42">
      <c r="A78" s="172">
        <f t="shared" si="7"/>
        <v>69</v>
      </c>
      <c r="B78" s="172">
        <f>'תקציב החברה לפיתוח 2021 '!B89</f>
        <v>2174</v>
      </c>
      <c r="C78" s="326" t="str">
        <f>'תקציב החברה לפיתוח 2021 '!C89</f>
        <v>גנ"י מתחם זרובבל</v>
      </c>
      <c r="D78" s="173">
        <f>'תקציב החברה לפיתוח 2021 '!D89</f>
        <v>12600000</v>
      </c>
      <c r="E78" s="173">
        <f>'תקציב החברה לפיתוח 2021 '!E89</f>
        <v>12600000</v>
      </c>
      <c r="F78" s="173">
        <f>'תקציב החברה לפיתוח 2021 '!F89</f>
        <v>0</v>
      </c>
      <c r="G78" s="173">
        <f>'תקציב החברה לפיתוח 2021 '!G89</f>
        <v>4500000</v>
      </c>
      <c r="H78" s="173">
        <f>'תקציב החברה לפיתוח 2021 '!H89</f>
        <v>6201</v>
      </c>
      <c r="I78" s="173">
        <f>'תקציב החברה לפיתוח 2021 '!I89</f>
        <v>0</v>
      </c>
      <c r="J78" s="173">
        <f>'תקציב החברה לפיתוח 2021 '!J89</f>
        <v>493797</v>
      </c>
      <c r="K78" s="173">
        <f>'תקציב החברה לפיתוח 2021 '!K89</f>
        <v>493797</v>
      </c>
      <c r="L78" s="173">
        <f>'תקציב החברה לפיתוח 2021 '!L89</f>
        <v>499998</v>
      </c>
      <c r="M78" s="173">
        <f>'תקציב החברה לפיתוח 2021 '!M89</f>
        <v>4000002</v>
      </c>
      <c r="N78" s="173">
        <f>'תקציב החברה לפיתוח 2021 '!N89</f>
        <v>8100000</v>
      </c>
      <c r="O78" s="173">
        <f>'תקציב החברה לפיתוח 2021 '!O89</f>
        <v>0</v>
      </c>
      <c r="P78" s="173">
        <f>'תקציב החברה לפיתוח 2021 '!P89</f>
        <v>4000002</v>
      </c>
      <c r="Q78" s="173">
        <f>'תקציב החברה לפיתוח 2021 '!Q89</f>
        <v>0</v>
      </c>
      <c r="R78" s="173">
        <f>'תקציב החברה לפיתוח 2021 '!R89</f>
        <v>0</v>
      </c>
      <c r="S78" s="173">
        <f>'תקציב החברה לפיתוח 2021 '!S89</f>
        <v>0</v>
      </c>
      <c r="T78" s="173">
        <f>'תקציב החברה לפיתוח 2021 '!T89</f>
        <v>0</v>
      </c>
      <c r="U78" s="173">
        <f>'תקציב החברה לפיתוח 2021 '!U89</f>
        <v>8100000</v>
      </c>
      <c r="V78" s="173">
        <f>'תקציב החברה לפיתוח 2021 '!V89</f>
        <v>5048992</v>
      </c>
      <c r="W78" s="173">
        <f>'תקציב החברה לפיתוח 2021 '!W89</f>
        <v>0</v>
      </c>
      <c r="X78" s="173">
        <f>'תקציב החברה לפיתוח 2021 '!X89</f>
        <v>0</v>
      </c>
      <c r="Y78" s="173">
        <f>'תקציב החברה לפיתוח 2021 '!Y89</f>
        <v>0</v>
      </c>
      <c r="Z78" s="173">
        <f>'תקציב החברה לפיתוח 2021 '!Z89</f>
        <v>0</v>
      </c>
      <c r="AA78" s="173">
        <f>'תקציב החברה לפיתוח 2021 '!AA89</f>
        <v>3051008</v>
      </c>
      <c r="AB78" s="293" t="str">
        <f>'תקציב החברה לפיתוח 2021 '!AB89</f>
        <v xml:space="preserve">תכנון וביצוע הקמת 4 כיתות גן במתחם זרובבל. מימון מ. החינוך. לו"ז לאיכלוס 9/2021. </v>
      </c>
      <c r="AC78" s="172">
        <f>'תקציב החברה לפיתוח 2021 '!AC89</f>
        <v>810000</v>
      </c>
      <c r="AD78" s="284"/>
      <c r="AE78" s="284"/>
      <c r="AF78" s="166"/>
      <c r="AG78" s="166"/>
      <c r="AH78" s="166"/>
      <c r="AI78" s="166"/>
      <c r="AJ78" s="166"/>
    </row>
    <row r="79" spans="1:36" s="5" customFormat="1" ht="42">
      <c r="A79" s="172">
        <f t="shared" si="7"/>
        <v>70</v>
      </c>
      <c r="B79" s="172">
        <f>'תקציב החברה לפיתוח 2021 '!B90</f>
        <v>2175</v>
      </c>
      <c r="C79" s="326" t="str">
        <f>'תקציב החברה לפיתוח 2021 '!C90</f>
        <v>גנ"י דוד השמעוני</v>
      </c>
      <c r="D79" s="173">
        <f>'תקציב החברה לפיתוח 2021 '!D90</f>
        <v>21000000</v>
      </c>
      <c r="E79" s="173">
        <f>'תקציב החברה לפיתוח 2021 '!E90</f>
        <v>20500000</v>
      </c>
      <c r="F79" s="173">
        <f>'תקציב החברה לפיתוח 2021 '!F90</f>
        <v>500000</v>
      </c>
      <c r="G79" s="173">
        <f>'תקציב החברה לפיתוח 2021 '!G90</f>
        <v>5500000</v>
      </c>
      <c r="H79" s="173">
        <f>'תקציב החברה לפיתוח 2021 '!H90</f>
        <v>103966</v>
      </c>
      <c r="I79" s="173">
        <f>'תקציב החברה לפיתוח 2021 '!I90</f>
        <v>0</v>
      </c>
      <c r="J79" s="173">
        <f>'תקציב החברה לפיתוח 2021 '!J90</f>
        <v>396033</v>
      </c>
      <c r="K79" s="173">
        <f>'תקציב החברה לפיתוח 2021 '!K90</f>
        <v>396033</v>
      </c>
      <c r="L79" s="173">
        <f>'תקציב החברה לפיתוח 2021 '!L90</f>
        <v>499999</v>
      </c>
      <c r="M79" s="173">
        <f>'תקציב החברה לפיתוח 2021 '!M90</f>
        <v>5000001</v>
      </c>
      <c r="N79" s="173">
        <f>'תקציב החברה לפיתוח 2021 '!N90</f>
        <v>15500000</v>
      </c>
      <c r="O79" s="173">
        <f>'תקציב החברה לפיתוח 2021 '!O90</f>
        <v>0</v>
      </c>
      <c r="P79" s="173">
        <f>'תקציב החברה לפיתוח 2021 '!P90</f>
        <v>5000001</v>
      </c>
      <c r="Q79" s="173">
        <f>'תקציב החברה לפיתוח 2021 '!Q90</f>
        <v>0</v>
      </c>
      <c r="R79" s="173">
        <f>'תקציב החברה לפיתוח 2021 '!R90</f>
        <v>0</v>
      </c>
      <c r="S79" s="173">
        <f>'תקציב החברה לפיתוח 2021 '!S90</f>
        <v>0</v>
      </c>
      <c r="T79" s="173">
        <f>'תקציב החברה לפיתוח 2021 '!T90</f>
        <v>0</v>
      </c>
      <c r="U79" s="173">
        <f>'תקציב החברה לפיתוח 2021 '!U90</f>
        <v>15500000</v>
      </c>
      <c r="V79" s="173">
        <f>'תקציב החברה לפיתוח 2021 '!V90</f>
        <v>10160736</v>
      </c>
      <c r="W79" s="173">
        <f>'תקציב החברה לפיתוח 2021 '!W90</f>
        <v>0</v>
      </c>
      <c r="X79" s="173">
        <f>'תקציב החברה לפיתוח 2021 '!X90</f>
        <v>0</v>
      </c>
      <c r="Y79" s="173">
        <f>'תקציב החברה לפיתוח 2021 '!Y90</f>
        <v>0</v>
      </c>
      <c r="Z79" s="173">
        <f>'תקציב החברה לפיתוח 2021 '!Z90</f>
        <v>0</v>
      </c>
      <c r="AA79" s="173">
        <f>'תקציב החברה לפיתוח 2021 '!AA90</f>
        <v>5339264</v>
      </c>
      <c r="AB79" s="293" t="str">
        <f>'תקציב החברה לפיתוח 2021 '!AB90</f>
        <v xml:space="preserve">תכנון וביצוע הקמת 7 כיתות גן במתחם השמעוני. מימון מ. החינוך. לו"ז איכלוס 9/2021. </v>
      </c>
      <c r="AC79" s="172">
        <f>'תקציב החברה לפיתוח 2021 '!AC90</f>
        <v>810000</v>
      </c>
      <c r="AD79" s="284"/>
      <c r="AE79" s="284"/>
      <c r="AF79" s="166"/>
      <c r="AG79" s="166"/>
      <c r="AH79" s="166"/>
      <c r="AI79" s="166"/>
      <c r="AJ79" s="166"/>
    </row>
    <row r="80" spans="1:36" s="5" customFormat="1" ht="28">
      <c r="A80" s="172">
        <f t="shared" si="7"/>
        <v>71</v>
      </c>
      <c r="B80" s="172">
        <f>'תקציב החברה לפיתוח 2021 '!B92</f>
        <v>2182</v>
      </c>
      <c r="C80" s="326" t="str">
        <f>'תקציב החברה לפיתוח 2021 '!C92</f>
        <v>תכנון שב"צ דן שומרון בי"ס על יסודי</v>
      </c>
      <c r="D80" s="173">
        <f>'תקציב החברה לפיתוח 2021 '!D92</f>
        <v>2500000</v>
      </c>
      <c r="E80" s="173">
        <f>'תקציב החברה לפיתוח 2021 '!E92</f>
        <v>300000</v>
      </c>
      <c r="F80" s="173">
        <f>'תקציב החברה לפיתוח 2021 '!F92</f>
        <v>2200000</v>
      </c>
      <c r="G80" s="173">
        <f>'תקציב החברה לפיתוח 2021 '!G92</f>
        <v>300000</v>
      </c>
      <c r="H80" s="173">
        <f>'תקציב החברה לפיתוח 2021 '!H92</f>
        <v>0</v>
      </c>
      <c r="I80" s="173">
        <f>'תקציב החברה לפיתוח 2021 '!I92</f>
        <v>0</v>
      </c>
      <c r="J80" s="173">
        <f>'תקציב החברה לפיתוח 2021 '!J92</f>
        <v>0</v>
      </c>
      <c r="K80" s="173">
        <f>'תקציב החברה לפיתוח 2021 '!K92</f>
        <v>0</v>
      </c>
      <c r="L80" s="173">
        <f>'תקציב החברה לפיתוח 2021 '!L92</f>
        <v>0</v>
      </c>
      <c r="M80" s="173">
        <f>'תקציב החברה לפיתוח 2021 '!M92</f>
        <v>300000</v>
      </c>
      <c r="N80" s="173">
        <f>'תקציב החברה לפיתוח 2021 '!N92</f>
        <v>1700000</v>
      </c>
      <c r="O80" s="173">
        <f>'תקציב החברה לפיתוח 2021 '!O92</f>
        <v>500000</v>
      </c>
      <c r="P80" s="173">
        <f>'תקציב החברה לפיתוח 2021 '!P92</f>
        <v>300000</v>
      </c>
      <c r="Q80" s="173">
        <f>'תקציב החברה לפיתוח 2021 '!Q92</f>
        <v>0</v>
      </c>
      <c r="R80" s="173">
        <f>'תקציב החברה לפיתוח 2021 '!R92</f>
        <v>0</v>
      </c>
      <c r="S80" s="173">
        <f>'תקציב החברה לפיתוח 2021 '!S92</f>
        <v>0</v>
      </c>
      <c r="T80" s="173">
        <f>'תקציב החברה לפיתוח 2021 '!T92</f>
        <v>0</v>
      </c>
      <c r="U80" s="173">
        <f>'תקציב החברה לפיתוח 2021 '!U92</f>
        <v>1700000</v>
      </c>
      <c r="V80" s="173">
        <f>'תקציב החברה לפיתוח 2021 '!V92</f>
        <v>1700000</v>
      </c>
      <c r="W80" s="173">
        <f>'תקציב החברה לפיתוח 2021 '!W92</f>
        <v>0</v>
      </c>
      <c r="X80" s="173">
        <f>'תקציב החברה לפיתוח 2021 '!X92</f>
        <v>0</v>
      </c>
      <c r="Y80" s="173">
        <f>'תקציב החברה לפיתוח 2021 '!Y92</f>
        <v>0</v>
      </c>
      <c r="Z80" s="173">
        <f>'תקציב החברה לפיתוח 2021 '!Z92</f>
        <v>0</v>
      </c>
      <c r="AA80" s="173">
        <f>'תקציב החברה לפיתוח 2021 '!AA92</f>
        <v>0</v>
      </c>
      <c r="AB80" s="293" t="str">
        <f>'תקציב החברה לפיתוח 2021 '!AB92</f>
        <v xml:space="preserve">הקמת תיכון 30 כיתות בשב"צ דן שומרון גוש 656 חל' 991. </v>
      </c>
      <c r="AC80" s="172">
        <f>'תקציב החברה לפיתוח 2021 '!AC92</f>
        <v>810000</v>
      </c>
      <c r="AD80" s="284"/>
      <c r="AE80" s="284"/>
      <c r="AF80" s="166"/>
      <c r="AG80" s="166"/>
      <c r="AH80" s="166"/>
      <c r="AI80" s="166"/>
      <c r="AJ80" s="166"/>
    </row>
    <row r="81" spans="1:36" s="6" customFormat="1" ht="28">
      <c r="A81" s="172">
        <f t="shared" si="7"/>
        <v>72</v>
      </c>
      <c r="B81" s="172">
        <f>'תקציב החברה לפיתוח 2021 '!B93</f>
        <v>2185</v>
      </c>
      <c r="C81" s="326" t="str">
        <f>'תקציב החברה לפיתוח 2021 '!C93</f>
        <v>תוספת 6 כיתות לימוד בי"ס שז"ר</v>
      </c>
      <c r="D81" s="173">
        <f>'תקציב החברה לפיתוח 2021 '!D93</f>
        <v>750000</v>
      </c>
      <c r="E81" s="173">
        <f>'תקציב החברה לפיתוח 2021 '!E93</f>
        <v>500000</v>
      </c>
      <c r="F81" s="173">
        <f>'תקציב החברה לפיתוח 2021 '!F93</f>
        <v>250000</v>
      </c>
      <c r="G81" s="173">
        <f>'תקציב החברה לפיתוח 2021 '!G93</f>
        <v>500000</v>
      </c>
      <c r="H81" s="173">
        <f>'תקציב החברה לפיתוח 2021 '!H93</f>
        <v>0</v>
      </c>
      <c r="I81" s="173">
        <f>'תקציב החברה לפיתוח 2021 '!I93</f>
        <v>0</v>
      </c>
      <c r="J81" s="173">
        <f>'תקציב החברה לפיתוח 2021 '!J93</f>
        <v>0</v>
      </c>
      <c r="K81" s="173">
        <f>'תקציב החברה לפיתוח 2021 '!K93</f>
        <v>0</v>
      </c>
      <c r="L81" s="173">
        <f>'תקציב החברה לפיתוח 2021 '!L93</f>
        <v>0</v>
      </c>
      <c r="M81" s="173">
        <f>'תקציב החברה לפיתוח 2021 '!M93</f>
        <v>500000</v>
      </c>
      <c r="N81" s="173">
        <f>'תקציב החברה לפיתוח 2021 '!N93</f>
        <v>250000</v>
      </c>
      <c r="O81" s="173">
        <f>'תקציב החברה לפיתוח 2021 '!O93</f>
        <v>0</v>
      </c>
      <c r="P81" s="173">
        <f>'תקציב החברה לפיתוח 2021 '!P93</f>
        <v>500000</v>
      </c>
      <c r="Q81" s="173">
        <f>'תקציב החברה לפיתוח 2021 '!Q93</f>
        <v>0</v>
      </c>
      <c r="R81" s="173">
        <f>'תקציב החברה לפיתוח 2021 '!R93</f>
        <v>0</v>
      </c>
      <c r="S81" s="173">
        <f>'תקציב החברה לפיתוח 2021 '!S93</f>
        <v>0</v>
      </c>
      <c r="T81" s="173">
        <f>'תקציב החברה לפיתוח 2021 '!T93</f>
        <v>0</v>
      </c>
      <c r="U81" s="173">
        <f>'תקציב החברה לפיתוח 2021 '!U93</f>
        <v>250000</v>
      </c>
      <c r="V81" s="173">
        <f>'תקציב החברה לפיתוח 2021 '!V93</f>
        <v>250000</v>
      </c>
      <c r="W81" s="173">
        <f>'תקציב החברה לפיתוח 2021 '!W93</f>
        <v>0</v>
      </c>
      <c r="X81" s="173">
        <f>'תקציב החברה לפיתוח 2021 '!X93</f>
        <v>0</v>
      </c>
      <c r="Y81" s="173">
        <f>'תקציב החברה לפיתוח 2021 '!Y93</f>
        <v>0</v>
      </c>
      <c r="Z81" s="173">
        <f>'תקציב החברה לפיתוח 2021 '!Z93</f>
        <v>0</v>
      </c>
      <c r="AA81" s="173">
        <f>'תקציב החברה לפיתוח 2021 '!AA93</f>
        <v>0</v>
      </c>
      <c r="AB81" s="293" t="str">
        <f>'תקציב החברה לפיתוח 2021 '!AB93</f>
        <v xml:space="preserve">תכנון לתוספת 6 כיתות בי"ס שז"ר. </v>
      </c>
      <c r="AC81" s="172">
        <f>'תקציב החברה לפיתוח 2021 '!AC93</f>
        <v>810000</v>
      </c>
      <c r="AD81" s="284"/>
      <c r="AE81" s="284"/>
      <c r="AF81" s="166"/>
      <c r="AG81" s="166"/>
      <c r="AH81" s="166"/>
      <c r="AI81" s="166"/>
      <c r="AJ81" s="166"/>
    </row>
    <row r="82" spans="1:36" s="6" customFormat="1" ht="70">
      <c r="A82" s="172">
        <f t="shared" si="7"/>
        <v>73</v>
      </c>
      <c r="B82" s="172">
        <f>'תקציב החברה לפיתוח 2021 '!B94</f>
        <v>2201</v>
      </c>
      <c r="C82" s="326" t="str">
        <f>'תקציב החברה לפיתוח 2021 '!C94</f>
        <v>מתחם בי"ס הנדיב</v>
      </c>
      <c r="D82" s="173">
        <f>'תקציב החברה לפיתוח 2021 '!D94</f>
        <v>80000000</v>
      </c>
      <c r="E82" s="173">
        <f>'תקציב החברה לפיתוח 2021 '!E94</f>
        <v>0</v>
      </c>
      <c r="F82" s="173">
        <f>'תקציב החברה לפיתוח 2021 '!F94</f>
        <v>80000000</v>
      </c>
      <c r="G82" s="173">
        <f>'תקציב החברה לפיתוח 2021 '!G94</f>
        <v>0</v>
      </c>
      <c r="H82" s="173">
        <f>'תקציב החברה לפיתוח 2021 '!H94</f>
        <v>0</v>
      </c>
      <c r="I82" s="173">
        <f>'תקציב החברה לפיתוח 2021 '!I94</f>
        <v>0</v>
      </c>
      <c r="J82" s="173">
        <f>'תקציב החברה לפיתוח 2021 '!J94</f>
        <v>0</v>
      </c>
      <c r="K82" s="173">
        <f>'תקציב החברה לפיתוח 2021 '!K94</f>
        <v>0</v>
      </c>
      <c r="L82" s="173">
        <f>'תקציב החברה לפיתוח 2021 '!L94</f>
        <v>0</v>
      </c>
      <c r="M82" s="173">
        <f>'תקציב החברה לפיתוח 2021 '!M94</f>
        <v>0</v>
      </c>
      <c r="N82" s="173">
        <f>'תקציב החברה לפיתוח 2021 '!N94</f>
        <v>500000</v>
      </c>
      <c r="O82" s="173">
        <f>'תקציב החברה לפיתוח 2021 '!O94</f>
        <v>79500000</v>
      </c>
      <c r="P82" s="173">
        <f>'תקציב החברה לפיתוח 2021 '!P94</f>
        <v>0</v>
      </c>
      <c r="Q82" s="173">
        <f>'תקציב החברה לפיתוח 2021 '!Q94</f>
        <v>0</v>
      </c>
      <c r="R82" s="173">
        <f>'תקציב החברה לפיתוח 2021 '!R94</f>
        <v>0</v>
      </c>
      <c r="S82" s="173">
        <f>'תקציב החברה לפיתוח 2021 '!S94</f>
        <v>0</v>
      </c>
      <c r="T82" s="173">
        <f>'תקציב החברה לפיתוח 2021 '!T94</f>
        <v>0</v>
      </c>
      <c r="U82" s="173">
        <f>'תקציב החברה לפיתוח 2021 '!U94</f>
        <v>500000</v>
      </c>
      <c r="V82" s="173">
        <f>'תקציב החברה לפיתוח 2021 '!V94</f>
        <v>500000</v>
      </c>
      <c r="W82" s="173">
        <f>'תקציב החברה לפיתוח 2021 '!W94</f>
        <v>0</v>
      </c>
      <c r="X82" s="173">
        <f>'תקציב החברה לפיתוח 2021 '!X94</f>
        <v>0</v>
      </c>
      <c r="Y82" s="173">
        <f>'תקציב החברה לפיתוח 2021 '!Y94</f>
        <v>0</v>
      </c>
      <c r="Z82" s="173">
        <f>'תקציב החברה לפיתוח 2021 '!Z94</f>
        <v>0</v>
      </c>
      <c r="AA82" s="173">
        <f>'תקציב החברה לפיתוח 2021 '!AA94</f>
        <v>0</v>
      </c>
      <c r="AB82" s="293" t="str">
        <f>'תקציב החברה לפיתוח 2021 '!AB94</f>
        <v xml:space="preserve">הריסת מבנים קיימים ובניה מתחם חדש:בי"ס יסודי 24 כיתות, 4 כיתות ח"מ, אולם ספורט, מגרש ספורט מוצלל, 2 כיתות גנ"י. </v>
      </c>
      <c r="AC82" s="172">
        <f>'תקציב החברה לפיתוח 2021 '!AC94</f>
        <v>810000</v>
      </c>
      <c r="AD82" s="284"/>
      <c r="AE82" s="284"/>
      <c r="AF82" s="166"/>
      <c r="AG82" s="166"/>
      <c r="AH82" s="166"/>
      <c r="AI82" s="166"/>
      <c r="AJ82" s="166"/>
    </row>
    <row r="83" spans="1:36" s="5" customFormat="1">
      <c r="A83" s="172">
        <f t="shared" si="7"/>
        <v>74</v>
      </c>
      <c r="B83" s="172">
        <f>'תקציב החברה לפיתוח 2021 '!B95</f>
        <v>2202</v>
      </c>
      <c r="C83" s="326" t="str">
        <f>'תקציב החברה לפיתוח 2021 '!C95</f>
        <v>בי"ס דמוקרטי</v>
      </c>
      <c r="D83" s="173">
        <f>'תקציב החברה לפיתוח 2021 '!D95</f>
        <v>1000000</v>
      </c>
      <c r="E83" s="173">
        <f>'תקציב החברה לפיתוח 2021 '!E95</f>
        <v>0</v>
      </c>
      <c r="F83" s="173">
        <f>'תקציב החברה לפיתוח 2021 '!F95</f>
        <v>1000000</v>
      </c>
      <c r="G83" s="173">
        <f>'תקציב החברה לפיתוח 2021 '!G95</f>
        <v>0</v>
      </c>
      <c r="H83" s="173">
        <f>'תקציב החברה לפיתוח 2021 '!H95</f>
        <v>0</v>
      </c>
      <c r="I83" s="173">
        <f>'תקציב החברה לפיתוח 2021 '!I95</f>
        <v>0</v>
      </c>
      <c r="J83" s="173">
        <f>'תקציב החברה לפיתוח 2021 '!J95</f>
        <v>0</v>
      </c>
      <c r="K83" s="173">
        <f>'תקציב החברה לפיתוח 2021 '!K95</f>
        <v>0</v>
      </c>
      <c r="L83" s="173">
        <f>'תקציב החברה לפיתוח 2021 '!L95</f>
        <v>0</v>
      </c>
      <c r="M83" s="173">
        <f>'תקציב החברה לפיתוח 2021 '!M95</f>
        <v>0</v>
      </c>
      <c r="N83" s="173">
        <f>'תקציב החברה לפיתוח 2021 '!N95</f>
        <v>1000000</v>
      </c>
      <c r="O83" s="173">
        <f>'תקציב החברה לפיתוח 2021 '!O95</f>
        <v>0</v>
      </c>
      <c r="P83" s="173">
        <f>'תקציב החברה לפיתוח 2021 '!P95</f>
        <v>0</v>
      </c>
      <c r="Q83" s="173">
        <f>'תקציב החברה לפיתוח 2021 '!Q95</f>
        <v>0</v>
      </c>
      <c r="R83" s="173">
        <f>'תקציב החברה לפיתוח 2021 '!R95</f>
        <v>0</v>
      </c>
      <c r="S83" s="173">
        <f>'תקציב החברה לפיתוח 2021 '!S95</f>
        <v>0</v>
      </c>
      <c r="T83" s="173">
        <f>'תקציב החברה לפיתוח 2021 '!T95</f>
        <v>0</v>
      </c>
      <c r="U83" s="173">
        <f>'תקציב החברה לפיתוח 2021 '!U95</f>
        <v>1000000</v>
      </c>
      <c r="V83" s="173">
        <f>'תקציב החברה לפיתוח 2021 '!V95</f>
        <v>1000000</v>
      </c>
      <c r="W83" s="173">
        <f>'תקציב החברה לפיתוח 2021 '!W95</f>
        <v>0</v>
      </c>
      <c r="X83" s="173">
        <f>'תקציב החברה לפיתוח 2021 '!X95</f>
        <v>0</v>
      </c>
      <c r="Y83" s="173">
        <f>'תקציב החברה לפיתוח 2021 '!Y95</f>
        <v>0</v>
      </c>
      <c r="Z83" s="173">
        <f>'תקציב החברה לפיתוח 2021 '!Z95</f>
        <v>0</v>
      </c>
      <c r="AA83" s="173">
        <f>'תקציב החברה לפיתוח 2021 '!AA95</f>
        <v>0</v>
      </c>
      <c r="AB83" s="293" t="str">
        <f>'תקציב החברה לפיתוח 2021 '!AB95</f>
        <v xml:space="preserve">בדיקת היתכנות להקמת בי"ס. </v>
      </c>
      <c r="AC83" s="172">
        <f>'תקציב החברה לפיתוח 2021 '!AC95</f>
        <v>810000</v>
      </c>
      <c r="AD83" s="284"/>
      <c r="AE83" s="284"/>
      <c r="AF83" s="166"/>
      <c r="AG83" s="166"/>
      <c r="AH83" s="166"/>
      <c r="AI83" s="166"/>
      <c r="AJ83" s="166"/>
    </row>
    <row r="84" spans="1:36" s="5" customFormat="1" ht="31.75" customHeight="1">
      <c r="A84" s="172">
        <f t="shared" si="7"/>
        <v>75</v>
      </c>
      <c r="B84" s="172">
        <f>'תקציב החברה לפיתוח 2021 '!B97</f>
        <v>2204</v>
      </c>
      <c r="C84" s="326" t="str">
        <f>'תקציב החברה לפיתוח 2021 '!C97</f>
        <v>בי"ס נוף ים-תוספת 6 כיתות ומקלט</v>
      </c>
      <c r="D84" s="173">
        <f>'תקציב החברה לפיתוח 2021 '!D97</f>
        <v>800000</v>
      </c>
      <c r="E84" s="173">
        <f>'תקציב החברה לפיתוח 2021 '!E97</f>
        <v>0</v>
      </c>
      <c r="F84" s="173">
        <f>'תקציב החברה לפיתוח 2021 '!F97</f>
        <v>800000</v>
      </c>
      <c r="G84" s="173">
        <f>'תקציב החברה לפיתוח 2021 '!G97</f>
        <v>0</v>
      </c>
      <c r="H84" s="173">
        <f>'תקציב החברה לפיתוח 2021 '!H97</f>
        <v>0</v>
      </c>
      <c r="I84" s="173">
        <f>'תקציב החברה לפיתוח 2021 '!I97</f>
        <v>0</v>
      </c>
      <c r="J84" s="173">
        <f>'תקציב החברה לפיתוח 2021 '!J97</f>
        <v>0</v>
      </c>
      <c r="K84" s="173">
        <f>'תקציב החברה לפיתוח 2021 '!K97</f>
        <v>0</v>
      </c>
      <c r="L84" s="173">
        <f>'תקציב החברה לפיתוח 2021 '!L97</f>
        <v>0</v>
      </c>
      <c r="M84" s="173">
        <f>'תקציב החברה לפיתוח 2021 '!M97</f>
        <v>0</v>
      </c>
      <c r="N84" s="173">
        <f>'תקציב החברה לפיתוח 2021 '!N97</f>
        <v>800000</v>
      </c>
      <c r="O84" s="173">
        <f>'תקציב החברה לפיתוח 2021 '!O97</f>
        <v>0</v>
      </c>
      <c r="P84" s="173">
        <f>'תקציב החברה לפיתוח 2021 '!P97</f>
        <v>0</v>
      </c>
      <c r="Q84" s="173">
        <f>'תקציב החברה לפיתוח 2021 '!Q97</f>
        <v>0</v>
      </c>
      <c r="R84" s="173">
        <f>'תקציב החברה לפיתוח 2021 '!R97</f>
        <v>0</v>
      </c>
      <c r="S84" s="173">
        <f>'תקציב החברה לפיתוח 2021 '!S97</f>
        <v>0</v>
      </c>
      <c r="T84" s="173">
        <f>'תקציב החברה לפיתוח 2021 '!T97</f>
        <v>0</v>
      </c>
      <c r="U84" s="173">
        <f>'תקציב החברה לפיתוח 2021 '!U97</f>
        <v>800000</v>
      </c>
      <c r="V84" s="173">
        <f>'תקציב החברה לפיתוח 2021 '!V97</f>
        <v>800000</v>
      </c>
      <c r="W84" s="173">
        <f>'תקציב החברה לפיתוח 2021 '!W97</f>
        <v>0</v>
      </c>
      <c r="X84" s="173">
        <f>'תקציב החברה לפיתוח 2021 '!X97</f>
        <v>0</v>
      </c>
      <c r="Y84" s="173">
        <f>'תקציב החברה לפיתוח 2021 '!Y97</f>
        <v>0</v>
      </c>
      <c r="Z84" s="173">
        <f>'תקציב החברה לפיתוח 2021 '!Z97</f>
        <v>0</v>
      </c>
      <c r="AA84" s="173">
        <f>'תקציב החברה לפיתוח 2021 '!AA97</f>
        <v>0</v>
      </c>
      <c r="AB84" s="293" t="str">
        <f>'תקציב החברה לפיתוח 2021 '!AB97</f>
        <v xml:space="preserve">בדיקת היתכנות להרחבה ל - 18 כיתות.  </v>
      </c>
      <c r="AC84" s="172">
        <f>'תקציב החברה לפיתוח 2021 '!AC97</f>
        <v>810000</v>
      </c>
      <c r="AD84" s="284"/>
      <c r="AE84" s="284"/>
      <c r="AF84" s="166"/>
      <c r="AG84" s="166"/>
      <c r="AH84" s="166"/>
      <c r="AI84" s="166"/>
      <c r="AJ84" s="166"/>
    </row>
    <row r="85" spans="1:36" s="6" customFormat="1" ht="28">
      <c r="A85" s="172">
        <f t="shared" si="7"/>
        <v>76</v>
      </c>
      <c r="B85" s="172">
        <f>'תקציב החברה לפיתוח 2021 '!B98</f>
        <v>2205</v>
      </c>
      <c r="C85" s="326" t="str">
        <f>'תקציב החברה לפיתוח 2021 '!C98</f>
        <v xml:space="preserve">תיכון היובל </v>
      </c>
      <c r="D85" s="173">
        <f>'תקציב החברה לפיתוח 2021 '!D98</f>
        <v>16000000</v>
      </c>
      <c r="E85" s="173">
        <f>'תקציב החברה לפיתוח 2021 '!E98</f>
        <v>0</v>
      </c>
      <c r="F85" s="173">
        <f>'תקציב החברה לפיתוח 2021 '!F98</f>
        <v>16000000</v>
      </c>
      <c r="G85" s="173">
        <f>'תקציב החברה לפיתוח 2021 '!G98</f>
        <v>0</v>
      </c>
      <c r="H85" s="173">
        <f>'תקציב החברה לפיתוח 2021 '!H98</f>
        <v>0</v>
      </c>
      <c r="I85" s="173">
        <f>'תקציב החברה לפיתוח 2021 '!I98</f>
        <v>0</v>
      </c>
      <c r="J85" s="173">
        <f>'תקציב החברה לפיתוח 2021 '!J98</f>
        <v>0</v>
      </c>
      <c r="K85" s="173">
        <f>'תקציב החברה לפיתוח 2021 '!K98</f>
        <v>0</v>
      </c>
      <c r="L85" s="173">
        <f>'תקציב החברה לפיתוח 2021 '!L98</f>
        <v>0</v>
      </c>
      <c r="M85" s="173">
        <f>'תקציב החברה לפיתוח 2021 '!M98</f>
        <v>0</v>
      </c>
      <c r="N85" s="173">
        <f>'תקציב החברה לפיתוח 2021 '!N98</f>
        <v>500000</v>
      </c>
      <c r="O85" s="173">
        <f>'תקציב החברה לפיתוח 2021 '!O98</f>
        <v>15500000</v>
      </c>
      <c r="P85" s="173">
        <f>'תקציב החברה לפיתוח 2021 '!P98</f>
        <v>0</v>
      </c>
      <c r="Q85" s="173">
        <f>'תקציב החברה לפיתוח 2021 '!Q98</f>
        <v>0</v>
      </c>
      <c r="R85" s="173">
        <f>'תקציב החברה לפיתוח 2021 '!R98</f>
        <v>0</v>
      </c>
      <c r="S85" s="173">
        <f>'תקציב החברה לפיתוח 2021 '!S98</f>
        <v>0</v>
      </c>
      <c r="T85" s="173">
        <f>'תקציב החברה לפיתוח 2021 '!T98</f>
        <v>0</v>
      </c>
      <c r="U85" s="173">
        <f>'תקציב החברה לפיתוח 2021 '!U98</f>
        <v>500000</v>
      </c>
      <c r="V85" s="173">
        <f>'תקציב החברה לפיתוח 2021 '!V98</f>
        <v>500000</v>
      </c>
      <c r="W85" s="173">
        <f>'תקציב החברה לפיתוח 2021 '!W98</f>
        <v>0</v>
      </c>
      <c r="X85" s="173">
        <f>'תקציב החברה לפיתוח 2021 '!X98</f>
        <v>0</v>
      </c>
      <c r="Y85" s="173">
        <f>'תקציב החברה לפיתוח 2021 '!Y98</f>
        <v>0</v>
      </c>
      <c r="Z85" s="173">
        <f>'תקציב החברה לפיתוח 2021 '!Z98</f>
        <v>0</v>
      </c>
      <c r="AA85" s="173">
        <f>'תקציב החברה לפיתוח 2021 '!AA98</f>
        <v>0</v>
      </c>
      <c r="AB85" s="293" t="str">
        <f>'תקציב החברה לפיתוח 2021 '!AB98</f>
        <v xml:space="preserve">תכנון וביצוע של תוספת כיתות ומעבדות בתיכון היובל. </v>
      </c>
      <c r="AC85" s="172">
        <f>'תקציב החברה לפיתוח 2021 '!AC98</f>
        <v>810000</v>
      </c>
      <c r="AD85" s="284"/>
      <c r="AE85" s="284"/>
      <c r="AF85" s="166"/>
      <c r="AG85" s="166"/>
      <c r="AH85" s="166"/>
      <c r="AI85" s="166"/>
      <c r="AJ85" s="166"/>
    </row>
    <row r="86" spans="1:36" s="6" customFormat="1">
      <c r="A86" s="172">
        <f t="shared" si="7"/>
        <v>77</v>
      </c>
      <c r="B86" s="172">
        <f>'תקציב החברה לפיתוח 2021 '!B99</f>
        <v>2206</v>
      </c>
      <c r="C86" s="326" t="str">
        <f>'תקציב החברה לפיתוח 2021 '!C99</f>
        <v>חט"ב באלתרמן</v>
      </c>
      <c r="D86" s="173">
        <f>'תקציב החברה לפיתוח 2021 '!D99</f>
        <v>1000000</v>
      </c>
      <c r="E86" s="173">
        <f>'תקציב החברה לפיתוח 2021 '!E99</f>
        <v>0</v>
      </c>
      <c r="F86" s="173">
        <f>'תקציב החברה לפיתוח 2021 '!F99</f>
        <v>1000000</v>
      </c>
      <c r="G86" s="173">
        <f>'תקציב החברה לפיתוח 2021 '!G99</f>
        <v>0</v>
      </c>
      <c r="H86" s="173">
        <f>'תקציב החברה לפיתוח 2021 '!H99</f>
        <v>0</v>
      </c>
      <c r="I86" s="173">
        <f>'תקציב החברה לפיתוח 2021 '!I99</f>
        <v>0</v>
      </c>
      <c r="J86" s="173">
        <f>'תקציב החברה לפיתוח 2021 '!J99</f>
        <v>0</v>
      </c>
      <c r="K86" s="173">
        <f>'תקציב החברה לפיתוח 2021 '!K99</f>
        <v>0</v>
      </c>
      <c r="L86" s="173">
        <f>'תקציב החברה לפיתוח 2021 '!L99</f>
        <v>0</v>
      </c>
      <c r="M86" s="173">
        <f>'תקציב החברה לפיתוח 2021 '!M99</f>
        <v>0</v>
      </c>
      <c r="N86" s="173">
        <f>'תקציב החברה לפיתוח 2021 '!N99</f>
        <v>1000000</v>
      </c>
      <c r="O86" s="173">
        <f>'תקציב החברה לפיתוח 2021 '!O99</f>
        <v>0</v>
      </c>
      <c r="P86" s="173">
        <f>'תקציב החברה לפיתוח 2021 '!P99</f>
        <v>0</v>
      </c>
      <c r="Q86" s="173">
        <f>'תקציב החברה לפיתוח 2021 '!Q99</f>
        <v>0</v>
      </c>
      <c r="R86" s="173">
        <f>'תקציב החברה לפיתוח 2021 '!R99</f>
        <v>0</v>
      </c>
      <c r="S86" s="173">
        <f>'תקציב החברה לפיתוח 2021 '!S99</f>
        <v>0</v>
      </c>
      <c r="T86" s="173">
        <f>'תקציב החברה לפיתוח 2021 '!T99</f>
        <v>0</v>
      </c>
      <c r="U86" s="173">
        <f>'תקציב החברה לפיתוח 2021 '!U99</f>
        <v>1000000</v>
      </c>
      <c r="V86" s="173">
        <f>'תקציב החברה לפיתוח 2021 '!V99</f>
        <v>1000000</v>
      </c>
      <c r="W86" s="173">
        <f>'תקציב החברה לפיתוח 2021 '!W99</f>
        <v>0</v>
      </c>
      <c r="X86" s="173">
        <f>'תקציב החברה לפיתוח 2021 '!X99</f>
        <v>0</v>
      </c>
      <c r="Y86" s="173">
        <f>'תקציב החברה לפיתוח 2021 '!Y99</f>
        <v>0</v>
      </c>
      <c r="Z86" s="173">
        <f>'תקציב החברה לפיתוח 2021 '!Z99</f>
        <v>0</v>
      </c>
      <c r="AA86" s="173">
        <f>'תקציב החברה לפיתוח 2021 '!AA99</f>
        <v>0</v>
      </c>
      <c r="AB86" s="293" t="str">
        <f>'תקציב החברה לפיתוח 2021 '!AB99</f>
        <v xml:space="preserve">תכנון חט"ב חדשה באלתרמן. </v>
      </c>
      <c r="AC86" s="172">
        <f>'תקציב החברה לפיתוח 2021 '!AC99</f>
        <v>810000</v>
      </c>
      <c r="AD86" s="284"/>
      <c r="AE86" s="284"/>
      <c r="AF86" s="166"/>
      <c r="AG86" s="166"/>
      <c r="AH86" s="166"/>
      <c r="AI86" s="166"/>
      <c r="AJ86" s="166"/>
    </row>
    <row r="87" spans="1:36" s="5" customFormat="1" ht="28">
      <c r="A87" s="172">
        <f t="shared" si="7"/>
        <v>78</v>
      </c>
      <c r="B87" s="172">
        <f>'תקציב החברה לפיתוח 2021 '!B102</f>
        <v>2209</v>
      </c>
      <c r="C87" s="326" t="str">
        <f>'תקציב החברה לפיתוח 2021 '!C102</f>
        <v>בית ספר ברנר (תוספת 6 כיתות)</v>
      </c>
      <c r="D87" s="173">
        <f>'תקציב החברה לפיתוח 2021 '!D102</f>
        <v>500000</v>
      </c>
      <c r="E87" s="173">
        <f>'תקציב החברה לפיתוח 2021 '!E102</f>
        <v>0</v>
      </c>
      <c r="F87" s="173">
        <f>'תקציב החברה לפיתוח 2021 '!F102</f>
        <v>500000</v>
      </c>
      <c r="G87" s="173">
        <f>'תקציב החברה לפיתוח 2021 '!G102</f>
        <v>0</v>
      </c>
      <c r="H87" s="173">
        <f>'תקציב החברה לפיתוח 2021 '!H102</f>
        <v>0</v>
      </c>
      <c r="I87" s="173">
        <f>'תקציב החברה לפיתוח 2021 '!I102</f>
        <v>0</v>
      </c>
      <c r="J87" s="173">
        <f>'תקציב החברה לפיתוח 2021 '!J102</f>
        <v>0</v>
      </c>
      <c r="K87" s="173">
        <f>'תקציב החברה לפיתוח 2021 '!K102</f>
        <v>0</v>
      </c>
      <c r="L87" s="173">
        <f>'תקציב החברה לפיתוח 2021 '!L102</f>
        <v>0</v>
      </c>
      <c r="M87" s="173">
        <f>'תקציב החברה לפיתוח 2021 '!M102</f>
        <v>0</v>
      </c>
      <c r="N87" s="173">
        <f>'תקציב החברה לפיתוח 2021 '!N102</f>
        <v>500000</v>
      </c>
      <c r="O87" s="173">
        <f>'תקציב החברה לפיתוח 2021 '!O102</f>
        <v>0</v>
      </c>
      <c r="P87" s="173">
        <f>'תקציב החברה לפיתוח 2021 '!P102</f>
        <v>0</v>
      </c>
      <c r="Q87" s="173">
        <f>'תקציב החברה לפיתוח 2021 '!Q102</f>
        <v>0</v>
      </c>
      <c r="R87" s="173">
        <f>'תקציב החברה לפיתוח 2021 '!R102</f>
        <v>0</v>
      </c>
      <c r="S87" s="173">
        <f>'תקציב החברה לפיתוח 2021 '!S102</f>
        <v>0</v>
      </c>
      <c r="T87" s="173">
        <f>'תקציב החברה לפיתוח 2021 '!T102</f>
        <v>0</v>
      </c>
      <c r="U87" s="173">
        <f>'תקציב החברה לפיתוח 2021 '!U102</f>
        <v>500000</v>
      </c>
      <c r="V87" s="173">
        <f>'תקציב החברה לפיתוח 2021 '!V102</f>
        <v>500000</v>
      </c>
      <c r="W87" s="173">
        <f>'תקציב החברה לפיתוח 2021 '!W102</f>
        <v>0</v>
      </c>
      <c r="X87" s="173">
        <f>'תקציב החברה לפיתוח 2021 '!X102</f>
        <v>0</v>
      </c>
      <c r="Y87" s="173">
        <f>'תקציב החברה לפיתוח 2021 '!Y102</f>
        <v>0</v>
      </c>
      <c r="Z87" s="173">
        <f>'תקציב החברה לפיתוח 2021 '!Z102</f>
        <v>0</v>
      </c>
      <c r="AA87" s="173">
        <f>'תקציב החברה לפיתוח 2021 '!AA102</f>
        <v>0</v>
      </c>
      <c r="AB87" s="293" t="str">
        <f>'תקציב החברה לפיתוח 2021 '!AB102</f>
        <v xml:space="preserve">תכנון תוספת 6 כיתות בי"ס ברנר. </v>
      </c>
      <c r="AC87" s="172">
        <f>'תקציב החברה לפיתוח 2021 '!AC102</f>
        <v>810000</v>
      </c>
      <c r="AD87" s="284"/>
      <c r="AE87" s="284"/>
      <c r="AF87" s="166"/>
      <c r="AG87" s="166"/>
      <c r="AH87" s="166"/>
      <c r="AI87" s="166"/>
      <c r="AJ87" s="166"/>
    </row>
    <row r="88" spans="1:36" s="5" customFormat="1">
      <c r="A88" s="172">
        <f t="shared" si="7"/>
        <v>79</v>
      </c>
      <c r="B88" s="172">
        <f>'תקציב החברה לפיתוח 2021 '!B103</f>
        <v>2210</v>
      </c>
      <c r="C88" s="326" t="str">
        <f>'תקציב החברה לפיתוח 2021 '!C103</f>
        <v>גנ"י (2) בסמטת סמדר</v>
      </c>
      <c r="D88" s="173">
        <f>'תקציב החברה לפיתוח 2021 '!D103</f>
        <v>1000000</v>
      </c>
      <c r="E88" s="173">
        <f>'תקציב החברה לפיתוח 2021 '!E103</f>
        <v>0</v>
      </c>
      <c r="F88" s="173">
        <f>'תקציב החברה לפיתוח 2021 '!F103</f>
        <v>1000000</v>
      </c>
      <c r="G88" s="173">
        <f>'תקציב החברה לפיתוח 2021 '!G103</f>
        <v>0</v>
      </c>
      <c r="H88" s="173">
        <f>'תקציב החברה לפיתוח 2021 '!H103</f>
        <v>0</v>
      </c>
      <c r="I88" s="173">
        <f>'תקציב החברה לפיתוח 2021 '!I103</f>
        <v>0</v>
      </c>
      <c r="J88" s="173">
        <f>'תקציב החברה לפיתוח 2021 '!J103</f>
        <v>0</v>
      </c>
      <c r="K88" s="173">
        <f>'תקציב החברה לפיתוח 2021 '!K103</f>
        <v>0</v>
      </c>
      <c r="L88" s="173">
        <f>'תקציב החברה לפיתוח 2021 '!L103</f>
        <v>0</v>
      </c>
      <c r="M88" s="173">
        <f>'תקציב החברה לפיתוח 2021 '!M103</f>
        <v>0</v>
      </c>
      <c r="N88" s="173">
        <f>'תקציב החברה לפיתוח 2021 '!N103</f>
        <v>500000</v>
      </c>
      <c r="O88" s="173">
        <f>'תקציב החברה לפיתוח 2021 '!O103</f>
        <v>500000</v>
      </c>
      <c r="P88" s="173">
        <f>'תקציב החברה לפיתוח 2021 '!P103</f>
        <v>0</v>
      </c>
      <c r="Q88" s="173">
        <f>'תקציב החברה לפיתוח 2021 '!Q103</f>
        <v>0</v>
      </c>
      <c r="R88" s="173">
        <f>'תקציב החברה לפיתוח 2021 '!R103</f>
        <v>0</v>
      </c>
      <c r="S88" s="173">
        <f>'תקציב החברה לפיתוח 2021 '!S103</f>
        <v>0</v>
      </c>
      <c r="T88" s="173">
        <f>'תקציב החברה לפיתוח 2021 '!T103</f>
        <v>0</v>
      </c>
      <c r="U88" s="173">
        <f>'תקציב החברה לפיתוח 2021 '!U103</f>
        <v>500000</v>
      </c>
      <c r="V88" s="173">
        <f>'תקציב החברה לפיתוח 2021 '!V103</f>
        <v>500000</v>
      </c>
      <c r="W88" s="173">
        <f>'תקציב החברה לפיתוח 2021 '!W103</f>
        <v>0</v>
      </c>
      <c r="X88" s="173">
        <f>'תקציב החברה לפיתוח 2021 '!X103</f>
        <v>0</v>
      </c>
      <c r="Y88" s="173">
        <f>'תקציב החברה לפיתוח 2021 '!Y103</f>
        <v>0</v>
      </c>
      <c r="Z88" s="173">
        <f>'תקציב החברה לפיתוח 2021 '!Z103</f>
        <v>0</v>
      </c>
      <c r="AA88" s="173">
        <f>'תקציב החברה לפיתוח 2021 '!AA103</f>
        <v>0</v>
      </c>
      <c r="AB88" s="293" t="str">
        <f>'תקציב החברה לפיתוח 2021 '!AB103</f>
        <v>תכנון 2 כיתות גן.</v>
      </c>
      <c r="AC88" s="172">
        <f>'תקציב החברה לפיתוח 2021 '!AC103</f>
        <v>810000</v>
      </c>
      <c r="AD88" s="284"/>
      <c r="AE88" s="284"/>
      <c r="AF88" s="166"/>
      <c r="AG88" s="166"/>
      <c r="AH88" s="166"/>
      <c r="AI88" s="166"/>
      <c r="AJ88" s="166"/>
    </row>
    <row r="89" spans="1:36" s="5" customFormat="1" ht="42">
      <c r="A89" s="172">
        <f t="shared" si="7"/>
        <v>80</v>
      </c>
      <c r="B89" s="172">
        <f>'תקציב החברה לפיתוח 2021 '!B111</f>
        <v>1908</v>
      </c>
      <c r="C89" s="326" t="str">
        <f>'תקציב החברה לפיתוח 2021 '!C111</f>
        <v>כיתות מעון וגן שטח 303 גליל ים א'</v>
      </c>
      <c r="D89" s="173">
        <f>'תקציב החברה לפיתוח 2021 '!D111</f>
        <v>19080000</v>
      </c>
      <c r="E89" s="173">
        <f>'תקציב החברה לפיתוח 2021 '!E111</f>
        <v>19080000</v>
      </c>
      <c r="F89" s="173">
        <f>'תקציב החברה לפיתוח 2021 '!F111</f>
        <v>0</v>
      </c>
      <c r="G89" s="173">
        <f>'תקציב החברה לפיתוח 2021 '!G111</f>
        <v>10943329</v>
      </c>
      <c r="H89" s="173">
        <f>'תקציב החברה לפיתוח 2021 '!H111</f>
        <v>674770</v>
      </c>
      <c r="I89" s="173">
        <f>'תקציב החברה לפיתוח 2021 '!I111</f>
        <v>0</v>
      </c>
      <c r="J89" s="173">
        <f>'תקציב החברה לפיתוח 2021 '!J111</f>
        <v>655530</v>
      </c>
      <c r="K89" s="173">
        <f>'תקציב החברה לפיתוח 2021 '!K111</f>
        <v>655530</v>
      </c>
      <c r="L89" s="173">
        <f>'תקציב החברה לפיתוח 2021 '!L111</f>
        <v>1330300</v>
      </c>
      <c r="M89" s="173">
        <f>'תקציב החברה לפיתוח 2021 '!M111</f>
        <v>9613029</v>
      </c>
      <c r="N89" s="173">
        <f>'תקציב החברה לפיתוח 2021 '!N111</f>
        <v>8136671</v>
      </c>
      <c r="O89" s="173">
        <f>'תקציב החברה לפיתוח 2021 '!O111</f>
        <v>0</v>
      </c>
      <c r="P89" s="173">
        <f>'תקציב החברה לפיתוח 2021 '!P111</f>
        <v>9613029</v>
      </c>
      <c r="Q89" s="173">
        <f>'תקציב החברה לפיתוח 2021 '!Q111</f>
        <v>0</v>
      </c>
      <c r="R89" s="173">
        <f>'תקציב החברה לפיתוח 2021 '!R111</f>
        <v>0</v>
      </c>
      <c r="S89" s="173">
        <f>'תקציב החברה לפיתוח 2021 '!S111</f>
        <v>0</v>
      </c>
      <c r="T89" s="173">
        <f>'תקציב החברה לפיתוח 2021 '!T111</f>
        <v>0</v>
      </c>
      <c r="U89" s="173">
        <f>'תקציב החברה לפיתוח 2021 '!U111</f>
        <v>8136671</v>
      </c>
      <c r="V89" s="173">
        <f>'תקציב החברה לפיתוח 2021 '!V111</f>
        <v>6611167</v>
      </c>
      <c r="W89" s="173">
        <f>'תקציב החברה לפיתוח 2021 '!W111</f>
        <v>0</v>
      </c>
      <c r="X89" s="173">
        <f>'תקציב החברה לפיתוח 2021 '!X111</f>
        <v>0</v>
      </c>
      <c r="Y89" s="173">
        <f>'תקציב החברה לפיתוח 2021 '!Y111</f>
        <v>0</v>
      </c>
      <c r="Z89" s="173">
        <f>'תקציב החברה לפיתוח 2021 '!Z111</f>
        <v>0</v>
      </c>
      <c r="AA89" s="173">
        <f>'תקציב החברה לפיתוח 2021 '!AA111</f>
        <v>1525504</v>
      </c>
      <c r="AB89" s="293" t="str">
        <f>'תקציב החברה לפיתוח 2021 '!AB111</f>
        <v xml:space="preserve"> כיתות גן (7) . לו"ז איכלוס 9/2021. 2 כיתות גן מימון מ.החינוך .</v>
      </c>
      <c r="AC89" s="172">
        <f>'תקציב החברה לפיתוח 2021 '!AC111</f>
        <v>810000</v>
      </c>
      <c r="AD89" s="284"/>
      <c r="AE89" s="284"/>
      <c r="AF89" s="166"/>
      <c r="AG89" s="166"/>
      <c r="AH89" s="166"/>
      <c r="AI89" s="166"/>
      <c r="AJ89" s="166"/>
    </row>
    <row r="90" spans="1:36" s="5" customFormat="1" ht="98">
      <c r="A90" s="172">
        <f t="shared" si="7"/>
        <v>81</v>
      </c>
      <c r="B90" s="172">
        <f>'תקציב החברה לפיתוח 2021 '!B112</f>
        <v>1909</v>
      </c>
      <c r="C90" s="326" t="str">
        <f>'תקציב החברה לפיתוח 2021 '!C112</f>
        <v xml:space="preserve">שטח 408 גליל ים ב'-גנ"י, בי"ס, ספריה </v>
      </c>
      <c r="D90" s="173">
        <f>'תקציב החברה לפיתוח 2021 '!D112</f>
        <v>184500000</v>
      </c>
      <c r="E90" s="173">
        <f>'תקציב החברה לפיתוח 2021 '!E112</f>
        <v>184500000</v>
      </c>
      <c r="F90" s="173">
        <f>'תקציב החברה לפיתוח 2021 '!F112</f>
        <v>0</v>
      </c>
      <c r="G90" s="173">
        <f>'תקציב החברה לפיתוח 2021 '!G112</f>
        <v>10150000</v>
      </c>
      <c r="H90" s="173">
        <f>'תקציב החברה לפיתוח 2021 '!H112</f>
        <v>6040958</v>
      </c>
      <c r="I90" s="173">
        <f>'תקציב החברה לפיתוח 2021 '!I112</f>
        <v>0</v>
      </c>
      <c r="J90" s="173">
        <f>'תקציב החברה לפיתוח 2021 '!J112</f>
        <v>149036</v>
      </c>
      <c r="K90" s="173">
        <f>'תקציב החברה לפיתוח 2021 '!K112</f>
        <v>149036</v>
      </c>
      <c r="L90" s="173">
        <f>'תקציב החברה לפיתוח 2021 '!L112</f>
        <v>6189994</v>
      </c>
      <c r="M90" s="173">
        <f>'תקציב החברה לפיתוח 2021 '!M112</f>
        <v>35460006</v>
      </c>
      <c r="N90" s="173">
        <f>'תקציב החברה לפיתוח 2021 '!N112</f>
        <v>40000000</v>
      </c>
      <c r="O90" s="173">
        <f>'תקציב החברה לפיתוח 2021 '!O112</f>
        <v>102850000</v>
      </c>
      <c r="P90" s="173">
        <f>'תקציב החברה לפיתוח 2021 '!P112</f>
        <v>3960006</v>
      </c>
      <c r="Q90" s="173">
        <f>'תקציב החברה לפיתוח 2021 '!Q112</f>
        <v>31500000</v>
      </c>
      <c r="R90" s="173">
        <f>'תקציב החברה לפיתוח 2021 '!R112</f>
        <v>0</v>
      </c>
      <c r="S90" s="173">
        <f>'תקציב החברה לפיתוח 2021 '!S112</f>
        <v>31500000</v>
      </c>
      <c r="T90" s="173">
        <f>'תקציב החברה לפיתוח 2021 '!T112</f>
        <v>0</v>
      </c>
      <c r="U90" s="173">
        <f>'תקציב החברה לפיתוח 2021 '!U112</f>
        <v>40000000</v>
      </c>
      <c r="V90" s="173">
        <f>'תקציב החברה לפיתוח 2021 '!V112</f>
        <v>6105210</v>
      </c>
      <c r="W90" s="173">
        <f>'תקציב החברה לפיתוח 2021 '!W112</f>
        <v>0</v>
      </c>
      <c r="X90" s="173">
        <f>'תקציב החברה לפיתוח 2021 '!X112</f>
        <v>0</v>
      </c>
      <c r="Y90" s="173">
        <f>'תקציב החברה לפיתוח 2021 '!Y112</f>
        <v>15000000</v>
      </c>
      <c r="Z90" s="173">
        <f>'תקציב החברה לפיתוח 2021 '!Z112</f>
        <v>0</v>
      </c>
      <c r="AA90" s="173">
        <f>'תקציב החברה לפיתוח 2021 '!AA112</f>
        <v>18894790</v>
      </c>
      <c r="AB90" s="293" t="str">
        <f>'תקציב החברה לפיתוח 2021 '!AB112</f>
        <v>בניית בי"ס יסודי 18 כיתות, 5 כיתות גן, מועדון תנועת נוער, אולם ספורט בינוני , מגרש ספורט משולב, חניון תתקרקעי 2 מפלסים. לו"ז לאיכלוס 9.2021/2022. מימון מ. החינוך בי"ס,גנ"י.</v>
      </c>
      <c r="AC90" s="172">
        <f>'תקציב החברה לפיתוח 2021 '!AC112</f>
        <v>810000</v>
      </c>
      <c r="AD90" s="284"/>
      <c r="AE90" s="284"/>
      <c r="AF90" s="166"/>
      <c r="AG90" s="166"/>
      <c r="AH90" s="166"/>
      <c r="AI90" s="166"/>
      <c r="AJ90" s="166"/>
    </row>
    <row r="91" spans="1:36" s="5" customFormat="1" ht="42">
      <c r="A91" s="172">
        <f t="shared" si="7"/>
        <v>82</v>
      </c>
      <c r="B91" s="172">
        <f>'תקציב החברה לפיתוח 2021 '!B113</f>
        <v>1911</v>
      </c>
      <c r="C91" s="326" t="str">
        <f>'תקציב החברה לפיתוח 2021 '!C113</f>
        <v xml:space="preserve">כיתות מעון 5 יום 5 כיתות גן-. 404 גליל ים ב' </v>
      </c>
      <c r="D91" s="173">
        <f>'תקציב החברה לפיתוח 2021 '!D113</f>
        <v>29050000</v>
      </c>
      <c r="E91" s="173">
        <f>'תקציב החברה לפיתוח 2021 '!E113</f>
        <v>29050000</v>
      </c>
      <c r="F91" s="173">
        <f>'תקציב החברה לפיתוח 2021 '!F113</f>
        <v>0</v>
      </c>
      <c r="G91" s="173">
        <f>'תקציב החברה לפיתוח 2021 '!G113</f>
        <v>9182067</v>
      </c>
      <c r="H91" s="173">
        <f>'תקציב החברה לפיתוח 2021 '!H113</f>
        <v>859093</v>
      </c>
      <c r="I91" s="173">
        <f>'תקציב החברה לפיתוח 2021 '!I113</f>
        <v>0</v>
      </c>
      <c r="J91" s="173">
        <f>'תקציב החברה לפיתוח 2021 '!J113</f>
        <v>280171</v>
      </c>
      <c r="K91" s="173">
        <f>'תקציב החברה לפיתוח 2021 '!K113</f>
        <v>280171</v>
      </c>
      <c r="L91" s="173">
        <f>'תקציב החברה לפיתוח 2021 '!L113</f>
        <v>1139264</v>
      </c>
      <c r="M91" s="173">
        <f>'תקציב החברה לפיתוח 2021 '!M113</f>
        <v>8042803</v>
      </c>
      <c r="N91" s="173">
        <f>'תקציב החברה לפיתוח 2021 '!N113</f>
        <v>19867933</v>
      </c>
      <c r="O91" s="173">
        <f>'תקציב החברה לפיתוח 2021 '!O113</f>
        <v>0</v>
      </c>
      <c r="P91" s="173">
        <f>'תקציב החברה לפיתוח 2021 '!P113</f>
        <v>8042803</v>
      </c>
      <c r="Q91" s="173">
        <f>'תקציב החברה לפיתוח 2021 '!Q113</f>
        <v>0</v>
      </c>
      <c r="R91" s="173">
        <f>'תקציב החברה לפיתוח 2021 '!R113</f>
        <v>0</v>
      </c>
      <c r="S91" s="173">
        <f>'תקציב החברה לפיתוח 2021 '!S113</f>
        <v>0</v>
      </c>
      <c r="T91" s="173">
        <f>'תקציב החברה לפיתוח 2021 '!T113</f>
        <v>0</v>
      </c>
      <c r="U91" s="173">
        <f>'תקציב החברה לפיתוח 2021 '!U113</f>
        <v>19867933</v>
      </c>
      <c r="V91" s="173">
        <f>'תקציב החברה לפיתוח 2021 '!V113</f>
        <v>16054173</v>
      </c>
      <c r="W91" s="173">
        <f>'תקציב החברה לפיתוח 2021 '!W113</f>
        <v>0</v>
      </c>
      <c r="X91" s="173">
        <f>'תקציב החברה לפיתוח 2021 '!X113</f>
        <v>0</v>
      </c>
      <c r="Y91" s="173">
        <f>'תקציב החברה לפיתוח 2021 '!Y113</f>
        <v>0</v>
      </c>
      <c r="Z91" s="173">
        <f>'תקציב החברה לפיתוח 2021 '!Z113</f>
        <v>0</v>
      </c>
      <c r="AA91" s="173">
        <f>'תקציב החברה לפיתוח 2021 '!AA113</f>
        <v>3813760</v>
      </c>
      <c r="AB91" s="293" t="str">
        <f>'תקציב החברה לפיתוח 2021 '!AB113</f>
        <v>בניית 10 כיתות גן .  לו"ז לאיכלוס 9/2021. מימון מ. החינוך .</v>
      </c>
      <c r="AC91" s="172">
        <f>'תקציב החברה לפיתוח 2021 '!AC113</f>
        <v>810000</v>
      </c>
      <c r="AD91" s="284"/>
      <c r="AE91" s="284"/>
      <c r="AF91" s="166"/>
      <c r="AG91" s="166"/>
      <c r="AH91" s="166"/>
      <c r="AI91" s="166"/>
      <c r="AJ91" s="166"/>
    </row>
    <row r="92" spans="1:36" s="5" customFormat="1" ht="70">
      <c r="A92" s="172">
        <f t="shared" si="7"/>
        <v>83</v>
      </c>
      <c r="B92" s="172">
        <f>'תקציב החברה לפיתוח 2021 '!B114</f>
        <v>1912</v>
      </c>
      <c r="C92" s="326" t="str">
        <f>'תקציב החברה לפיתוח 2021 '!C114</f>
        <v xml:space="preserve">קיריית החינוך ( מגרש 406)-ספריה, מרכז קהילתי </v>
      </c>
      <c r="D92" s="173">
        <f>'תקציב החברה לפיתוח 2021 '!D114</f>
        <v>310000000</v>
      </c>
      <c r="E92" s="173">
        <f>'תקציב החברה לפיתוח 2021 '!E114</f>
        <v>310000000</v>
      </c>
      <c r="F92" s="173">
        <f>'תקציב החברה לפיתוח 2021 '!F114</f>
        <v>0</v>
      </c>
      <c r="G92" s="173">
        <f>'תקציב החברה לפיתוח 2021 '!G114</f>
        <v>11500000</v>
      </c>
      <c r="H92" s="173">
        <f>'תקציב החברה לפיתוח 2021 '!H114</f>
        <v>8515795</v>
      </c>
      <c r="I92" s="173">
        <f>'תקציב החברה לפיתוח 2021 '!I114</f>
        <v>0</v>
      </c>
      <c r="J92" s="173">
        <f>'תקציב החברה לפיתוח 2021 '!J114</f>
        <v>2967182</v>
      </c>
      <c r="K92" s="173">
        <f>'תקציב החברה לפיתוח 2021 '!K114</f>
        <v>2967182</v>
      </c>
      <c r="L92" s="173">
        <f>'תקציב החברה לפיתוח 2021 '!L114</f>
        <v>11482977</v>
      </c>
      <c r="M92" s="173">
        <f>'תקציב החברה לפיתוח 2021 '!M114</f>
        <v>32017023</v>
      </c>
      <c r="N92" s="173">
        <f>'תקציב החברה לפיתוח 2021 '!N114</f>
        <v>45000000</v>
      </c>
      <c r="O92" s="173">
        <f>'תקציב החברה לפיתוח 2021 '!O114</f>
        <v>221500000</v>
      </c>
      <c r="P92" s="173">
        <f>'תקציב החברה לפיתוח 2021 '!P114</f>
        <v>17023</v>
      </c>
      <c r="Q92" s="173">
        <f>'תקציב החברה לפיתוח 2021 '!Q114</f>
        <v>32000000</v>
      </c>
      <c r="R92" s="173">
        <f>'תקציב החברה לפיתוח 2021 '!R114</f>
        <v>0</v>
      </c>
      <c r="S92" s="173">
        <f>'תקציב החברה לפיתוח 2021 '!S114</f>
        <v>32000000</v>
      </c>
      <c r="T92" s="173">
        <f>'תקציב החברה לפיתוח 2021 '!T114</f>
        <v>0</v>
      </c>
      <c r="U92" s="173">
        <f>'תקציב החברה לפיתוח 2021 '!U114</f>
        <v>45000000</v>
      </c>
      <c r="V92" s="173">
        <f>'תקציב החברה לפיתוח 2021 '!V114</f>
        <v>11792920</v>
      </c>
      <c r="W92" s="173">
        <f>'תקציב החברה לפיתוח 2021 '!W114</f>
        <v>0</v>
      </c>
      <c r="X92" s="173">
        <f>'תקציב החברה לפיתוח 2021 '!X114</f>
        <v>0</v>
      </c>
      <c r="Y92" s="173">
        <f>'תקציב החברה לפיתוח 2021 '!Y114</f>
        <v>18000000</v>
      </c>
      <c r="Z92" s="173">
        <f>'תקציב החברה לפיתוח 2021 '!Z114</f>
        <v>0</v>
      </c>
      <c r="AA92" s="173">
        <f>'תקציב החברה לפיתוח 2021 '!AA114</f>
        <v>15207080</v>
      </c>
      <c r="AB92" s="293" t="str">
        <f>'תקציב החברה לפיתוח 2021 '!AB114</f>
        <v>בניית בי"ס יסודי 18 כיתות לו"ז לאיכלוס 9/2022,  אולם ספורט בינוני , מגרש ספורט , חניון תתקרקעי 2 מפלסים. מימון מ. החינוך בי"ס.</v>
      </c>
      <c r="AC92" s="172">
        <f>'תקציב החברה לפיתוח 2021 '!AC114</f>
        <v>810000</v>
      </c>
      <c r="AD92" s="284"/>
      <c r="AE92" s="284"/>
      <c r="AF92" s="166"/>
      <c r="AG92" s="166"/>
      <c r="AH92" s="166"/>
      <c r="AI92" s="166"/>
      <c r="AJ92" s="166"/>
    </row>
    <row r="93" spans="1:36" s="5" customFormat="1" ht="28">
      <c r="A93" s="172">
        <f t="shared" si="7"/>
        <v>84</v>
      </c>
      <c r="B93" s="172">
        <f>'תקציב החברה לפיתוח 2021 '!B115</f>
        <v>1914</v>
      </c>
      <c r="C93" s="326" t="str">
        <f>'תקציב החברה לפיתוח 2021 '!C115</f>
        <v>גן 3 כיתות 401 גליל ים ב'</v>
      </c>
      <c r="D93" s="173">
        <f>'תקציב החברה לפיתוח 2021 '!D115</f>
        <v>8100000</v>
      </c>
      <c r="E93" s="173">
        <f>'תקציב החברה לפיתוח 2021 '!E115</f>
        <v>8100000</v>
      </c>
      <c r="F93" s="173">
        <f>'תקציב החברה לפיתוח 2021 '!F115</f>
        <v>0</v>
      </c>
      <c r="G93" s="173">
        <f>'תקציב החברה לפיתוח 2021 '!G115</f>
        <v>8100000</v>
      </c>
      <c r="H93" s="173">
        <f>'תקציב החברה לפיתוח 2021 '!H115</f>
        <v>6285512</v>
      </c>
      <c r="I93" s="173">
        <f>'תקציב החברה לפיתוח 2021 '!I115</f>
        <v>0</v>
      </c>
      <c r="J93" s="173">
        <f>'תקציב החברה לפיתוח 2021 '!J115</f>
        <v>915534</v>
      </c>
      <c r="K93" s="173">
        <f>'תקציב החברה לפיתוח 2021 '!K115</f>
        <v>915534</v>
      </c>
      <c r="L93" s="173">
        <f>'תקציב החברה לפיתוח 2021 '!L115</f>
        <v>7201046</v>
      </c>
      <c r="M93" s="173">
        <f>'תקציב החברה לפיתוח 2021 '!M115</f>
        <v>898954</v>
      </c>
      <c r="N93" s="173">
        <f>'תקציב החברה לפיתוח 2021 '!N115</f>
        <v>0</v>
      </c>
      <c r="O93" s="173">
        <f>'תקציב החברה לפיתוח 2021 '!O115</f>
        <v>0</v>
      </c>
      <c r="P93" s="173">
        <f>'תקציב החברה לפיתוח 2021 '!P115</f>
        <v>898954</v>
      </c>
      <c r="Q93" s="173">
        <f>'תקציב החברה לפיתוח 2021 '!Q115</f>
        <v>0</v>
      </c>
      <c r="R93" s="173">
        <f>'תקציב החברה לפיתוח 2021 '!R115</f>
        <v>0</v>
      </c>
      <c r="S93" s="173">
        <f>'תקציב החברה לפיתוח 2021 '!S115</f>
        <v>0</v>
      </c>
      <c r="T93" s="173">
        <f>'תקציב החברה לפיתוח 2021 '!T115</f>
        <v>0</v>
      </c>
      <c r="U93" s="173">
        <f>'תקציב החברה לפיתוח 2021 '!U115</f>
        <v>0</v>
      </c>
      <c r="V93" s="173">
        <f>'תקציב החברה לפיתוח 2021 '!V115</f>
        <v>0</v>
      </c>
      <c r="W93" s="173">
        <f>'תקציב החברה לפיתוח 2021 '!W115</f>
        <v>0</v>
      </c>
      <c r="X93" s="173">
        <f>'תקציב החברה לפיתוח 2021 '!X115</f>
        <v>0</v>
      </c>
      <c r="Y93" s="173">
        <f>'תקציב החברה לפיתוח 2021 '!Y115</f>
        <v>0</v>
      </c>
      <c r="Z93" s="173">
        <f>'תקציב החברה לפיתוח 2021 '!Z115</f>
        <v>0</v>
      </c>
      <c r="AA93" s="173">
        <f>'תקציב החברה לפיתוח 2021 '!AA115</f>
        <v>0</v>
      </c>
      <c r="AB93" s="293" t="str">
        <f>'תקציב החברה לפיתוח 2021 '!AB115</f>
        <v>במקביל,תבר הצטיידות בחינוך .</v>
      </c>
      <c r="AC93" s="172">
        <f>'תקציב החברה לפיתוח 2021 '!AC115</f>
        <v>810000</v>
      </c>
      <c r="AD93" s="284"/>
      <c r="AE93" s="284"/>
      <c r="AF93" s="166"/>
      <c r="AG93" s="166"/>
      <c r="AH93" s="166"/>
      <c r="AI93" s="166"/>
      <c r="AJ93" s="166"/>
    </row>
    <row r="94" spans="1:36" s="5" customFormat="1" ht="56">
      <c r="A94" s="172">
        <f t="shared" si="7"/>
        <v>85</v>
      </c>
      <c r="B94" s="172">
        <f>'תקציב החברה לפיתוח 2021 '!B117</f>
        <v>1960</v>
      </c>
      <c r="C94" s="326" t="str">
        <f>'תקציב החברה לפיתוח 2021 '!C117</f>
        <v>גן 3 כיתות 402 גליל ים ב'(כולל חניון)</v>
      </c>
      <c r="D94" s="173">
        <f>'תקציב החברה לפיתוח 2021 '!D117</f>
        <v>24710000</v>
      </c>
      <c r="E94" s="173">
        <f>'תקציב החברה לפיתוח 2021 '!E117</f>
        <v>24710000</v>
      </c>
      <c r="F94" s="173">
        <f>'תקציב החברה לפיתוח 2021 '!F117</f>
        <v>0</v>
      </c>
      <c r="G94" s="173">
        <f>'תקציב החברה לפיתוח 2021 '!G117</f>
        <v>1250000</v>
      </c>
      <c r="H94" s="173">
        <f>'תקציב החברה לפיתוח 2021 '!H117</f>
        <v>694659</v>
      </c>
      <c r="I94" s="173">
        <f>'תקציב החברה לפיתוח 2021 '!I117</f>
        <v>0</v>
      </c>
      <c r="J94" s="173">
        <f>'תקציב החברה לפיתוח 2021 '!J117</f>
        <v>548120</v>
      </c>
      <c r="K94" s="173">
        <f>'תקציב החברה לפיתוח 2021 '!K117</f>
        <v>548120</v>
      </c>
      <c r="L94" s="173">
        <f>'תקציב החברה לפיתוח 2021 '!L117</f>
        <v>1242779</v>
      </c>
      <c r="M94" s="173">
        <f>'תקציב החברה לפיתוח 2021 '!M117</f>
        <v>9779317</v>
      </c>
      <c r="N94" s="173">
        <f>'תקציב החברה לפיתוח 2021 '!N117</f>
        <v>13687904</v>
      </c>
      <c r="O94" s="173">
        <f>'תקציב החברה לפיתוח 2021 '!O117</f>
        <v>0</v>
      </c>
      <c r="P94" s="173">
        <f>'תקציב החברה לפיתוח 2021 '!P117</f>
        <v>7221</v>
      </c>
      <c r="Q94" s="173">
        <f>'תקציב החברה לפיתוח 2021 '!Q117</f>
        <v>9772096</v>
      </c>
      <c r="R94" s="173">
        <f>'תקציב החברה לפיתוח 2021 '!R117</f>
        <v>0</v>
      </c>
      <c r="S94" s="173">
        <f>'תקציב החברה לפיתוח 2021 '!S117</f>
        <v>9772096</v>
      </c>
      <c r="T94" s="173">
        <f>'תקציב החברה לפיתוח 2021 '!T117</f>
        <v>0</v>
      </c>
      <c r="U94" s="173">
        <f>'תקציב החברה לפיתוח 2021 '!U117</f>
        <v>13687904</v>
      </c>
      <c r="V94" s="173">
        <f>'תקציב החברה לפיתוח 2021 '!V117</f>
        <v>3551505</v>
      </c>
      <c r="W94" s="173">
        <f>'תקציב החברה לפיתוח 2021 '!W117</f>
        <v>0</v>
      </c>
      <c r="X94" s="173">
        <f>'תקציב החברה לפיתוח 2021 '!X117</f>
        <v>0</v>
      </c>
      <c r="Y94" s="173">
        <f>'תקציב החברה לפיתוח 2021 '!Y117</f>
        <v>0</v>
      </c>
      <c r="Z94" s="173">
        <f>'תקציב החברה לפיתוח 2021 '!Z117</f>
        <v>0</v>
      </c>
      <c r="AA94" s="173">
        <f>'תקציב החברה לפיתוח 2021 '!AA117</f>
        <v>10136399</v>
      </c>
      <c r="AB94" s="293" t="str">
        <f>'תקציב החברה לפיתוח 2021 '!AB117</f>
        <v xml:space="preserve">בניית 3 כיתות גן לו"ז לאיכלוס 3/2022, בניית החניון במימון  חברת אפריקה ישראל. גנ"י:  מימון מ. החינוך. </v>
      </c>
      <c r="AC94" s="172">
        <f>'תקציב החברה לפיתוח 2021 '!AC117</f>
        <v>810000</v>
      </c>
      <c r="AD94" s="284"/>
      <c r="AE94" s="284"/>
      <c r="AF94" s="166"/>
      <c r="AG94" s="166"/>
      <c r="AH94" s="166"/>
      <c r="AI94" s="166"/>
      <c r="AJ94" s="166"/>
    </row>
    <row r="95" spans="1:36" s="5" customFormat="1" ht="42">
      <c r="A95" s="172">
        <f t="shared" si="7"/>
        <v>86</v>
      </c>
      <c r="B95" s="172">
        <f>'תקציב החברה לפיתוח 2021 '!B119</f>
        <v>1965</v>
      </c>
      <c r="C95" s="326" t="str">
        <f>'תקציב החברה לפיתוח 2021 '!C119</f>
        <v>בית ספר יסודי 18 כיתות מגרש 304 גלילי ים א'</v>
      </c>
      <c r="D95" s="173">
        <f>'תקציב החברה לפיתוח 2021 '!D119</f>
        <v>35000000</v>
      </c>
      <c r="E95" s="173">
        <f>'תקציב החברה לפיתוח 2021 '!E119</f>
        <v>35000000</v>
      </c>
      <c r="F95" s="173">
        <f>'תקציב החברה לפיתוח 2021 '!F119</f>
        <v>0</v>
      </c>
      <c r="G95" s="173">
        <f>'תקציב החברה לפיתוח 2021 '!G119</f>
        <v>100000</v>
      </c>
      <c r="H95" s="173">
        <f>'תקציב החברה לפיתוח 2021 '!H119</f>
        <v>54243</v>
      </c>
      <c r="I95" s="173">
        <f>'תקציב החברה לפיתוח 2021 '!I119</f>
        <v>0</v>
      </c>
      <c r="J95" s="173">
        <f>'תקציב החברה לפיתוח 2021 '!J119</f>
        <v>45755</v>
      </c>
      <c r="K95" s="173">
        <f>'תקציב החברה לפיתוח 2021 '!K119</f>
        <v>45755</v>
      </c>
      <c r="L95" s="173">
        <f>'תקציב החברה לפיתוח 2021 '!L119</f>
        <v>99998</v>
      </c>
      <c r="M95" s="173">
        <f>'תקציב החברה לפיתוח 2021 '!M119</f>
        <v>1000002</v>
      </c>
      <c r="N95" s="173">
        <f>'תקציב החברה לפיתוח 2021 '!N119</f>
        <v>1000000</v>
      </c>
      <c r="O95" s="173">
        <f>'תקציב החברה לפיתוח 2021 '!O119</f>
        <v>32900000</v>
      </c>
      <c r="P95" s="173">
        <f>'תקציב החברה לפיתוח 2021 '!P119</f>
        <v>2</v>
      </c>
      <c r="Q95" s="173">
        <f>'תקציב החברה לפיתוח 2021 '!Q119</f>
        <v>1000000</v>
      </c>
      <c r="R95" s="173">
        <f>'תקציב החברה לפיתוח 2021 '!R119</f>
        <v>0</v>
      </c>
      <c r="S95" s="173">
        <f>'תקציב החברה לפיתוח 2021 '!S119</f>
        <v>1000000</v>
      </c>
      <c r="T95" s="173">
        <f>'תקציב החברה לפיתוח 2021 '!T119</f>
        <v>0</v>
      </c>
      <c r="U95" s="173">
        <f>'תקציב החברה לפיתוח 2021 '!U119</f>
        <v>1000000</v>
      </c>
      <c r="V95" s="173">
        <f>'תקציב החברה לפיתוח 2021 '!V119</f>
        <v>1000000</v>
      </c>
      <c r="W95" s="173">
        <f>'תקציב החברה לפיתוח 2021 '!W119</f>
        <v>0</v>
      </c>
      <c r="X95" s="173">
        <f>'תקציב החברה לפיתוח 2021 '!X119</f>
        <v>0</v>
      </c>
      <c r="Y95" s="173">
        <f>'תקציב החברה לפיתוח 2021 '!Y119</f>
        <v>0</v>
      </c>
      <c r="Z95" s="173">
        <f>'תקציב החברה לפיתוח 2021 '!Z119</f>
        <v>0</v>
      </c>
      <c r="AA95" s="173">
        <f>'תקציב החברה לפיתוח 2021 '!AA119</f>
        <v>0</v>
      </c>
      <c r="AB95" s="293" t="str">
        <f>'תקציב החברה לפיתוח 2021 '!AB119</f>
        <v xml:space="preserve">בי"ס יסודי בשטח 304.ב - 2021: תכנון. </v>
      </c>
      <c r="AC95" s="172">
        <f>'תקציב החברה לפיתוח 2021 '!AC119</f>
        <v>810000</v>
      </c>
      <c r="AD95" s="284"/>
      <c r="AE95" s="284"/>
      <c r="AF95" s="166"/>
      <c r="AG95" s="166"/>
      <c r="AH95" s="166"/>
      <c r="AI95" s="166"/>
      <c r="AJ95" s="166"/>
    </row>
    <row r="96" spans="1:36" s="5" customFormat="1" ht="42">
      <c r="A96" s="172">
        <f t="shared" si="7"/>
        <v>87</v>
      </c>
      <c r="B96" s="172">
        <f>'תקציב החברה לפיתוח 2021 '!B120</f>
        <v>2186</v>
      </c>
      <c r="C96" s="326" t="str">
        <f>'תקציב החברה לפיתוח 2021 '!C120</f>
        <v>כיתות גן 3 נוספות מגרש 302 גליל ים</v>
      </c>
      <c r="D96" s="173">
        <f>'תקציב החברה לפיתוח 2021 '!D120</f>
        <v>8100000</v>
      </c>
      <c r="E96" s="173">
        <f>'תקציב החברה לפיתוח 2021 '!E120</f>
        <v>8100000</v>
      </c>
      <c r="F96" s="173">
        <f>'תקציב החברה לפיתוח 2021 '!F120</f>
        <v>0</v>
      </c>
      <c r="G96" s="173">
        <f>'תקציב החברה לפיתוח 2021 '!G120</f>
        <v>3200000</v>
      </c>
      <c r="H96" s="173">
        <f>'תקציב החברה לפיתוח 2021 '!H120</f>
        <v>0</v>
      </c>
      <c r="I96" s="173">
        <f>'תקציב החברה לפיתוח 2021 '!I120</f>
        <v>0</v>
      </c>
      <c r="J96" s="173">
        <f>'תקציב החברה לפיתוח 2021 '!J120</f>
        <v>0</v>
      </c>
      <c r="K96" s="173">
        <f>'תקציב החברה לפיתוח 2021 '!K120</f>
        <v>0</v>
      </c>
      <c r="L96" s="173">
        <f>'תקציב החברה לפיתוח 2021 '!L120</f>
        <v>0</v>
      </c>
      <c r="M96" s="173">
        <f>'תקציב החברה לפיתוח 2021 '!M120</f>
        <v>3200000</v>
      </c>
      <c r="N96" s="173">
        <f>'תקציב החברה לפיתוח 2021 '!N120</f>
        <v>4900000</v>
      </c>
      <c r="O96" s="173">
        <f>'תקציב החברה לפיתוח 2021 '!O120</f>
        <v>0</v>
      </c>
      <c r="P96" s="173">
        <f>'תקציב החברה לפיתוח 2021 '!P120</f>
        <v>3200000</v>
      </c>
      <c r="Q96" s="173">
        <f>'תקציב החברה לפיתוח 2021 '!Q120</f>
        <v>0</v>
      </c>
      <c r="R96" s="173">
        <f>'תקציב החברה לפיתוח 2021 '!R120</f>
        <v>0</v>
      </c>
      <c r="S96" s="173">
        <f>'תקציב החברה לפיתוח 2021 '!S120</f>
        <v>0</v>
      </c>
      <c r="T96" s="173">
        <f>'תקציב החברה לפיתוח 2021 '!T120</f>
        <v>0</v>
      </c>
      <c r="U96" s="173">
        <f>'תקציב החברה לפיתוח 2021 '!U120</f>
        <v>4900000</v>
      </c>
      <c r="V96" s="173">
        <f>'תקציב החברה לפיתוח 2021 '!V120</f>
        <v>2611744</v>
      </c>
      <c r="W96" s="173">
        <f>'תקציב החברה לפיתוח 2021 '!W120</f>
        <v>0</v>
      </c>
      <c r="X96" s="173">
        <f>'תקציב החברה לפיתוח 2021 '!X120</f>
        <v>0</v>
      </c>
      <c r="Y96" s="173">
        <f>'תקציב החברה לפיתוח 2021 '!Y120</f>
        <v>0</v>
      </c>
      <c r="Z96" s="173">
        <f>'תקציב החברה לפיתוח 2021 '!Z120</f>
        <v>0</v>
      </c>
      <c r="AA96" s="173">
        <f>'תקציב החברה לפיתוח 2021 '!AA120</f>
        <v>2288256</v>
      </c>
      <c r="AB96" s="293" t="str">
        <f>'תקציב החברה לפיתוח 2021 '!AB120</f>
        <v>כיתות גן (3) נוספות מגרש 302 גליל ים. לו"ז לאיכלוס 9/2021. מימון מ. החינוך.</v>
      </c>
      <c r="AC96" s="172">
        <f>'תקציב החברה לפיתוח 2021 '!AC120</f>
        <v>810000</v>
      </c>
      <c r="AD96" s="284"/>
      <c r="AE96" s="284"/>
      <c r="AF96" s="166"/>
      <c r="AG96" s="166"/>
      <c r="AH96" s="166"/>
      <c r="AI96" s="166"/>
      <c r="AJ96" s="166"/>
    </row>
    <row r="97" spans="1:36" s="70" customFormat="1">
      <c r="A97" s="291"/>
      <c r="B97" s="291"/>
      <c r="C97" s="423" t="s">
        <v>1482</v>
      </c>
      <c r="D97" s="350">
        <f>SUM(D66:D96)</f>
        <v>1012930000</v>
      </c>
      <c r="E97" s="350">
        <f t="shared" ref="E97:AA97" si="8">SUM(E66:E96)</f>
        <v>893680000</v>
      </c>
      <c r="F97" s="350">
        <f t="shared" si="8"/>
        <v>119250000</v>
      </c>
      <c r="G97" s="350">
        <f t="shared" si="8"/>
        <v>119935396</v>
      </c>
      <c r="H97" s="350">
        <f t="shared" si="8"/>
        <v>40837322</v>
      </c>
      <c r="I97" s="350">
        <f t="shared" si="8"/>
        <v>0</v>
      </c>
      <c r="J97" s="350">
        <f t="shared" si="8"/>
        <v>12031114</v>
      </c>
      <c r="K97" s="350">
        <f t="shared" si="8"/>
        <v>12031114</v>
      </c>
      <c r="L97" s="350">
        <f t="shared" si="8"/>
        <v>52868436</v>
      </c>
      <c r="M97" s="350">
        <f t="shared" si="8"/>
        <v>141339056</v>
      </c>
      <c r="N97" s="350">
        <f t="shared" si="8"/>
        <v>190702508</v>
      </c>
      <c r="O97" s="350">
        <f t="shared" si="8"/>
        <v>628020000</v>
      </c>
      <c r="P97" s="350">
        <f t="shared" si="8"/>
        <v>67066960</v>
      </c>
      <c r="Q97" s="350">
        <f t="shared" si="8"/>
        <v>74272096</v>
      </c>
      <c r="R97" s="350">
        <f t="shared" si="8"/>
        <v>0</v>
      </c>
      <c r="S97" s="350">
        <f t="shared" si="8"/>
        <v>74272096</v>
      </c>
      <c r="T97" s="350">
        <f t="shared" si="8"/>
        <v>0</v>
      </c>
      <c r="U97" s="350">
        <f t="shared" si="8"/>
        <v>190702508</v>
      </c>
      <c r="V97" s="350">
        <f t="shared" si="8"/>
        <v>97446447</v>
      </c>
      <c r="W97" s="350">
        <f t="shared" si="8"/>
        <v>0</v>
      </c>
      <c r="X97" s="350">
        <f t="shared" si="8"/>
        <v>0</v>
      </c>
      <c r="Y97" s="350">
        <f t="shared" si="8"/>
        <v>33000000</v>
      </c>
      <c r="Z97" s="350">
        <f t="shared" si="8"/>
        <v>0</v>
      </c>
      <c r="AA97" s="350">
        <f t="shared" si="8"/>
        <v>60256061</v>
      </c>
      <c r="AB97" s="352"/>
      <c r="AC97" s="291"/>
      <c r="AD97" s="334"/>
      <c r="AE97" s="334"/>
      <c r="AF97" s="345"/>
      <c r="AG97" s="345"/>
      <c r="AH97" s="345"/>
      <c r="AI97" s="345"/>
      <c r="AJ97" s="345"/>
    </row>
    <row r="98" spans="1:36" s="5" customFormat="1" ht="42">
      <c r="A98" s="172">
        <f>A96+1</f>
        <v>88</v>
      </c>
      <c r="B98" s="172">
        <f>'תקציב החברה לפיתוח 2021 '!B69</f>
        <v>2102</v>
      </c>
      <c r="C98" s="326" t="str">
        <f>'תקציב החברה לפיתוח 2021 '!C69</f>
        <v>מועדון טלוויזיה קהילתית בשכונת צמרות</v>
      </c>
      <c r="D98" s="173">
        <f>'תקציב החברה לפיתוח 2021 '!D69</f>
        <v>1750000</v>
      </c>
      <c r="E98" s="173">
        <f>'תקציב החברה לפיתוח 2021 '!E69</f>
        <v>1750000</v>
      </c>
      <c r="F98" s="173">
        <f>'תקציב החברה לפיתוח 2021 '!F69</f>
        <v>0</v>
      </c>
      <c r="G98" s="173">
        <f>'תקציב החברה לפיתוח 2021 '!G69</f>
        <v>150000</v>
      </c>
      <c r="H98" s="173">
        <f>'תקציב החברה לפיתוח 2021 '!H69</f>
        <v>106069</v>
      </c>
      <c r="I98" s="173">
        <f>'תקציב החברה לפיתוח 2021 '!I69</f>
        <v>0</v>
      </c>
      <c r="J98" s="173">
        <f>'תקציב החברה לפיתוח 2021 '!J69</f>
        <v>43931</v>
      </c>
      <c r="K98" s="173">
        <f>'תקציב החברה לפיתוח 2021 '!K69</f>
        <v>43931</v>
      </c>
      <c r="L98" s="173">
        <f>'תקציב החברה לפיתוח 2021 '!L69</f>
        <v>150000</v>
      </c>
      <c r="M98" s="173">
        <f>'תקציב החברה לפיתוח 2021 '!M69</f>
        <v>0</v>
      </c>
      <c r="N98" s="173">
        <f>'תקציב החברה לפיתוח 2021 '!N69</f>
        <v>0</v>
      </c>
      <c r="O98" s="173">
        <f>'תקציב החברה לפיתוח 2021 '!O69</f>
        <v>1600000</v>
      </c>
      <c r="P98" s="173">
        <f>'תקציב החברה לפיתוח 2021 '!P69</f>
        <v>0</v>
      </c>
      <c r="Q98" s="173">
        <f>'תקציב החברה לפיתוח 2021 '!Q69</f>
        <v>0</v>
      </c>
      <c r="R98" s="173">
        <f>'תקציב החברה לפיתוח 2021 '!R69</f>
        <v>0</v>
      </c>
      <c r="S98" s="173">
        <f>'תקציב החברה לפיתוח 2021 '!S69</f>
        <v>0</v>
      </c>
      <c r="T98" s="173">
        <f>'תקציב החברה לפיתוח 2021 '!T69</f>
        <v>0</v>
      </c>
      <c r="U98" s="173">
        <f>'תקציב החברה לפיתוח 2021 '!U69</f>
        <v>0</v>
      </c>
      <c r="V98" s="173">
        <f>'תקציב החברה לפיתוח 2021 '!V69</f>
        <v>0</v>
      </c>
      <c r="W98" s="173">
        <f>'תקציב החברה לפיתוח 2021 '!W69</f>
        <v>0</v>
      </c>
      <c r="X98" s="173">
        <f>'תקציב החברה לפיתוח 2021 '!X69</f>
        <v>0</v>
      </c>
      <c r="Y98" s="173">
        <f>'תקציב החברה לפיתוח 2021 '!Y69</f>
        <v>0</v>
      </c>
      <c r="Z98" s="173">
        <f>'תקציב החברה לפיתוח 2021 '!Z69</f>
        <v>0</v>
      </c>
      <c r="AA98" s="173">
        <f>'תקציב החברה לפיתוח 2021 '!AA69</f>
        <v>0</v>
      </c>
      <c r="AB98" s="293" t="str">
        <f>'תקציב החברה לפיתוח 2021 '!AB69</f>
        <v xml:space="preserve">הקמת מועדון טלויזיה קהילתית במרכז יום לקשיש בצמרות. </v>
      </c>
      <c r="AC98" s="172">
        <f>'תקציב החברה לפיתוח 2021 '!AC69</f>
        <v>820000</v>
      </c>
      <c r="AD98" s="284"/>
      <c r="AE98" s="284"/>
      <c r="AF98" s="166"/>
      <c r="AG98" s="166"/>
      <c r="AH98" s="166"/>
      <c r="AI98" s="166"/>
      <c r="AJ98" s="166"/>
    </row>
    <row r="99" spans="1:36" s="5" customFormat="1" ht="70">
      <c r="A99" s="172">
        <f>A98+1</f>
        <v>89</v>
      </c>
      <c r="B99" s="172">
        <f>'תקציב החברה לפיתוח 2021 '!B31</f>
        <v>1834</v>
      </c>
      <c r="C99" s="326" t="str">
        <f>'תקציב החברה לפיתוח 2021 '!C31</f>
        <v>מתנ"ס נווה ישראל</v>
      </c>
      <c r="D99" s="173">
        <f>'תקציב החברה לפיתוח 2021 '!D31</f>
        <v>60000000</v>
      </c>
      <c r="E99" s="173">
        <f>'תקציב החברה לפיתוח 2021 '!E31</f>
        <v>60000000</v>
      </c>
      <c r="F99" s="173">
        <f>'תקציב החברה לפיתוח 2021 '!F31</f>
        <v>0</v>
      </c>
      <c r="G99" s="173">
        <f>'תקציב החברה לפיתוח 2021 '!G31</f>
        <v>18900000</v>
      </c>
      <c r="H99" s="173">
        <f>'תקציב החברה לפיתוח 2021 '!H31</f>
        <v>3218215</v>
      </c>
      <c r="I99" s="173">
        <f>'תקציב החברה לפיתוח 2021 '!I31</f>
        <v>0</v>
      </c>
      <c r="J99" s="173">
        <f>'תקציב החברה לפיתוח 2021 '!J31</f>
        <v>601707</v>
      </c>
      <c r="K99" s="173">
        <f>'תקציב החברה לפיתוח 2021 '!K31</f>
        <v>601707</v>
      </c>
      <c r="L99" s="173">
        <f>'תקציב החברה לפיתוח 2021 '!L31</f>
        <v>3819922</v>
      </c>
      <c r="M99" s="173">
        <f>'תקציב החברה לפיתוח 2021 '!M31</f>
        <v>15080078</v>
      </c>
      <c r="N99" s="173">
        <f>'תקציב החברה לפיתוח 2021 '!N31</f>
        <v>25000000</v>
      </c>
      <c r="O99" s="173">
        <f>'תקציב החברה לפיתוח 2021 '!O31</f>
        <v>16100000</v>
      </c>
      <c r="P99" s="173">
        <f>'תקציב החברה לפיתוח 2021 '!P31</f>
        <v>15080078</v>
      </c>
      <c r="Q99" s="173">
        <f>'תקציב החברה לפיתוח 2021 '!Q31</f>
        <v>0</v>
      </c>
      <c r="R99" s="173">
        <f>'תקציב החברה לפיתוח 2021 '!R31</f>
        <v>0</v>
      </c>
      <c r="S99" s="173">
        <f>'תקציב החברה לפיתוח 2021 '!S31</f>
        <v>0</v>
      </c>
      <c r="T99" s="173">
        <f>'תקציב החברה לפיתוח 2021 '!T31</f>
        <v>0</v>
      </c>
      <c r="U99" s="173">
        <f>'תקציב החברה לפיתוח 2021 '!U31</f>
        <v>25000000</v>
      </c>
      <c r="V99" s="173">
        <f>'תקציב החברה לפיתוח 2021 '!V31</f>
        <v>25000000</v>
      </c>
      <c r="W99" s="173">
        <f>'תקציב החברה לפיתוח 2021 '!W31</f>
        <v>0</v>
      </c>
      <c r="X99" s="173">
        <f>'תקציב החברה לפיתוח 2021 '!X31</f>
        <v>0</v>
      </c>
      <c r="Y99" s="173">
        <f>'תקציב החברה לפיתוח 2021 '!Y31</f>
        <v>0</v>
      </c>
      <c r="Z99" s="173">
        <f>'תקציב החברה לפיתוח 2021 '!Z31</f>
        <v>0</v>
      </c>
      <c r="AA99" s="173">
        <f>'תקציב החברה לפיתוח 2021 '!AA31</f>
        <v>0</v>
      </c>
      <c r="AB99" s="293" t="str">
        <f>'תקציב החברה לפיתוח 2021 '!AB31</f>
        <v>מתנ"ס קהילתי  בשטח של כ-4000 מ"ר הכולל גלריה מקומית, ספרייה חדשה,  חדרי חוגים, מועדון לגמלאים ובית קפה.</v>
      </c>
      <c r="AC99" s="172">
        <f>'תקציב החברה לפיתוח 2021 '!AC31</f>
        <v>824000</v>
      </c>
      <c r="AD99" s="284"/>
      <c r="AE99" s="284"/>
      <c r="AF99" s="166"/>
      <c r="AG99" s="166"/>
      <c r="AH99" s="166"/>
      <c r="AI99" s="166"/>
      <c r="AJ99" s="166"/>
    </row>
    <row r="100" spans="1:36" s="5" customFormat="1" ht="42">
      <c r="A100" s="172">
        <f>A99+1</f>
        <v>90</v>
      </c>
      <c r="B100" s="172">
        <f>'תקציב החברה לפיתוח 2021 '!B32</f>
        <v>1835</v>
      </c>
      <c r="C100" s="326" t="str">
        <f>'תקציב החברה לפיתוח 2021 '!C32</f>
        <v>פיתוח מתחם מתנ"ס נווה עמל ומגרשי טניס</v>
      </c>
      <c r="D100" s="173">
        <f>'תקציב החברה לפיתוח 2021 '!D32</f>
        <v>70000000</v>
      </c>
      <c r="E100" s="173">
        <f>'תקציב החברה לפיתוח 2021 '!E32</f>
        <v>70000000</v>
      </c>
      <c r="F100" s="173">
        <f>'תקציב החברה לפיתוח 2021 '!F32</f>
        <v>0</v>
      </c>
      <c r="G100" s="173">
        <f>'תקציב החברה לפיתוח 2021 '!G32</f>
        <v>20900000</v>
      </c>
      <c r="H100" s="173">
        <f>'תקציב החברה לפיתוח 2021 '!H32</f>
        <v>11366140</v>
      </c>
      <c r="I100" s="173">
        <f>'תקציב החברה לפיתוח 2021 '!I32</f>
        <v>0</v>
      </c>
      <c r="J100" s="173">
        <f>'תקציב החברה לפיתוח 2021 '!J32</f>
        <v>1144610</v>
      </c>
      <c r="K100" s="173">
        <f>'תקציב החברה לפיתוח 2021 '!K32</f>
        <v>1144610</v>
      </c>
      <c r="L100" s="173">
        <f>'תקציב החברה לפיתוח 2021 '!L32</f>
        <v>12510750</v>
      </c>
      <c r="M100" s="173">
        <f>'תקציב החברה לפיתוח 2021 '!M32</f>
        <v>8389250</v>
      </c>
      <c r="N100" s="173">
        <f>'תקציב החברה לפיתוח 2021 '!N32</f>
        <v>1000000</v>
      </c>
      <c r="O100" s="173">
        <f>'תקציב החברה לפיתוח 2021 '!O32</f>
        <v>48100000</v>
      </c>
      <c r="P100" s="173">
        <f>'תקציב החברה לפיתוח 2021 '!P32</f>
        <v>8389250</v>
      </c>
      <c r="Q100" s="173">
        <f>'תקציב החברה לפיתוח 2021 '!Q32</f>
        <v>0</v>
      </c>
      <c r="R100" s="173">
        <f>'תקציב החברה לפיתוח 2021 '!R32</f>
        <v>0</v>
      </c>
      <c r="S100" s="173">
        <f>'תקציב החברה לפיתוח 2021 '!S32</f>
        <v>0</v>
      </c>
      <c r="T100" s="173">
        <f>'תקציב החברה לפיתוח 2021 '!T32</f>
        <v>0</v>
      </c>
      <c r="U100" s="173">
        <f>'תקציב החברה לפיתוח 2021 '!U32</f>
        <v>1000000</v>
      </c>
      <c r="V100" s="173">
        <f>'תקציב החברה לפיתוח 2021 '!V32</f>
        <v>1000000</v>
      </c>
      <c r="W100" s="173">
        <f>'תקציב החברה לפיתוח 2021 '!W32</f>
        <v>0</v>
      </c>
      <c r="X100" s="173">
        <f>'תקציב החברה לפיתוח 2021 '!X32</f>
        <v>0</v>
      </c>
      <c r="Y100" s="173">
        <f>'תקציב החברה לפיתוח 2021 '!Y32</f>
        <v>0</v>
      </c>
      <c r="Z100" s="173">
        <f>'תקציב החברה לפיתוח 2021 '!Z32</f>
        <v>0</v>
      </c>
      <c r="AA100" s="173">
        <f>'תקציב החברה לפיתוח 2021 '!AA32</f>
        <v>0</v>
      </c>
      <c r="AB100" s="293" t="str">
        <f>'תקציב החברה לפיתוח 2021 '!AB32</f>
        <v xml:space="preserve"> הקמת מבנה טניס חדש, קירוי 2 מגרשי טניס ופיתוח סביבתי לכל המתתחם.</v>
      </c>
      <c r="AC100" s="172">
        <f>'תקציב החברה לפיתוח 2021 '!AC32</f>
        <v>824000</v>
      </c>
      <c r="AD100" s="284"/>
      <c r="AE100" s="284"/>
      <c r="AF100" s="166"/>
      <c r="AG100" s="166"/>
      <c r="AH100" s="166"/>
      <c r="AI100" s="166"/>
      <c r="AJ100" s="166"/>
    </row>
    <row r="101" spans="1:36" s="5" customFormat="1" ht="42">
      <c r="A101" s="172">
        <f t="shared" ref="A101:A113" si="9">A100+1</f>
        <v>91</v>
      </c>
      <c r="B101" s="172">
        <f>'תקציב החברה לפיתוח 2021 '!B50</f>
        <v>2017</v>
      </c>
      <c r="C101" s="326" t="str">
        <f>'תקציב החברה לפיתוח 2021 '!C50</f>
        <v>תכנון הקמת מתנ"ס רחוב המסילה (*) עדכון שם</v>
      </c>
      <c r="D101" s="173">
        <f>'תקציב החברה לפיתוח 2021 '!D50</f>
        <v>30000000</v>
      </c>
      <c r="E101" s="173">
        <f>'תקציב החברה לפיתוח 2021 '!E50</f>
        <v>30000000</v>
      </c>
      <c r="F101" s="173">
        <f>'תקציב החברה לפיתוח 2021 '!F50</f>
        <v>0</v>
      </c>
      <c r="G101" s="173">
        <f>'תקציב החברה לפיתוח 2021 '!G50</f>
        <v>2000000</v>
      </c>
      <c r="H101" s="173">
        <f>'תקציב החברה לפיתוח 2021 '!H50</f>
        <v>989653</v>
      </c>
      <c r="I101" s="173">
        <f>'תקציב החברה לפיתוח 2021 '!I50</f>
        <v>0</v>
      </c>
      <c r="J101" s="173">
        <f>'תקציב החברה לפיתוח 2021 '!J50</f>
        <v>53510</v>
      </c>
      <c r="K101" s="173">
        <f>'תקציב החברה לפיתוח 2021 '!K50</f>
        <v>53510</v>
      </c>
      <c r="L101" s="173">
        <f>'תקציב החברה לפיתוח 2021 '!L50</f>
        <v>1043163</v>
      </c>
      <c r="M101" s="173">
        <f>'תקציב החברה לפיתוח 2021 '!M50</f>
        <v>956837</v>
      </c>
      <c r="N101" s="173">
        <f>'תקציב החברה לפיתוח 2021 '!N50</f>
        <v>1000000</v>
      </c>
      <c r="O101" s="173">
        <f>'תקציב החברה לפיתוח 2021 '!O50</f>
        <v>27000000</v>
      </c>
      <c r="P101" s="173">
        <f>'תקציב החברה לפיתוח 2021 '!P50</f>
        <v>956837</v>
      </c>
      <c r="Q101" s="173">
        <f>'תקציב החברה לפיתוח 2021 '!Q50</f>
        <v>0</v>
      </c>
      <c r="R101" s="173">
        <f>'תקציב החברה לפיתוח 2021 '!R50</f>
        <v>0</v>
      </c>
      <c r="S101" s="173">
        <f>'תקציב החברה לפיתוח 2021 '!S50</f>
        <v>0</v>
      </c>
      <c r="T101" s="173">
        <f>'תקציב החברה לפיתוח 2021 '!T50</f>
        <v>0</v>
      </c>
      <c r="U101" s="173">
        <f>'תקציב החברה לפיתוח 2021 '!U50</f>
        <v>1000000</v>
      </c>
      <c r="V101" s="173">
        <f>'תקציב החברה לפיתוח 2021 '!V50</f>
        <v>1000000</v>
      </c>
      <c r="W101" s="173">
        <f>'תקציב החברה לפיתוח 2021 '!W50</f>
        <v>0</v>
      </c>
      <c r="X101" s="173">
        <f>'תקציב החברה לפיתוח 2021 '!X50</f>
        <v>0</v>
      </c>
      <c r="Y101" s="173">
        <f>'תקציב החברה לפיתוח 2021 '!Y50</f>
        <v>0</v>
      </c>
      <c r="Z101" s="173">
        <f>'תקציב החברה לפיתוח 2021 '!Z50</f>
        <v>0</v>
      </c>
      <c r="AA101" s="173">
        <f>'תקציב החברה לפיתוח 2021 '!AA50</f>
        <v>0</v>
      </c>
      <c r="AB101" s="293" t="str">
        <f>'תקציב החברה לפיתוח 2021 '!AB50</f>
        <v>הקמת מתנ"ס ברחוב המסילה.</v>
      </c>
      <c r="AC101" s="172">
        <f>'תקציב החברה לפיתוח 2021 '!AC50</f>
        <v>824000</v>
      </c>
      <c r="AD101" s="284"/>
      <c r="AE101" s="284"/>
      <c r="AF101" s="166"/>
      <c r="AG101" s="166"/>
      <c r="AH101" s="166"/>
      <c r="AI101" s="166"/>
      <c r="AJ101" s="166"/>
    </row>
    <row r="102" spans="1:36" s="5" customFormat="1" ht="42">
      <c r="A102" s="172">
        <f t="shared" si="9"/>
        <v>92</v>
      </c>
      <c r="B102" s="172">
        <f>'תקציב החברה לפיתוח 2021 '!B18</f>
        <v>1403</v>
      </c>
      <c r="C102" s="326" t="str">
        <f>'תקציב החברה לפיתוח 2021 '!C18</f>
        <v>מרכז פיס לתרבות מוסיקה קהילה</v>
      </c>
      <c r="D102" s="173">
        <f>'תקציב החברה לפיתוח 2021 '!D18</f>
        <v>37550000</v>
      </c>
      <c r="E102" s="173">
        <f>'תקציב החברה לפיתוח 2021 '!E18</f>
        <v>37550000</v>
      </c>
      <c r="F102" s="173">
        <f>'תקציב החברה לפיתוח 2021 '!F18</f>
        <v>0</v>
      </c>
      <c r="G102" s="173">
        <f>'תקציב החברה לפיתוח 2021 '!G18</f>
        <v>37513260</v>
      </c>
      <c r="H102" s="173">
        <f>'תקציב החברה לפיתוח 2021 '!H18</f>
        <v>37268741</v>
      </c>
      <c r="I102" s="173">
        <f>'תקציב החברה לפיתוח 2021 '!I18</f>
        <v>0</v>
      </c>
      <c r="J102" s="173">
        <f>'תקציב החברה לפיתוח 2021 '!J18</f>
        <v>21167</v>
      </c>
      <c r="K102" s="173">
        <f>'תקציב החברה לפיתוח 2021 '!K18</f>
        <v>21167</v>
      </c>
      <c r="L102" s="173">
        <f>'תקציב החברה לפיתוח 2021 '!L18</f>
        <v>37289908</v>
      </c>
      <c r="M102" s="173">
        <f>'תקציב החברה לפיתוח 2021 '!M18</f>
        <v>223352</v>
      </c>
      <c r="N102" s="173">
        <f>'תקציב החברה לפיתוח 2021 '!N18</f>
        <v>0</v>
      </c>
      <c r="O102" s="173">
        <f>'תקציב החברה לפיתוח 2021 '!O18</f>
        <v>36740</v>
      </c>
      <c r="P102" s="173">
        <f>'תקציב החברה לפיתוח 2021 '!P18</f>
        <v>223352</v>
      </c>
      <c r="Q102" s="173">
        <f>'תקציב החברה לפיתוח 2021 '!Q18</f>
        <v>0</v>
      </c>
      <c r="R102" s="173">
        <f>'תקציב החברה לפיתוח 2021 '!R18</f>
        <v>0</v>
      </c>
      <c r="S102" s="173">
        <f>'תקציב החברה לפיתוח 2021 '!S18</f>
        <v>0</v>
      </c>
      <c r="T102" s="173">
        <f>'תקציב החברה לפיתוח 2021 '!T18</f>
        <v>0</v>
      </c>
      <c r="U102" s="173">
        <f>'תקציב החברה לפיתוח 2021 '!U18</f>
        <v>0</v>
      </c>
      <c r="V102" s="173">
        <f>'תקציב החברה לפיתוח 2021 '!V18</f>
        <v>0</v>
      </c>
      <c r="W102" s="173">
        <f>'תקציב החברה לפיתוח 2021 '!W18</f>
        <v>0</v>
      </c>
      <c r="X102" s="173">
        <f>'תקציב החברה לפיתוח 2021 '!X18</f>
        <v>0</v>
      </c>
      <c r="Y102" s="173">
        <f>'תקציב החברה לפיתוח 2021 '!Y18</f>
        <v>0</v>
      </c>
      <c r="Z102" s="173">
        <f>'תקציב החברה לפיתוח 2021 '!Z18</f>
        <v>0</v>
      </c>
      <c r="AA102" s="173">
        <f>'תקציב החברה לפיתוח 2021 '!AA18</f>
        <v>0</v>
      </c>
      <c r="AB102" s="293" t="str">
        <f>'תקציב החברה לפיתוח 2021 '!AB18</f>
        <v xml:space="preserve">הקמת מבנה תרבות כולל חדרי מחול וקונסבטוריון . ממתין לתקבול סופי מ.הפיס. </v>
      </c>
      <c r="AC102" s="172">
        <f>'תקציב החברה לפיתוח 2021 '!AC18</f>
        <v>826000</v>
      </c>
      <c r="AD102" s="284"/>
      <c r="AE102" s="284"/>
      <c r="AF102" s="166"/>
      <c r="AG102" s="166"/>
      <c r="AH102" s="166"/>
      <c r="AI102" s="166"/>
      <c r="AJ102" s="166"/>
    </row>
    <row r="103" spans="1:36" s="5" customFormat="1" ht="28">
      <c r="A103" s="172">
        <f t="shared" si="9"/>
        <v>93</v>
      </c>
      <c r="B103" s="172">
        <f>'תקציב החברה לפיתוח 2021 '!B59</f>
        <v>2059</v>
      </c>
      <c r="C103" s="326" t="str">
        <f>'תקציב החברה לפיתוח 2021 '!C59</f>
        <v>פיתוח מתחם מבנה משכן אומנים</v>
      </c>
      <c r="D103" s="173">
        <f>'תקציב החברה לפיתוח 2021 '!D59</f>
        <v>2610000</v>
      </c>
      <c r="E103" s="173">
        <f>'תקציב החברה לפיתוח 2021 '!E59</f>
        <v>2610000</v>
      </c>
      <c r="F103" s="173">
        <f>'תקציב החברה לפיתוח 2021 '!F59</f>
        <v>0</v>
      </c>
      <c r="G103" s="173">
        <f>'תקציב החברה לפיתוח 2021 '!G59</f>
        <v>350000</v>
      </c>
      <c r="H103" s="173">
        <f>'תקציב החברה לפיתוח 2021 '!H59</f>
        <v>128100</v>
      </c>
      <c r="I103" s="173">
        <f>'תקציב החברה לפיתוח 2021 '!I59</f>
        <v>0</v>
      </c>
      <c r="J103" s="173">
        <f>'תקציב החברה לפיתוח 2021 '!J59</f>
        <v>221713</v>
      </c>
      <c r="K103" s="173">
        <f>'תקציב החברה לפיתוח 2021 '!K59</f>
        <v>221713</v>
      </c>
      <c r="L103" s="173">
        <f>'תקציב החברה לפיתוח 2021 '!L59</f>
        <v>349813</v>
      </c>
      <c r="M103" s="173">
        <f>'תקציב החברה לפיתוח 2021 '!M59</f>
        <v>187</v>
      </c>
      <c r="N103" s="173">
        <f>'תקציב החברה לפיתוח 2021 '!N59</f>
        <v>0</v>
      </c>
      <c r="O103" s="173">
        <f>'תקציב החברה לפיתוח 2021 '!O59</f>
        <v>2260000</v>
      </c>
      <c r="P103" s="173">
        <f>'תקציב החברה לפיתוח 2021 '!P59</f>
        <v>187</v>
      </c>
      <c r="Q103" s="173">
        <f>'תקציב החברה לפיתוח 2021 '!Q59</f>
        <v>0</v>
      </c>
      <c r="R103" s="173">
        <f>'תקציב החברה לפיתוח 2021 '!R59</f>
        <v>0</v>
      </c>
      <c r="S103" s="173">
        <f>'תקציב החברה לפיתוח 2021 '!S59</f>
        <v>0</v>
      </c>
      <c r="T103" s="173">
        <f>'תקציב החברה לפיתוח 2021 '!T59</f>
        <v>0</v>
      </c>
      <c r="U103" s="173">
        <f>'תקציב החברה לפיתוח 2021 '!U59</f>
        <v>0</v>
      </c>
      <c r="V103" s="173">
        <f>'תקציב החברה לפיתוח 2021 '!V59</f>
        <v>0</v>
      </c>
      <c r="W103" s="173">
        <f>'תקציב החברה לפיתוח 2021 '!W59</f>
        <v>0</v>
      </c>
      <c r="X103" s="173">
        <f>'תקציב החברה לפיתוח 2021 '!X59</f>
        <v>0</v>
      </c>
      <c r="Y103" s="173">
        <f>'תקציב החברה לפיתוח 2021 '!Y59</f>
        <v>0</v>
      </c>
      <c r="Z103" s="173">
        <f>'תקציב החברה לפיתוח 2021 '!Z59</f>
        <v>0</v>
      </c>
      <c r="AA103" s="173">
        <f>'תקציב החברה לפיתוח 2021 '!AA59</f>
        <v>0</v>
      </c>
      <c r="AB103" s="293" t="str">
        <f>'תקציב החברה לפיתוח 2021 '!AB59</f>
        <v>פיתוח מתחם ומבנה משכן האומנים בגבעת הסופר.</v>
      </c>
      <c r="AC103" s="172">
        <f>'תקציב החברה לפיתוח 2021 '!AC59</f>
        <v>826000</v>
      </c>
      <c r="AD103" s="284"/>
      <c r="AE103" s="284"/>
      <c r="AF103" s="166"/>
      <c r="AG103" s="166"/>
      <c r="AH103" s="166"/>
      <c r="AI103" s="166"/>
      <c r="AJ103" s="166"/>
    </row>
    <row r="104" spans="1:36" s="5" customFormat="1" ht="28">
      <c r="A104" s="172">
        <f t="shared" si="9"/>
        <v>94</v>
      </c>
      <c r="B104" s="172">
        <f>'תקציב החברה לפיתוח 2021 '!B67</f>
        <v>2099</v>
      </c>
      <c r="C104" s="326" t="str">
        <f>'תקציב החברה לפיתוח 2021 '!C67</f>
        <v>סינמטק בבנין עיריה חדש</v>
      </c>
      <c r="D104" s="173">
        <f>'תקציב החברה לפיתוח 2021 '!D67</f>
        <v>12000000</v>
      </c>
      <c r="E104" s="173">
        <f>'תקציב החברה לפיתוח 2021 '!E67</f>
        <v>12000000</v>
      </c>
      <c r="F104" s="173">
        <f>'תקציב החברה לפיתוח 2021 '!F67</f>
        <v>0</v>
      </c>
      <c r="G104" s="173">
        <f>'תקציב החברה לפיתוח 2021 '!G67</f>
        <v>750000</v>
      </c>
      <c r="H104" s="173">
        <f>'תקציב החברה לפיתוח 2021 '!H67</f>
        <v>299056</v>
      </c>
      <c r="I104" s="173">
        <f>'תקציב החברה לפיתוח 2021 '!I67</f>
        <v>0</v>
      </c>
      <c r="J104" s="173">
        <f>'תקציב החברה לפיתוח 2021 '!J67</f>
        <v>197436</v>
      </c>
      <c r="K104" s="173">
        <f>'תקציב החברה לפיתוח 2021 '!K67</f>
        <v>197436</v>
      </c>
      <c r="L104" s="173">
        <f>'תקציב החברה לפיתוח 2021 '!L67</f>
        <v>496492</v>
      </c>
      <c r="M104" s="173">
        <f>'תקציב החברה לפיתוח 2021 '!M67</f>
        <v>253508</v>
      </c>
      <c r="N104" s="173">
        <f>'תקציב החברה לפיתוח 2021 '!N67</f>
        <v>3000000</v>
      </c>
      <c r="O104" s="173">
        <f>'תקציב החברה לפיתוח 2021 '!O67</f>
        <v>8250000</v>
      </c>
      <c r="P104" s="173">
        <f>'תקציב החברה לפיתוח 2021 '!P67</f>
        <v>253508</v>
      </c>
      <c r="Q104" s="173">
        <f>'תקציב החברה לפיתוח 2021 '!Q67</f>
        <v>0</v>
      </c>
      <c r="R104" s="173">
        <f>'תקציב החברה לפיתוח 2021 '!R67</f>
        <v>0</v>
      </c>
      <c r="S104" s="173">
        <f>'תקציב החברה לפיתוח 2021 '!S67</f>
        <v>0</v>
      </c>
      <c r="T104" s="173">
        <f>'תקציב החברה לפיתוח 2021 '!T67</f>
        <v>0</v>
      </c>
      <c r="U104" s="173">
        <f>'תקציב החברה לפיתוח 2021 '!U67</f>
        <v>3000000</v>
      </c>
      <c r="V104" s="173">
        <f>'תקציב החברה לפיתוח 2021 '!V67</f>
        <v>1000000</v>
      </c>
      <c r="W104" s="173">
        <f>'תקציב החברה לפיתוח 2021 '!W67</f>
        <v>0</v>
      </c>
      <c r="X104" s="173">
        <f>'תקציב החברה לפיתוח 2021 '!X67</f>
        <v>0</v>
      </c>
      <c r="Y104" s="173">
        <f>'תקציב החברה לפיתוח 2021 '!Y67</f>
        <v>0</v>
      </c>
      <c r="Z104" s="173">
        <f>'תקציב החברה לפיתוח 2021 '!Z67</f>
        <v>0</v>
      </c>
      <c r="AA104" s="173">
        <f>'תקציב החברה לפיתוח 2021 '!AA67</f>
        <v>2000000</v>
      </c>
      <c r="AB104" s="293" t="str">
        <f>'תקציב החברה לפיתוח 2021 '!AB67</f>
        <v>הכשרת סינמטק בבניין העיריה החדש. מימון מ. הפיס.</v>
      </c>
      <c r="AC104" s="172">
        <f>'תקציב החברה לפיתוח 2021 '!AC67</f>
        <v>826000</v>
      </c>
      <c r="AD104" s="284"/>
      <c r="AE104" s="284"/>
      <c r="AF104" s="166"/>
      <c r="AG104" s="166"/>
      <c r="AH104" s="166"/>
      <c r="AI104" s="166"/>
      <c r="AJ104" s="166"/>
    </row>
    <row r="105" spans="1:36" s="5" customFormat="1" ht="56">
      <c r="A105" s="172">
        <f t="shared" si="9"/>
        <v>95</v>
      </c>
      <c r="B105" s="172">
        <f>'תקציב החברה לפיתוח 2021 '!B16</f>
        <v>1357</v>
      </c>
      <c r="C105" s="326" t="str">
        <f>'תקציב החברה לפיתוח 2021 '!C16</f>
        <v>ספורטק שלב ג'</v>
      </c>
      <c r="D105" s="173">
        <f>'תקציב החברה לפיתוח 2021 '!D16</f>
        <v>25000000</v>
      </c>
      <c r="E105" s="173">
        <f>'תקציב החברה לפיתוח 2021 '!E16</f>
        <v>25000000</v>
      </c>
      <c r="F105" s="173">
        <f>'תקציב החברה לפיתוח 2021 '!F16</f>
        <v>0</v>
      </c>
      <c r="G105" s="173">
        <f>'תקציב החברה לפיתוח 2021 '!G16</f>
        <v>14612000</v>
      </c>
      <c r="H105" s="173">
        <f>'תקציב החברה לפיתוח 2021 '!H16</f>
        <v>12621360</v>
      </c>
      <c r="I105" s="173">
        <f>'תקציב החברה לפיתוח 2021 '!I16</f>
        <v>0</v>
      </c>
      <c r="J105" s="173">
        <f>'תקציב החברה לפיתוח 2021 '!J16</f>
        <v>190113</v>
      </c>
      <c r="K105" s="173">
        <f>'תקציב החברה לפיתוח 2021 '!K16</f>
        <v>190113</v>
      </c>
      <c r="L105" s="173">
        <f>'תקציב החברה לפיתוח 2021 '!L16</f>
        <v>12811473</v>
      </c>
      <c r="M105" s="173">
        <f>'תקציב החברה לפיתוח 2021 '!M16</f>
        <v>1800527</v>
      </c>
      <c r="N105" s="173">
        <f>'תקציב החברה לפיתוח 2021 '!N16</f>
        <v>3500000</v>
      </c>
      <c r="O105" s="173">
        <f>'תקציב החברה לפיתוח 2021 '!O16</f>
        <v>6888000</v>
      </c>
      <c r="P105" s="173">
        <f>'תקציב החברה לפיתוח 2021 '!P16</f>
        <v>1800527</v>
      </c>
      <c r="Q105" s="173">
        <f>'תקציב החברה לפיתוח 2021 '!Q16</f>
        <v>0</v>
      </c>
      <c r="R105" s="173">
        <f>'תקציב החברה לפיתוח 2021 '!R16</f>
        <v>0</v>
      </c>
      <c r="S105" s="173">
        <f>'תקציב החברה לפיתוח 2021 '!S16</f>
        <v>0</v>
      </c>
      <c r="T105" s="173">
        <f>'תקציב החברה לפיתוח 2021 '!T16</f>
        <v>0</v>
      </c>
      <c r="U105" s="173">
        <f>'תקציב החברה לפיתוח 2021 '!U16</f>
        <v>3500000</v>
      </c>
      <c r="V105" s="173">
        <f>'תקציב החברה לפיתוח 2021 '!V16</f>
        <v>3500000</v>
      </c>
      <c r="W105" s="173">
        <f>'תקציב החברה לפיתוח 2021 '!W16</f>
        <v>0</v>
      </c>
      <c r="X105" s="173">
        <f>'תקציב החברה לפיתוח 2021 '!X16</f>
        <v>0</v>
      </c>
      <c r="Y105" s="173">
        <f>'תקציב החברה לפיתוח 2021 '!Y16</f>
        <v>0</v>
      </c>
      <c r="Z105" s="173">
        <f>'תקציב החברה לפיתוח 2021 '!Z16</f>
        <v>0</v>
      </c>
      <c r="AA105" s="173">
        <f>'תקציב החברה לפיתוח 2021 '!AA16</f>
        <v>0</v>
      </c>
      <c r="AB105" s="293" t="str">
        <f>'תקציב החברה לפיתוח 2021 '!AB16</f>
        <v>עבודות מבנה קט רגל והשלמת פיתוח בשטחים "ריקים" הגובלים בפטנק ומגרשי קטרגל.</v>
      </c>
      <c r="AC105" s="172">
        <f>'תקציב החברה לפיתוח 2021 '!AC16</f>
        <v>829000</v>
      </c>
      <c r="AD105" s="284"/>
      <c r="AE105" s="284"/>
      <c r="AF105" s="166"/>
      <c r="AG105" s="166"/>
      <c r="AH105" s="166"/>
      <c r="AI105" s="166"/>
      <c r="AJ105" s="166"/>
    </row>
    <row r="106" spans="1:36" s="5" customFormat="1" ht="28">
      <c r="A106" s="172">
        <f t="shared" si="9"/>
        <v>96</v>
      </c>
      <c r="B106" s="172">
        <f>'תקציב החברה לפיתוח 2021 '!B30</f>
        <v>1833</v>
      </c>
      <c r="C106" s="326" t="str">
        <f>'תקציב החברה לפיתוח 2021 '!C30</f>
        <v>אולם ספורט חטיבת זאב</v>
      </c>
      <c r="D106" s="173">
        <f>'תקציב החברה לפיתוח 2021 '!D30</f>
        <v>29000000</v>
      </c>
      <c r="E106" s="173">
        <f>'תקציב החברה לפיתוח 2021 '!E30</f>
        <v>29000000</v>
      </c>
      <c r="F106" s="173">
        <f>'תקציב החברה לפיתוח 2021 '!F30</f>
        <v>0</v>
      </c>
      <c r="G106" s="173">
        <f>'תקציב החברה לפיתוח 2021 '!G30</f>
        <v>18768840</v>
      </c>
      <c r="H106" s="173">
        <f>'תקציב החברה לפיתוח 2021 '!H30</f>
        <v>7351535</v>
      </c>
      <c r="I106" s="173">
        <f>'תקציב החברה לפיתוח 2021 '!I30</f>
        <v>0</v>
      </c>
      <c r="J106" s="173">
        <f>'תקציב החברה לפיתוח 2021 '!J30</f>
        <v>1053050</v>
      </c>
      <c r="K106" s="173">
        <f>'תקציב החברה לפיתוח 2021 '!K30</f>
        <v>1053050</v>
      </c>
      <c r="L106" s="173">
        <f>'תקציב החברה לפיתוח 2021 '!L30</f>
        <v>8404585</v>
      </c>
      <c r="M106" s="173">
        <f>'תקציב החברה לפיתוח 2021 '!M30</f>
        <v>10364255</v>
      </c>
      <c r="N106" s="173">
        <f>'תקציב החברה לפיתוח 2021 '!N30</f>
        <v>10231160</v>
      </c>
      <c r="O106" s="173">
        <f>'תקציב החברה לפיתוח 2021 '!O30</f>
        <v>0</v>
      </c>
      <c r="P106" s="173">
        <f>'תקציב החברה לפיתוח 2021 '!P30</f>
        <v>10364255</v>
      </c>
      <c r="Q106" s="173">
        <f>'תקציב החברה לפיתוח 2021 '!Q30</f>
        <v>0</v>
      </c>
      <c r="R106" s="173">
        <f>'תקציב החברה לפיתוח 2021 '!R30</f>
        <v>0</v>
      </c>
      <c r="S106" s="173">
        <f>'תקציב החברה לפיתוח 2021 '!S30</f>
        <v>0</v>
      </c>
      <c r="T106" s="173">
        <f>'תקציב החברה לפיתוח 2021 '!T30</f>
        <v>0</v>
      </c>
      <c r="U106" s="173">
        <f>'תקציב החברה לפיתוח 2021 '!U30</f>
        <v>10231160</v>
      </c>
      <c r="V106" s="173">
        <f>'תקציב החברה לפיתוח 2021 '!V30</f>
        <v>10231160</v>
      </c>
      <c r="W106" s="173">
        <f>'תקציב החברה לפיתוח 2021 '!W30</f>
        <v>0</v>
      </c>
      <c r="X106" s="173">
        <f>'תקציב החברה לפיתוח 2021 '!X30</f>
        <v>0</v>
      </c>
      <c r="Y106" s="173">
        <f>'תקציב החברה לפיתוח 2021 '!Y30</f>
        <v>0</v>
      </c>
      <c r="Z106" s="173">
        <f>'תקציב החברה לפיתוח 2021 '!Z30</f>
        <v>0</v>
      </c>
      <c r="AA106" s="173">
        <f>'תקציב החברה לפיתוח 2021 '!AA30</f>
        <v>0</v>
      </c>
      <c r="AB106" s="293" t="str">
        <f>'תקציב החברה לפיתוח 2021 '!AB30</f>
        <v xml:space="preserve">בניית אולם ספורט חדש בחטיבה. </v>
      </c>
      <c r="AC106" s="172">
        <f>'תקציב החברה לפיתוח 2021 '!AC30</f>
        <v>829000</v>
      </c>
      <c r="AD106" s="284"/>
      <c r="AE106" s="284"/>
      <c r="AF106" s="166"/>
      <c r="AG106" s="166"/>
      <c r="AH106" s="166"/>
      <c r="AI106" s="166"/>
      <c r="AJ106" s="166"/>
    </row>
    <row r="107" spans="1:36" s="5" customFormat="1" ht="28">
      <c r="A107" s="172">
        <f t="shared" si="9"/>
        <v>97</v>
      </c>
      <c r="B107" s="172">
        <f>'תקציב החברה לפיתוח 2021 '!B35</f>
        <v>1896</v>
      </c>
      <c r="C107" s="326" t="str">
        <f>'תקציב החברה לפיתוח 2021 '!C35</f>
        <v>קירוי והצללה מגרשי ספורט עירוניים</v>
      </c>
      <c r="D107" s="173">
        <f>'תקציב החברה לפיתוח 2021 '!D35</f>
        <v>18560000</v>
      </c>
      <c r="E107" s="173">
        <f>'תקציב החברה לפיתוח 2021 '!E35</f>
        <v>18560000</v>
      </c>
      <c r="F107" s="173">
        <f>'תקציב החברה לפיתוח 2021 '!F35</f>
        <v>0</v>
      </c>
      <c r="G107" s="173">
        <f>'תקציב החברה לפיתוח 2021 '!G35</f>
        <v>11600000</v>
      </c>
      <c r="H107" s="173">
        <f>'תקציב החברה לפיתוח 2021 '!H35</f>
        <v>1133671</v>
      </c>
      <c r="I107" s="173">
        <f>'תקציב החברה לפיתוח 2021 '!I35</f>
        <v>1737223</v>
      </c>
      <c r="J107" s="173">
        <f>'תקציב החברה לפיתוח 2021 '!J35</f>
        <v>471836</v>
      </c>
      <c r="K107" s="173">
        <f>'תקציב החברה לפיתוח 2021 '!K35</f>
        <v>2209059</v>
      </c>
      <c r="L107" s="173">
        <f>'תקציב החברה לפיתוח 2021 '!L35</f>
        <v>3342730</v>
      </c>
      <c r="M107" s="173">
        <f>'תקציב החברה לפיתוח 2021 '!M35</f>
        <v>4457270</v>
      </c>
      <c r="N107" s="173">
        <f>'תקציב החברה לפיתוח 2021 '!N35</f>
        <v>0</v>
      </c>
      <c r="O107" s="173">
        <f>'תקציב החברה לפיתוח 2021 '!O35</f>
        <v>10760000</v>
      </c>
      <c r="P107" s="173">
        <f>'תקציב החברה לפיתוח 2021 '!P35</f>
        <v>8257270</v>
      </c>
      <c r="Q107" s="173">
        <f>'תקציב החברה לפיתוח 2021 '!Q35</f>
        <v>0</v>
      </c>
      <c r="R107" s="173">
        <f>'תקציב החברה לפיתוח 2021 '!R35</f>
        <v>0</v>
      </c>
      <c r="S107" s="173">
        <f>'תקציב החברה לפיתוח 2021 '!S35</f>
        <v>0</v>
      </c>
      <c r="T107" s="173">
        <f>'תקציב החברה לפיתוח 2021 '!T35</f>
        <v>3800000</v>
      </c>
      <c r="U107" s="173">
        <f>'תקציב החברה לפיתוח 2021 '!U35</f>
        <v>-3800000</v>
      </c>
      <c r="V107" s="173">
        <f>'תקציב החברה לפיתוח 2021 '!V35</f>
        <v>-3800000</v>
      </c>
      <c r="W107" s="173">
        <f>'תקציב החברה לפיתוח 2021 '!W35</f>
        <v>0</v>
      </c>
      <c r="X107" s="173">
        <f>'תקציב החברה לפיתוח 2021 '!X35</f>
        <v>0</v>
      </c>
      <c r="Y107" s="173">
        <f>'תקציב החברה לפיתוח 2021 '!Y35</f>
        <v>0</v>
      </c>
      <c r="Z107" s="173">
        <f>'תקציב החברה לפיתוח 2021 '!Z35</f>
        <v>0</v>
      </c>
      <c r="AA107" s="173">
        <f>'תקציב החברה לפיתוח 2021 '!AA35</f>
        <v>0</v>
      </c>
      <c r="AB107" s="293" t="str">
        <f>'תקציב החברה לפיתוח 2021 '!AB35</f>
        <v xml:space="preserve">התקנת קירוי קשיח במגרשי ספורט 2020: דור, תיכון חדש. </v>
      </c>
      <c r="AC107" s="172">
        <f>'תקציב החברה לפיתוח 2021 '!AC35</f>
        <v>829000</v>
      </c>
      <c r="AD107" s="284"/>
      <c r="AE107" s="284"/>
      <c r="AF107" s="166"/>
      <c r="AG107" s="166"/>
      <c r="AH107" s="166"/>
      <c r="AI107" s="166"/>
      <c r="AJ107" s="166"/>
    </row>
    <row r="108" spans="1:36" s="5" customFormat="1" ht="42">
      <c r="A108" s="172">
        <f t="shared" si="9"/>
        <v>98</v>
      </c>
      <c r="B108" s="172">
        <f>'תקציב החברה לפיתוח 2021 '!B37</f>
        <v>1921</v>
      </c>
      <c r="C108" s="326" t="str">
        <f>'תקציב החברה לפיתוח 2021 '!C37</f>
        <v>עבודות הרחבה התאמה איצטדיון</v>
      </c>
      <c r="D108" s="173">
        <f>'תקציב החברה לפיתוח 2021 '!D37</f>
        <v>9716000</v>
      </c>
      <c r="E108" s="173">
        <f>'תקציב החברה לפיתוח 2021 '!E37</f>
        <v>9716000</v>
      </c>
      <c r="F108" s="173">
        <f>'תקציב החברה לפיתוח 2021 '!F37</f>
        <v>0</v>
      </c>
      <c r="G108" s="173">
        <f>'תקציב החברה לפיתוח 2021 '!G37</f>
        <v>9716000</v>
      </c>
      <c r="H108" s="173">
        <f>'תקציב החברה לפיתוח 2021 '!H37</f>
        <v>4648902</v>
      </c>
      <c r="I108" s="173">
        <f>'תקציב החברה לפיתוח 2021 '!I37</f>
        <v>0</v>
      </c>
      <c r="J108" s="173">
        <f>'תקציב החברה לפיתוח 2021 '!J37</f>
        <v>692685</v>
      </c>
      <c r="K108" s="173">
        <f>'תקציב החברה לפיתוח 2021 '!K37</f>
        <v>692685</v>
      </c>
      <c r="L108" s="173">
        <f>'תקציב החברה לפיתוח 2021 '!L37</f>
        <v>5341587</v>
      </c>
      <c r="M108" s="173">
        <f>'תקציב החברה לפיתוח 2021 '!M37</f>
        <v>4374413</v>
      </c>
      <c r="N108" s="173">
        <f>'תקציב החברה לפיתוח 2021 '!N37</f>
        <v>0</v>
      </c>
      <c r="O108" s="173">
        <f>'תקציב החברה לפיתוח 2021 '!O37</f>
        <v>0</v>
      </c>
      <c r="P108" s="173">
        <f>'תקציב החברה לפיתוח 2021 '!P37</f>
        <v>4374413</v>
      </c>
      <c r="Q108" s="173">
        <f>'תקציב החברה לפיתוח 2021 '!Q37</f>
        <v>0</v>
      </c>
      <c r="R108" s="173">
        <f>'תקציב החברה לפיתוח 2021 '!R37</f>
        <v>0</v>
      </c>
      <c r="S108" s="173">
        <f>'תקציב החברה לפיתוח 2021 '!S37</f>
        <v>0</v>
      </c>
      <c r="T108" s="173">
        <f>'תקציב החברה לפיתוח 2021 '!T37</f>
        <v>0</v>
      </c>
      <c r="U108" s="173">
        <f>'תקציב החברה לפיתוח 2021 '!U37</f>
        <v>0</v>
      </c>
      <c r="V108" s="173">
        <f>'תקציב החברה לפיתוח 2021 '!V37</f>
        <v>0</v>
      </c>
      <c r="W108" s="173">
        <f>'תקציב החברה לפיתוח 2021 '!W37</f>
        <v>0</v>
      </c>
      <c r="X108" s="173">
        <f>'תקציב החברה לפיתוח 2021 '!X37</f>
        <v>0</v>
      </c>
      <c r="Y108" s="173">
        <f>'תקציב החברה לפיתוח 2021 '!Y37</f>
        <v>0</v>
      </c>
      <c r="Z108" s="173">
        <f>'תקציב החברה לפיתוח 2021 '!Z37</f>
        <v>0</v>
      </c>
      <c r="AA108" s="173">
        <f>'תקציב החברה לפיתוח 2021 '!AA37</f>
        <v>0</v>
      </c>
      <c r="AB108" s="293" t="str">
        <f>'תקציב החברה לפיתוח 2021 '!AB37</f>
        <v xml:space="preserve">העבודות:מבנים יבילים, טריבונות, ארונות שחקנים, עבודות בטיחות. </v>
      </c>
      <c r="AC108" s="172">
        <f>'תקציב החברה לפיתוח 2021 '!AC37</f>
        <v>829000</v>
      </c>
      <c r="AD108" s="284"/>
      <c r="AE108" s="284"/>
      <c r="AF108" s="166"/>
      <c r="AG108" s="166"/>
      <c r="AH108" s="166"/>
      <c r="AI108" s="166"/>
      <c r="AJ108" s="166"/>
    </row>
    <row r="109" spans="1:36" s="5" customFormat="1" ht="42">
      <c r="A109" s="172">
        <f t="shared" si="9"/>
        <v>99</v>
      </c>
      <c r="B109" s="172">
        <f>'תקציב החברה לפיתוח 2021 '!B54</f>
        <v>2022</v>
      </c>
      <c r="C109" s="326" t="str">
        <f>'תקציב החברה לפיתוח 2021 '!C54</f>
        <v>הקמת אולם ספורט הנגיד (*) עדכון שם הנדיב</v>
      </c>
      <c r="D109" s="173">
        <f>'תקציב החברה לפיתוח 2021 '!D54</f>
        <v>14000000</v>
      </c>
      <c r="E109" s="173">
        <f>'תקציב החברה לפיתוח 2021 '!E54</f>
        <v>20000000</v>
      </c>
      <c r="F109" s="173">
        <f>'תקציב החברה לפיתוח 2021 '!F54</f>
        <v>-6000000</v>
      </c>
      <c r="G109" s="173">
        <f>'תקציב החברה לפיתוח 2021 '!G54</f>
        <v>12100000</v>
      </c>
      <c r="H109" s="173">
        <f>'תקציב החברה לפיתוח 2021 '!H54</f>
        <v>82941</v>
      </c>
      <c r="I109" s="173">
        <f>'תקציב החברה לפיתוח 2021 '!I54</f>
        <v>0</v>
      </c>
      <c r="J109" s="173">
        <f>'תקציב החברה לפיתוח 2021 '!J54</f>
        <v>72242</v>
      </c>
      <c r="K109" s="173">
        <f>'תקציב החברה לפיתוח 2021 '!K54</f>
        <v>72242</v>
      </c>
      <c r="L109" s="173">
        <f>'תקציב החברה לפיתוח 2021 '!L54</f>
        <v>155183</v>
      </c>
      <c r="M109" s="173">
        <f>'תקציב החברה לפיתוח 2021 '!M54</f>
        <v>11944817</v>
      </c>
      <c r="N109" s="173">
        <f>'תקציב החברה לפיתוח 2021 '!N54</f>
        <v>1900000</v>
      </c>
      <c r="O109" s="173">
        <f>'תקציב החברה לפיתוח 2021 '!O54</f>
        <v>0</v>
      </c>
      <c r="P109" s="173">
        <f>'תקציב החברה לפיתוח 2021 '!P54</f>
        <v>11944817</v>
      </c>
      <c r="Q109" s="173">
        <f>'תקציב החברה לפיתוח 2021 '!Q54</f>
        <v>0</v>
      </c>
      <c r="R109" s="173">
        <f>'תקציב החברה לפיתוח 2021 '!R54</f>
        <v>0</v>
      </c>
      <c r="S109" s="173">
        <f>'תקציב החברה לפיתוח 2021 '!S54</f>
        <v>0</v>
      </c>
      <c r="T109" s="173">
        <f>'תקציב החברה לפיתוח 2021 '!T54</f>
        <v>0</v>
      </c>
      <c r="U109" s="173">
        <f>'תקציב החברה לפיתוח 2021 '!U54</f>
        <v>1900000</v>
      </c>
      <c r="V109" s="173">
        <f>'תקציב החברה לפיתוח 2021 '!V54</f>
        <v>1900000</v>
      </c>
      <c r="W109" s="173">
        <f>'תקציב החברה לפיתוח 2021 '!W54</f>
        <v>0</v>
      </c>
      <c r="X109" s="173">
        <f>'תקציב החברה לפיתוח 2021 '!X54</f>
        <v>0</v>
      </c>
      <c r="Y109" s="173">
        <f>'תקציב החברה לפיתוח 2021 '!Y54</f>
        <v>0</v>
      </c>
      <c r="Z109" s="173">
        <f>'תקציב החברה לפיתוח 2021 '!Z54</f>
        <v>0</v>
      </c>
      <c r="AA109" s="173">
        <f>'תקציב החברה לפיתוח 2021 '!AA54</f>
        <v>0</v>
      </c>
      <c r="AB109" s="293" t="str">
        <f>'תקציב החברה לפיתוח 2021 '!AB54</f>
        <v xml:space="preserve">עבודות הקמת אולם ספורט בנגיד  כולל הריסת אולמות ומקלט קיימים. </v>
      </c>
      <c r="AC109" s="172">
        <f>'תקציב החברה לפיתוח 2021 '!AC54</f>
        <v>829000</v>
      </c>
      <c r="AD109" s="284"/>
      <c r="AE109" s="284"/>
      <c r="AF109" s="166"/>
      <c r="AG109" s="166"/>
      <c r="AH109" s="166"/>
      <c r="AI109" s="166"/>
      <c r="AJ109" s="166"/>
    </row>
    <row r="110" spans="1:36" s="296" customFormat="1" ht="28">
      <c r="A110" s="172">
        <f t="shared" si="9"/>
        <v>100</v>
      </c>
      <c r="B110" s="172">
        <f>'תקציב החברה לפיתוח 2021 '!B60</f>
        <v>2064</v>
      </c>
      <c r="C110" s="326" t="str">
        <f>'תקציב החברה לפיתוח 2021 '!C60</f>
        <v>שיפוץ אולם ספורט היובל</v>
      </c>
      <c r="D110" s="173">
        <f>'תקציב החברה לפיתוח 2021 '!D60</f>
        <v>6281000</v>
      </c>
      <c r="E110" s="173">
        <f>'תקציב החברה לפיתוח 2021 '!E60</f>
        <v>6281000</v>
      </c>
      <c r="F110" s="173">
        <f>'תקציב החברה לפיתוח 2021 '!F60</f>
        <v>0</v>
      </c>
      <c r="G110" s="173">
        <f>'תקציב החברה לפיתוח 2021 '!G60</f>
        <v>864000</v>
      </c>
      <c r="H110" s="173">
        <f>'תקציב החברה לפיתוח 2021 '!H60</f>
        <v>833705</v>
      </c>
      <c r="I110" s="173">
        <f>'תקציב החברה לפיתוח 2021 '!I60</f>
        <v>0</v>
      </c>
      <c r="J110" s="173">
        <f>'תקציב החברה לפיתוח 2021 '!J60</f>
        <v>21262</v>
      </c>
      <c r="K110" s="173">
        <f>'תקציב החברה לפיתוח 2021 '!K60</f>
        <v>21262</v>
      </c>
      <c r="L110" s="173">
        <f>'תקציב החברה לפיתוח 2021 '!L60</f>
        <v>854967</v>
      </c>
      <c r="M110" s="173">
        <f>'תקציב החברה לפיתוח 2021 '!M60</f>
        <v>9033</v>
      </c>
      <c r="N110" s="173">
        <f>'תקציב החברה לפיתוח 2021 '!N60</f>
        <v>0</v>
      </c>
      <c r="O110" s="173">
        <f>'תקציב החברה לפיתוח 2021 '!O60</f>
        <v>5417000</v>
      </c>
      <c r="P110" s="173">
        <f>'תקציב החברה לפיתוח 2021 '!P60</f>
        <v>9033</v>
      </c>
      <c r="Q110" s="173">
        <f>'תקציב החברה לפיתוח 2021 '!Q60</f>
        <v>0</v>
      </c>
      <c r="R110" s="173">
        <f>'תקציב החברה לפיתוח 2021 '!R60</f>
        <v>0</v>
      </c>
      <c r="S110" s="173">
        <f>'תקציב החברה לפיתוח 2021 '!S60</f>
        <v>0</v>
      </c>
      <c r="T110" s="173">
        <f>'תקציב החברה לפיתוח 2021 '!T60</f>
        <v>0</v>
      </c>
      <c r="U110" s="173">
        <f>'תקציב החברה לפיתוח 2021 '!U60</f>
        <v>0</v>
      </c>
      <c r="V110" s="173">
        <f>'תקציב החברה לפיתוח 2021 '!V60</f>
        <v>0</v>
      </c>
      <c r="W110" s="173">
        <f>'תקציב החברה לפיתוח 2021 '!W60</f>
        <v>0</v>
      </c>
      <c r="X110" s="173">
        <f>'תקציב החברה לפיתוח 2021 '!X60</f>
        <v>0</v>
      </c>
      <c r="Y110" s="173">
        <f>'תקציב החברה לפיתוח 2021 '!Y60</f>
        <v>0</v>
      </c>
      <c r="Z110" s="173">
        <f>'תקציב החברה לפיתוח 2021 '!Z60</f>
        <v>0</v>
      </c>
      <c r="AA110" s="173">
        <f>'תקציב החברה לפיתוח 2021 '!AA60</f>
        <v>0</v>
      </c>
      <c r="AB110" s="293" t="str">
        <f>'תקציב החברה לפיתוח 2021 '!AB60</f>
        <v xml:space="preserve">שיפוץ אולם ספורט היובל כולל פיתוח המבואה והמתחם. </v>
      </c>
      <c r="AC110" s="172">
        <f>'תקציב החברה לפיתוח 2021 '!AC60</f>
        <v>829000</v>
      </c>
      <c r="AD110" s="284"/>
      <c r="AE110" s="284"/>
      <c r="AF110" s="166"/>
      <c r="AG110" s="166"/>
      <c r="AH110" s="166"/>
      <c r="AI110" s="166"/>
      <c r="AJ110" s="166"/>
    </row>
    <row r="111" spans="1:36" s="296" customFormat="1" ht="42">
      <c r="A111" s="172">
        <f t="shared" si="9"/>
        <v>101</v>
      </c>
      <c r="B111" s="172">
        <f>'תקציב החברה לפיתוח 2021 '!B61</f>
        <v>2073</v>
      </c>
      <c r="C111" s="326" t="str">
        <f>'תקציב החברה לפיתוח 2021 '!C61</f>
        <v>בי"ס ואולם ספורט ויצמן  תכנון וביצוע  (*) עדכון שם</v>
      </c>
      <c r="D111" s="173">
        <f>'תקציב החברה לפיתוח 2021 '!D61</f>
        <v>11350000</v>
      </c>
      <c r="E111" s="173">
        <f>'תקציב החברה לפיתוח 2021 '!E61</f>
        <v>11350000</v>
      </c>
      <c r="F111" s="173">
        <f>'תקציב החברה לפיתוח 2021 '!F61</f>
        <v>0</v>
      </c>
      <c r="G111" s="173">
        <f>'תקציב החברה לפיתוח 2021 '!G61</f>
        <v>850000</v>
      </c>
      <c r="H111" s="173">
        <f>'תקציב החברה לפיתוח 2021 '!H61</f>
        <v>23564</v>
      </c>
      <c r="I111" s="173">
        <f>'תקציב החברה לפיתוח 2021 '!I61</f>
        <v>0</v>
      </c>
      <c r="J111" s="173">
        <f>'תקציב החברה לפיתוח 2021 '!J61</f>
        <v>93436</v>
      </c>
      <c r="K111" s="173">
        <f>'תקציב החברה לפיתוח 2021 '!K61</f>
        <v>93436</v>
      </c>
      <c r="L111" s="173">
        <f>'תקציב החברה לפיתוח 2021 '!L61</f>
        <v>117000</v>
      </c>
      <c r="M111" s="173">
        <f>'תקציב החברה לפיתוח 2021 '!M61</f>
        <v>733000</v>
      </c>
      <c r="N111" s="173">
        <f>'תקציב החברה לפיתוח 2021 '!N61</f>
        <v>750000</v>
      </c>
      <c r="O111" s="173">
        <f>'תקציב החברה לפיתוח 2021 '!O61</f>
        <v>9750000</v>
      </c>
      <c r="P111" s="173">
        <f>'תקציב החברה לפיתוח 2021 '!P61</f>
        <v>733000</v>
      </c>
      <c r="Q111" s="173">
        <f>'תקציב החברה לפיתוח 2021 '!Q61</f>
        <v>0</v>
      </c>
      <c r="R111" s="173">
        <f>'תקציב החברה לפיתוח 2021 '!R61</f>
        <v>0</v>
      </c>
      <c r="S111" s="173">
        <f>'תקציב החברה לפיתוח 2021 '!S61</f>
        <v>0</v>
      </c>
      <c r="T111" s="173">
        <f>'תקציב החברה לפיתוח 2021 '!T61</f>
        <v>0</v>
      </c>
      <c r="U111" s="173">
        <f>'תקציב החברה לפיתוח 2021 '!U61</f>
        <v>750000</v>
      </c>
      <c r="V111" s="173">
        <f>'תקציב החברה לפיתוח 2021 '!V61</f>
        <v>750000</v>
      </c>
      <c r="W111" s="173">
        <f>'תקציב החברה לפיתוח 2021 '!W61</f>
        <v>0</v>
      </c>
      <c r="X111" s="173">
        <f>'תקציב החברה לפיתוח 2021 '!X61</f>
        <v>0</v>
      </c>
      <c r="Y111" s="173">
        <f>'תקציב החברה לפיתוח 2021 '!Y61</f>
        <v>0</v>
      </c>
      <c r="Z111" s="173">
        <f>'תקציב החברה לפיתוח 2021 '!Z61</f>
        <v>0</v>
      </c>
      <c r="AA111" s="173">
        <f>'תקציב החברה לפיתוח 2021 '!AA61</f>
        <v>0</v>
      </c>
      <c r="AB111" s="293" t="str">
        <f>'תקציב החברה לפיתוח 2021 '!AB61</f>
        <v xml:space="preserve">תוספת מבנה של 24 כיתות   ואולם ספורט חדש בבי"ס ויצמן. ב - 2021: תכנון. </v>
      </c>
      <c r="AC111" s="172">
        <f>'תקציב החברה לפיתוח 2021 '!AC61</f>
        <v>829000</v>
      </c>
      <c r="AD111" s="284"/>
      <c r="AE111" s="284"/>
      <c r="AF111" s="166"/>
      <c r="AG111" s="166"/>
      <c r="AH111" s="166"/>
      <c r="AI111" s="166"/>
      <c r="AJ111" s="166"/>
    </row>
    <row r="112" spans="1:36" s="296" customFormat="1" ht="28">
      <c r="A112" s="172">
        <f t="shared" si="9"/>
        <v>102</v>
      </c>
      <c r="B112" s="172">
        <f>'תקציב החברה לפיתוח 2021 '!B88</f>
        <v>2153</v>
      </c>
      <c r="C112" s="326" t="str">
        <f>'תקציב החברה לפיתוח 2021 '!C88</f>
        <v>הקמת ארנה</v>
      </c>
      <c r="D112" s="173">
        <f>'תקציב החברה לפיתוח 2021 '!D88</f>
        <v>1000000</v>
      </c>
      <c r="E112" s="173">
        <f>'תקציב החברה לפיתוח 2021 '!E88</f>
        <v>1000000</v>
      </c>
      <c r="F112" s="173">
        <f>'תקציב החברה לפיתוח 2021 '!F88</f>
        <v>0</v>
      </c>
      <c r="G112" s="173">
        <f>'תקציב החברה לפיתוח 2021 '!G88</f>
        <v>300000</v>
      </c>
      <c r="H112" s="173">
        <f>'תקציב החברה לפיתוח 2021 '!H88</f>
        <v>24804</v>
      </c>
      <c r="I112" s="173">
        <f>'תקציב החברה לפיתוח 2021 '!I88</f>
        <v>0</v>
      </c>
      <c r="J112" s="173">
        <f>'תקציב החברה לפיתוח 2021 '!J88</f>
        <v>125195</v>
      </c>
      <c r="K112" s="173">
        <f>'תקציב החברה לפיתוח 2021 '!K88</f>
        <v>125195</v>
      </c>
      <c r="L112" s="173">
        <f>'תקציב החברה לפיתוח 2021 '!L88</f>
        <v>149999</v>
      </c>
      <c r="M112" s="173">
        <f>'תקציב החברה לפיתוח 2021 '!M88</f>
        <v>150001</v>
      </c>
      <c r="N112" s="173">
        <f>'תקציב החברה לפיתוח 2021 '!N88</f>
        <v>700000</v>
      </c>
      <c r="O112" s="173">
        <f>'תקציב החברה לפיתוח 2021 '!O88</f>
        <v>0</v>
      </c>
      <c r="P112" s="173">
        <f>'תקציב החברה לפיתוח 2021 '!P88</f>
        <v>150001</v>
      </c>
      <c r="Q112" s="173">
        <f>'תקציב החברה לפיתוח 2021 '!Q88</f>
        <v>0</v>
      </c>
      <c r="R112" s="173">
        <f>'תקציב החברה לפיתוח 2021 '!R88</f>
        <v>0</v>
      </c>
      <c r="S112" s="173">
        <f>'תקציב החברה לפיתוח 2021 '!S88</f>
        <v>0</v>
      </c>
      <c r="T112" s="173">
        <f>'תקציב החברה לפיתוח 2021 '!T88</f>
        <v>0</v>
      </c>
      <c r="U112" s="173">
        <f>'תקציב החברה לפיתוח 2021 '!U88</f>
        <v>700000</v>
      </c>
      <c r="V112" s="173">
        <f>'תקציב החברה לפיתוח 2021 '!V88</f>
        <v>700000</v>
      </c>
      <c r="W112" s="173">
        <f>'תקציב החברה לפיתוח 2021 '!W88</f>
        <v>0</v>
      </c>
      <c r="X112" s="173">
        <f>'תקציב החברה לפיתוח 2021 '!X88</f>
        <v>0</v>
      </c>
      <c r="Y112" s="173">
        <f>'תקציב החברה לפיתוח 2021 '!Y88</f>
        <v>0</v>
      </c>
      <c r="Z112" s="173">
        <f>'תקציב החברה לפיתוח 2021 '!Z88</f>
        <v>0</v>
      </c>
      <c r="AA112" s="173">
        <f>'תקציב החברה לפיתוח 2021 '!AA88</f>
        <v>0</v>
      </c>
      <c r="AB112" s="293" t="str">
        <f>'תקציב החברה לפיתוח 2021 '!AB88</f>
        <v>המשך תכנון ראשוני הקמת ארנה באיזור האיצטדיון.</v>
      </c>
      <c r="AC112" s="172">
        <f>'תקציב החברה לפיתוח 2021 '!AC88</f>
        <v>829000</v>
      </c>
      <c r="AD112" s="284"/>
      <c r="AE112" s="284"/>
      <c r="AF112" s="166"/>
      <c r="AG112" s="166"/>
      <c r="AH112" s="166"/>
      <c r="AI112" s="166"/>
      <c r="AJ112" s="166"/>
    </row>
    <row r="113" spans="1:36" s="176" customFormat="1" ht="28">
      <c r="A113" s="172">
        <f t="shared" si="9"/>
        <v>103</v>
      </c>
      <c r="B113" s="172">
        <f>'תקציב החברה לפיתוח 2021 '!B96</f>
        <v>2203</v>
      </c>
      <c r="C113" s="326" t="str">
        <f>'תקציב החברה לפיתוח 2021 '!C96</f>
        <v>אולם ספורט בי"ס יוחנני</v>
      </c>
      <c r="D113" s="173">
        <f>'תקציב החברה לפיתוח 2021 '!D96</f>
        <v>1000000</v>
      </c>
      <c r="E113" s="173">
        <f>'תקציב החברה לפיתוח 2021 '!E96</f>
        <v>0</v>
      </c>
      <c r="F113" s="173">
        <f>'תקציב החברה לפיתוח 2021 '!F96</f>
        <v>1000000</v>
      </c>
      <c r="G113" s="173">
        <f>'תקציב החברה לפיתוח 2021 '!G96</f>
        <v>0</v>
      </c>
      <c r="H113" s="173">
        <f>'תקציב החברה לפיתוח 2021 '!H96</f>
        <v>0</v>
      </c>
      <c r="I113" s="173">
        <f>'תקציב החברה לפיתוח 2021 '!I96</f>
        <v>0</v>
      </c>
      <c r="J113" s="173">
        <f>'תקציב החברה לפיתוח 2021 '!J96</f>
        <v>0</v>
      </c>
      <c r="K113" s="173">
        <f>'תקציב החברה לפיתוח 2021 '!K96</f>
        <v>0</v>
      </c>
      <c r="L113" s="173">
        <f>'תקציב החברה לפיתוח 2021 '!L96</f>
        <v>0</v>
      </c>
      <c r="M113" s="173">
        <f>'תקציב החברה לפיתוח 2021 '!M96</f>
        <v>0</v>
      </c>
      <c r="N113" s="173">
        <f>'תקציב החברה לפיתוח 2021 '!N96</f>
        <v>1000000</v>
      </c>
      <c r="O113" s="173">
        <f>'תקציב החברה לפיתוח 2021 '!O96</f>
        <v>0</v>
      </c>
      <c r="P113" s="173">
        <f>'תקציב החברה לפיתוח 2021 '!P96</f>
        <v>0</v>
      </c>
      <c r="Q113" s="173">
        <f>'תקציב החברה לפיתוח 2021 '!Q96</f>
        <v>0</v>
      </c>
      <c r="R113" s="173">
        <f>'תקציב החברה לפיתוח 2021 '!R96</f>
        <v>0</v>
      </c>
      <c r="S113" s="173">
        <f>'תקציב החברה לפיתוח 2021 '!S96</f>
        <v>0</v>
      </c>
      <c r="T113" s="173">
        <f>'תקציב החברה לפיתוח 2021 '!T96</f>
        <v>0</v>
      </c>
      <c r="U113" s="173">
        <f>'תקציב החברה לפיתוח 2021 '!U96</f>
        <v>1000000</v>
      </c>
      <c r="V113" s="173">
        <f>'תקציב החברה לפיתוח 2021 '!V96</f>
        <v>1000000</v>
      </c>
      <c r="W113" s="173">
        <f>'תקציב החברה לפיתוח 2021 '!W96</f>
        <v>0</v>
      </c>
      <c r="X113" s="173">
        <f>'תקציב החברה לפיתוח 2021 '!X96</f>
        <v>0</v>
      </c>
      <c r="Y113" s="173">
        <f>'תקציב החברה לפיתוח 2021 '!Y96</f>
        <v>0</v>
      </c>
      <c r="Z113" s="173">
        <f>'תקציב החברה לפיתוח 2021 '!Z96</f>
        <v>0</v>
      </c>
      <c r="AA113" s="173">
        <f>'תקציב החברה לפיתוח 2021 '!AA96</f>
        <v>0</v>
      </c>
      <c r="AB113" s="293" t="str">
        <f>'תקציב החברה לפיתוח 2021 '!AB96</f>
        <v xml:space="preserve">בניית אולם ספורט חדש במקום הקיים בבי"ס יוחנני. </v>
      </c>
      <c r="AC113" s="172">
        <f>'תקציב החברה לפיתוח 2021 '!AC96</f>
        <v>829000</v>
      </c>
      <c r="AD113" s="284"/>
      <c r="AE113" s="284"/>
      <c r="AF113" s="166"/>
      <c r="AG113" s="166"/>
      <c r="AH113" s="166"/>
      <c r="AI113" s="166"/>
      <c r="AJ113" s="166"/>
    </row>
    <row r="114" spans="1:36" s="332" customFormat="1">
      <c r="A114" s="291"/>
      <c r="B114" s="291"/>
      <c r="C114" s="423" t="s">
        <v>1483</v>
      </c>
      <c r="D114" s="350">
        <f>SUM(D98:D113)</f>
        <v>329817000</v>
      </c>
      <c r="E114" s="350">
        <f t="shared" ref="E114:AA114" si="10">SUM(E98:E113)</f>
        <v>334817000</v>
      </c>
      <c r="F114" s="350">
        <f t="shared" si="10"/>
        <v>-5000000</v>
      </c>
      <c r="G114" s="350">
        <f t="shared" si="10"/>
        <v>149374100</v>
      </c>
      <c r="H114" s="350">
        <f t="shared" si="10"/>
        <v>80096456</v>
      </c>
      <c r="I114" s="350">
        <f t="shared" si="10"/>
        <v>1737223</v>
      </c>
      <c r="J114" s="350">
        <f t="shared" si="10"/>
        <v>5003893</v>
      </c>
      <c r="K114" s="350">
        <f t="shared" si="10"/>
        <v>6741116</v>
      </c>
      <c r="L114" s="350">
        <f t="shared" si="10"/>
        <v>86837572</v>
      </c>
      <c r="M114" s="350">
        <f t="shared" si="10"/>
        <v>58736528</v>
      </c>
      <c r="N114" s="350">
        <f t="shared" si="10"/>
        <v>48081160</v>
      </c>
      <c r="O114" s="350">
        <f t="shared" si="10"/>
        <v>136161740</v>
      </c>
      <c r="P114" s="350">
        <f t="shared" si="10"/>
        <v>62536528</v>
      </c>
      <c r="Q114" s="350">
        <f t="shared" si="10"/>
        <v>0</v>
      </c>
      <c r="R114" s="350">
        <f t="shared" si="10"/>
        <v>0</v>
      </c>
      <c r="S114" s="350">
        <f t="shared" si="10"/>
        <v>0</v>
      </c>
      <c r="T114" s="350">
        <f t="shared" si="10"/>
        <v>3800000</v>
      </c>
      <c r="U114" s="350">
        <f t="shared" si="10"/>
        <v>44281160</v>
      </c>
      <c r="V114" s="350">
        <f t="shared" si="10"/>
        <v>42281160</v>
      </c>
      <c r="W114" s="350">
        <f t="shared" si="10"/>
        <v>0</v>
      </c>
      <c r="X114" s="350">
        <f t="shared" si="10"/>
        <v>0</v>
      </c>
      <c r="Y114" s="350">
        <f t="shared" si="10"/>
        <v>0</v>
      </c>
      <c r="Z114" s="350">
        <f t="shared" si="10"/>
        <v>0</v>
      </c>
      <c r="AA114" s="350">
        <f t="shared" si="10"/>
        <v>2000000</v>
      </c>
      <c r="AB114" s="352"/>
      <c r="AC114" s="291"/>
      <c r="AD114" s="334"/>
      <c r="AE114" s="334"/>
      <c r="AF114" s="345"/>
      <c r="AG114" s="345"/>
      <c r="AH114" s="345"/>
      <c r="AI114" s="345"/>
      <c r="AJ114" s="345"/>
    </row>
    <row r="115" spans="1:36" ht="42">
      <c r="A115" s="172">
        <f>A113+1</f>
        <v>104</v>
      </c>
      <c r="B115" s="172">
        <f>'תקציב החברה לפיתוח 2021 '!B64</f>
        <v>2079</v>
      </c>
      <c r="C115" s="326" t="str">
        <f>'תקציב החברה לפיתוח 2021 '!C64</f>
        <v>שיפוץ בית הורים</v>
      </c>
      <c r="D115" s="173">
        <f>'תקציב החברה לפיתוח 2021 '!D64</f>
        <v>3100000</v>
      </c>
      <c r="E115" s="173">
        <f>'תקציב החברה לפיתוח 2021 '!E64</f>
        <v>3100000</v>
      </c>
      <c r="F115" s="173">
        <f>'תקציב החברה לפיתוח 2021 '!F64</f>
        <v>0</v>
      </c>
      <c r="G115" s="173">
        <f>'תקציב החברה לפיתוח 2021 '!G64</f>
        <v>500000</v>
      </c>
      <c r="H115" s="173">
        <f>'תקציב החברה לפיתוח 2021 '!H64</f>
        <v>82663</v>
      </c>
      <c r="I115" s="173">
        <f>'תקציב החברה לפיתוח 2021 '!I64</f>
        <v>0</v>
      </c>
      <c r="J115" s="173">
        <f>'תקציב החברה לפיתוח 2021 '!J64</f>
        <v>417337</v>
      </c>
      <c r="K115" s="173">
        <f>'תקציב החברה לפיתוח 2021 '!K64</f>
        <v>417337</v>
      </c>
      <c r="L115" s="173">
        <f>'תקציב החברה לפיתוח 2021 '!L64</f>
        <v>500000</v>
      </c>
      <c r="M115" s="173">
        <f>'תקציב החברה לפיתוח 2021 '!M64</f>
        <v>0</v>
      </c>
      <c r="N115" s="173">
        <f>'תקציב החברה לפיתוח 2021 '!N64</f>
        <v>2600000</v>
      </c>
      <c r="O115" s="173">
        <f>'תקציב החברה לפיתוח 2021 '!O64</f>
        <v>0</v>
      </c>
      <c r="P115" s="173">
        <f>'תקציב החברה לפיתוח 2021 '!P64</f>
        <v>0</v>
      </c>
      <c r="Q115" s="173">
        <f>'תקציב החברה לפיתוח 2021 '!Q64</f>
        <v>0</v>
      </c>
      <c r="R115" s="173">
        <f>'תקציב החברה לפיתוח 2021 '!R64</f>
        <v>0</v>
      </c>
      <c r="S115" s="173">
        <f>'תקציב החברה לפיתוח 2021 '!S64</f>
        <v>0</v>
      </c>
      <c r="T115" s="173">
        <f>'תקציב החברה לפיתוח 2021 '!T64</f>
        <v>0</v>
      </c>
      <c r="U115" s="173">
        <f>'תקציב החברה לפיתוח 2021 '!U64</f>
        <v>2600000</v>
      </c>
      <c r="V115" s="173">
        <f>'תקציב החברה לפיתוח 2021 '!V64</f>
        <v>2600000</v>
      </c>
      <c r="W115" s="173">
        <f>'תקציב החברה לפיתוח 2021 '!W64</f>
        <v>0</v>
      </c>
      <c r="X115" s="173">
        <f>'תקציב החברה לפיתוח 2021 '!X64</f>
        <v>0</v>
      </c>
      <c r="Y115" s="173">
        <f>'תקציב החברה לפיתוח 2021 '!Y64</f>
        <v>0</v>
      </c>
      <c r="Z115" s="173">
        <f>'תקציב החברה לפיתוח 2021 '!Z64</f>
        <v>0</v>
      </c>
      <c r="AA115" s="173">
        <f>'תקציב החברה לפיתוח 2021 '!AA64</f>
        <v>0</v>
      </c>
      <c r="AB115" s="293" t="str">
        <f>'תקציב החברה לפיתוח 2021 '!AB64</f>
        <v xml:space="preserve">עבודות שיפוץ בית ההורים ברחוב אנה פרנק. עבודות שדרוג ושיפוץ כללי. </v>
      </c>
      <c r="AC115" s="172">
        <f>'תקציב החברה לפיתוח 2021 '!AC64</f>
        <v>840000</v>
      </c>
    </row>
    <row r="116" spans="1:36" s="176" customFormat="1" ht="42">
      <c r="A116" s="172">
        <f>A115+1</f>
        <v>105</v>
      </c>
      <c r="B116" s="172">
        <f>'תקציב החברה לפיתוח 2021 '!B68</f>
        <v>2101</v>
      </c>
      <c r="C116" s="326" t="str">
        <f>'תקציב החברה לפיתוח 2021 '!C68</f>
        <v xml:space="preserve">מעון לאנשים עם מוגבלויות -  ביד התשעה </v>
      </c>
      <c r="D116" s="173">
        <f>'תקציב החברה לפיתוח 2021 '!D68</f>
        <v>24200000</v>
      </c>
      <c r="E116" s="173">
        <f>'תקציב החברה לפיתוח 2021 '!E68</f>
        <v>9850000</v>
      </c>
      <c r="F116" s="173">
        <f>'תקציב החברה לפיתוח 2021 '!F68</f>
        <v>14350000</v>
      </c>
      <c r="G116" s="173">
        <f>'תקציב החברה לפיתוח 2021 '!G68</f>
        <v>1500000</v>
      </c>
      <c r="H116" s="173">
        <f>'תקציב החברה לפיתוח 2021 '!H68</f>
        <v>14882</v>
      </c>
      <c r="I116" s="173">
        <f>'תקציב החברה לפיתוח 2021 '!I68</f>
        <v>0</v>
      </c>
      <c r="J116" s="173">
        <f>'תקציב החברה לפיתוח 2021 '!J68</f>
        <v>85116</v>
      </c>
      <c r="K116" s="173">
        <f>'תקציב החברה לפיתוח 2021 '!K68</f>
        <v>85116</v>
      </c>
      <c r="L116" s="173">
        <f>'תקציב החברה לפיתוח 2021 '!L68</f>
        <v>99998</v>
      </c>
      <c r="M116" s="173">
        <f>'תקציב החברה לפיתוח 2021 '!M68</f>
        <v>1400002</v>
      </c>
      <c r="N116" s="173">
        <f>'תקציב החברה לפיתוח 2021 '!N68</f>
        <v>0</v>
      </c>
      <c r="O116" s="173">
        <f>'תקציב החברה לפיתוח 2021 '!O68</f>
        <v>22700000</v>
      </c>
      <c r="P116" s="173">
        <f>'תקציב החברה לפיתוח 2021 '!P68</f>
        <v>1400002</v>
      </c>
      <c r="Q116" s="173">
        <f>'תקציב החברה לפיתוח 2021 '!Q68</f>
        <v>0</v>
      </c>
      <c r="R116" s="173">
        <f>'תקציב החברה לפיתוח 2021 '!R68</f>
        <v>0</v>
      </c>
      <c r="S116" s="173">
        <f>'תקציב החברה לפיתוח 2021 '!S68</f>
        <v>0</v>
      </c>
      <c r="T116" s="173">
        <f>'תקציב החברה לפיתוח 2021 '!T68</f>
        <v>0</v>
      </c>
      <c r="U116" s="173">
        <f>'תקציב החברה לפיתוח 2021 '!U68</f>
        <v>0</v>
      </c>
      <c r="V116" s="173">
        <f>'תקציב החברה לפיתוח 2021 '!V68</f>
        <v>0</v>
      </c>
      <c r="W116" s="173">
        <f>'תקציב החברה לפיתוח 2021 '!W68</f>
        <v>0</v>
      </c>
      <c r="X116" s="173">
        <f>'תקציב החברה לפיתוח 2021 '!X68</f>
        <v>0</v>
      </c>
      <c r="Y116" s="173">
        <f>'תקציב החברה לפיתוח 2021 '!Y68</f>
        <v>0</v>
      </c>
      <c r="Z116" s="173">
        <f>'תקציב החברה לפיתוח 2021 '!Z68</f>
        <v>0</v>
      </c>
      <c r="AA116" s="173">
        <f>'תקציב החברה לפיתוח 2021 '!AA68</f>
        <v>0</v>
      </c>
      <c r="AB116" s="293" t="str">
        <f>'תקציב החברה לפיתוח 2021 '!AB68</f>
        <v>תכנון ראשוני הקמת מעון לאנשים עם מוגבלויות ביד התשעה.</v>
      </c>
      <c r="AC116" s="172">
        <f>'תקציב החברה לפיתוח 2021 '!AC68</f>
        <v>840000</v>
      </c>
      <c r="AD116" s="284"/>
      <c r="AE116" s="284"/>
      <c r="AF116" s="166"/>
      <c r="AG116" s="166"/>
      <c r="AH116" s="166"/>
      <c r="AI116" s="166"/>
      <c r="AJ116" s="166"/>
    </row>
    <row r="117" spans="1:36" s="176" customFormat="1" ht="42">
      <c r="A117" s="172">
        <f>A116+1</f>
        <v>106</v>
      </c>
      <c r="B117" s="172">
        <f>'תקציב החברה לפיתוח 2021 '!B70</f>
        <v>2103</v>
      </c>
      <c r="C117" s="326" t="str">
        <f>'תקציב החברה לפיתוח 2021 '!C70</f>
        <v xml:space="preserve">שדרוג המרחב הציבורי באיזור התעשיה </v>
      </c>
      <c r="D117" s="173">
        <f>'תקציב החברה לפיתוח 2021 '!D70</f>
        <v>2500000</v>
      </c>
      <c r="E117" s="173">
        <f>'תקציב החברה לפיתוח 2021 '!E70</f>
        <v>2500000</v>
      </c>
      <c r="F117" s="173">
        <f>'תקציב החברה לפיתוח 2021 '!F70</f>
        <v>0</v>
      </c>
      <c r="G117" s="173">
        <f>'תקציב החברה לפיתוח 2021 '!G70</f>
        <v>1000000</v>
      </c>
      <c r="H117" s="173">
        <f>'תקציב החברה לפיתוח 2021 '!H70</f>
        <v>190122</v>
      </c>
      <c r="I117" s="173">
        <f>'תקציב החברה לפיתוח 2021 '!I70</f>
        <v>0</v>
      </c>
      <c r="J117" s="173">
        <f>'תקציב החברה לפיתוח 2021 '!J70</f>
        <v>620100</v>
      </c>
      <c r="K117" s="173">
        <f>'תקציב החברה לפיתוח 2021 '!K70</f>
        <v>620100</v>
      </c>
      <c r="L117" s="173">
        <f>'תקציב החברה לפיתוח 2021 '!L70</f>
        <v>810222</v>
      </c>
      <c r="M117" s="173">
        <f>'תקציב החברה לפיתוח 2021 '!M70</f>
        <v>189778</v>
      </c>
      <c r="N117" s="173">
        <f>'תקציב החברה לפיתוח 2021 '!N70</f>
        <v>0</v>
      </c>
      <c r="O117" s="173">
        <f>'תקציב החברה לפיתוח 2021 '!O70</f>
        <v>1500000</v>
      </c>
      <c r="P117" s="173">
        <f>'תקציב החברה לפיתוח 2021 '!P70</f>
        <v>189778</v>
      </c>
      <c r="Q117" s="173">
        <f>'תקציב החברה לפיתוח 2021 '!Q70</f>
        <v>0</v>
      </c>
      <c r="R117" s="173">
        <f>'תקציב החברה לפיתוח 2021 '!R70</f>
        <v>0</v>
      </c>
      <c r="S117" s="173">
        <f>'תקציב החברה לפיתוח 2021 '!S70</f>
        <v>0</v>
      </c>
      <c r="T117" s="173">
        <f>'תקציב החברה לפיתוח 2021 '!T70</f>
        <v>0</v>
      </c>
      <c r="U117" s="173">
        <f>'תקציב החברה לפיתוח 2021 '!U70</f>
        <v>0</v>
      </c>
      <c r="V117" s="173">
        <f>'תקציב החברה לפיתוח 2021 '!V70</f>
        <v>0</v>
      </c>
      <c r="W117" s="173">
        <f>'תקציב החברה לפיתוח 2021 '!W70</f>
        <v>0</v>
      </c>
      <c r="X117" s="173">
        <f>'תקציב החברה לפיתוח 2021 '!X70</f>
        <v>0</v>
      </c>
      <c r="Y117" s="173">
        <f>'תקציב החברה לפיתוח 2021 '!Y70</f>
        <v>0</v>
      </c>
      <c r="Z117" s="173">
        <f>'תקציב החברה לפיתוח 2021 '!Z70</f>
        <v>0</v>
      </c>
      <c r="AA117" s="173">
        <f>'תקציב החברה לפיתוח 2021 '!AA70</f>
        <v>0</v>
      </c>
      <c r="AB117" s="293" t="str">
        <f>'תקציב החברה לפיתוח 2021 '!AB70</f>
        <v>סל עבודות לשדרוג במרחב הציבורי כולל ריהוט רחוב באיזור התעשיה.</v>
      </c>
      <c r="AC117" s="172">
        <f>'תקציב החברה לפיתוח 2021 '!AC70</f>
        <v>848000</v>
      </c>
      <c r="AD117" s="284"/>
      <c r="AE117" s="284"/>
      <c r="AF117" s="166"/>
      <c r="AG117" s="166"/>
      <c r="AH117" s="166"/>
      <c r="AI117" s="166"/>
      <c r="AJ117" s="166"/>
    </row>
    <row r="118" spans="1:36" s="332" customFormat="1">
      <c r="A118" s="291"/>
      <c r="B118" s="291"/>
      <c r="C118" s="423" t="s">
        <v>1484</v>
      </c>
      <c r="D118" s="350">
        <f>SUM(D115:D117)</f>
        <v>29800000</v>
      </c>
      <c r="E118" s="350">
        <f t="shared" ref="E118:AA118" si="11">SUM(E115:E117)</f>
        <v>15450000</v>
      </c>
      <c r="F118" s="350">
        <f t="shared" si="11"/>
        <v>14350000</v>
      </c>
      <c r="G118" s="350">
        <f t="shared" si="11"/>
        <v>3000000</v>
      </c>
      <c r="H118" s="350">
        <f t="shared" si="11"/>
        <v>287667</v>
      </c>
      <c r="I118" s="350">
        <f t="shared" si="11"/>
        <v>0</v>
      </c>
      <c r="J118" s="350">
        <f t="shared" si="11"/>
        <v>1122553</v>
      </c>
      <c r="K118" s="350">
        <f t="shared" si="11"/>
        <v>1122553</v>
      </c>
      <c r="L118" s="350">
        <f t="shared" si="11"/>
        <v>1410220</v>
      </c>
      <c r="M118" s="350">
        <f t="shared" si="11"/>
        <v>1589780</v>
      </c>
      <c r="N118" s="350">
        <f t="shared" si="11"/>
        <v>2600000</v>
      </c>
      <c r="O118" s="350">
        <f t="shared" si="11"/>
        <v>24200000</v>
      </c>
      <c r="P118" s="350">
        <f t="shared" si="11"/>
        <v>1589780</v>
      </c>
      <c r="Q118" s="350">
        <f t="shared" si="11"/>
        <v>0</v>
      </c>
      <c r="R118" s="350">
        <f t="shared" si="11"/>
        <v>0</v>
      </c>
      <c r="S118" s="350">
        <f t="shared" si="11"/>
        <v>0</v>
      </c>
      <c r="T118" s="350">
        <f t="shared" si="11"/>
        <v>0</v>
      </c>
      <c r="U118" s="350">
        <f t="shared" si="11"/>
        <v>2600000</v>
      </c>
      <c r="V118" s="350">
        <f t="shared" si="11"/>
        <v>2600000</v>
      </c>
      <c r="W118" s="350">
        <f t="shared" si="11"/>
        <v>0</v>
      </c>
      <c r="X118" s="350">
        <f t="shared" si="11"/>
        <v>0</v>
      </c>
      <c r="Y118" s="350">
        <f t="shared" si="11"/>
        <v>0</v>
      </c>
      <c r="Z118" s="350">
        <f t="shared" si="11"/>
        <v>0</v>
      </c>
      <c r="AA118" s="350">
        <f t="shared" si="11"/>
        <v>0</v>
      </c>
      <c r="AB118" s="352"/>
      <c r="AC118" s="291"/>
      <c r="AD118" s="334"/>
      <c r="AE118" s="334"/>
      <c r="AF118" s="345"/>
      <c r="AG118" s="345"/>
      <c r="AH118" s="345"/>
      <c r="AI118" s="345"/>
      <c r="AJ118" s="345"/>
    </row>
    <row r="119" spans="1:36" ht="28">
      <c r="A119" s="172">
        <f>A117+1</f>
        <v>107</v>
      </c>
      <c r="B119" s="172">
        <f>'תקציב החברה לפיתוח 2021 '!B53</f>
        <v>2021</v>
      </c>
      <c r="C119" s="326" t="str">
        <f>'תקציב החברה לפיתוח 2021 '!C53</f>
        <v>ביכנ"ס מקדש מלך</v>
      </c>
      <c r="D119" s="173">
        <f>'תקציב החברה לפיתוח 2021 '!D53</f>
        <v>8200000</v>
      </c>
      <c r="E119" s="173">
        <f>'תקציב החברה לפיתוח 2021 '!E53</f>
        <v>8200000</v>
      </c>
      <c r="F119" s="173">
        <f>'תקציב החברה לפיתוח 2021 '!F53</f>
        <v>0</v>
      </c>
      <c r="G119" s="173">
        <f>'תקציב החברה לפיתוח 2021 '!G53</f>
        <v>150000</v>
      </c>
      <c r="H119" s="173">
        <f>'תקציב החברה לפיתוח 2021 '!H53</f>
        <v>40865</v>
      </c>
      <c r="I119" s="173">
        <f>'תקציב החברה לפיתוח 2021 '!I53</f>
        <v>0</v>
      </c>
      <c r="J119" s="173">
        <f>'תקציב החברה לפיתוח 2021 '!J53</f>
        <v>0</v>
      </c>
      <c r="K119" s="173">
        <f>'תקציב החברה לפיתוח 2021 '!K53</f>
        <v>0</v>
      </c>
      <c r="L119" s="173">
        <f>'תקציב החברה לפיתוח 2021 '!L53</f>
        <v>40865</v>
      </c>
      <c r="M119" s="173">
        <f>'תקציב החברה לפיתוח 2021 '!M53</f>
        <v>109135</v>
      </c>
      <c r="N119" s="173">
        <f>'תקציב החברה לפיתוח 2021 '!N53</f>
        <v>0</v>
      </c>
      <c r="O119" s="173">
        <f>'תקציב החברה לפיתוח 2021 '!O53</f>
        <v>8050000</v>
      </c>
      <c r="P119" s="173">
        <f>'תקציב החברה לפיתוח 2021 '!P53</f>
        <v>109135</v>
      </c>
      <c r="Q119" s="173">
        <f>'תקציב החברה לפיתוח 2021 '!Q53</f>
        <v>0</v>
      </c>
      <c r="R119" s="173">
        <f>'תקציב החברה לפיתוח 2021 '!R53</f>
        <v>0</v>
      </c>
      <c r="S119" s="173">
        <f>'תקציב החברה לפיתוח 2021 '!S53</f>
        <v>0</v>
      </c>
      <c r="T119" s="173">
        <f>'תקציב החברה לפיתוח 2021 '!T53</f>
        <v>0</v>
      </c>
      <c r="U119" s="173">
        <f>'תקציב החברה לפיתוח 2021 '!U53</f>
        <v>0</v>
      </c>
      <c r="V119" s="173">
        <f>'תקציב החברה לפיתוח 2021 '!V53</f>
        <v>0</v>
      </c>
      <c r="W119" s="173">
        <f>'תקציב החברה לפיתוח 2021 '!W53</f>
        <v>0</v>
      </c>
      <c r="X119" s="173">
        <f>'תקציב החברה לפיתוח 2021 '!X53</f>
        <v>0</v>
      </c>
      <c r="Y119" s="173">
        <f>'תקציב החברה לפיתוח 2021 '!Y53</f>
        <v>0</v>
      </c>
      <c r="Z119" s="173">
        <f>'תקציב החברה לפיתוח 2021 '!Z53</f>
        <v>0</v>
      </c>
      <c r="AA119" s="173">
        <f>'תקציב החברה לפיתוח 2021 '!AA53</f>
        <v>0</v>
      </c>
      <c r="AB119" s="293" t="str">
        <f>'תקציב החברה לפיתוח 2021 '!AB53</f>
        <v xml:space="preserve">בניית ביכנ"ס ברח' מקדש מלך. תכנון.  </v>
      </c>
      <c r="AC119" s="172">
        <f>'תקציב החברה לפיתוח 2021 '!AC53</f>
        <v>850000</v>
      </c>
    </row>
    <row r="120" spans="1:36" ht="42">
      <c r="A120" s="172">
        <f>A119+1</f>
        <v>108</v>
      </c>
      <c r="B120" s="172">
        <f>'תקציב החברה לפיתוח 2021 '!B62</f>
        <v>2076</v>
      </c>
      <c r="C120" s="326" t="str">
        <f>'תקציב החברה לפיתוח 2021 '!C62</f>
        <v>עבודות פיתוח בכנ"ס אברהם אבינו</v>
      </c>
      <c r="D120" s="173">
        <f>'תקציב החברה לפיתוח 2021 '!D62</f>
        <v>2350000</v>
      </c>
      <c r="E120" s="173">
        <f>'תקציב החברה לפיתוח 2021 '!E62</f>
        <v>1450000</v>
      </c>
      <c r="F120" s="173">
        <f>'תקציב החברה לפיתוח 2021 '!F62</f>
        <v>900000</v>
      </c>
      <c r="G120" s="173">
        <f>'תקציב החברה לפיתוח 2021 '!G62</f>
        <v>1450000</v>
      </c>
      <c r="H120" s="173">
        <f>'תקציב החברה לפיתוח 2021 '!H62</f>
        <v>35648</v>
      </c>
      <c r="I120" s="173">
        <f>'תקציב החברה לפיתוח 2021 '!I62</f>
        <v>0</v>
      </c>
      <c r="J120" s="173">
        <f>'תקציב החברה לפיתוח 2021 '!J62</f>
        <v>214350</v>
      </c>
      <c r="K120" s="173">
        <f>'תקציב החברה לפיתוח 2021 '!K62</f>
        <v>214350</v>
      </c>
      <c r="L120" s="173">
        <f>'תקציב החברה לפיתוח 2021 '!L62</f>
        <v>249998</v>
      </c>
      <c r="M120" s="173">
        <f>'תקציב החברה לפיתוח 2021 '!M62</f>
        <v>1200002</v>
      </c>
      <c r="N120" s="173">
        <f>'תקציב החברה לפיתוח 2021 '!N62</f>
        <v>0</v>
      </c>
      <c r="O120" s="173">
        <f>'תקציב החברה לפיתוח 2021 '!O62</f>
        <v>900000</v>
      </c>
      <c r="P120" s="173">
        <f>'תקציב החברה לפיתוח 2021 '!P62</f>
        <v>1200002</v>
      </c>
      <c r="Q120" s="173">
        <f>'תקציב החברה לפיתוח 2021 '!Q62</f>
        <v>0</v>
      </c>
      <c r="R120" s="173">
        <f>'תקציב החברה לפיתוח 2021 '!R62</f>
        <v>0</v>
      </c>
      <c r="S120" s="173">
        <f>'תקציב החברה לפיתוח 2021 '!S62</f>
        <v>0</v>
      </c>
      <c r="T120" s="173">
        <f>'תקציב החברה לפיתוח 2021 '!T62</f>
        <v>0</v>
      </c>
      <c r="U120" s="173">
        <f>'תקציב החברה לפיתוח 2021 '!U62</f>
        <v>0</v>
      </c>
      <c r="V120" s="173">
        <f>'תקציב החברה לפיתוח 2021 '!V62</f>
        <v>0</v>
      </c>
      <c r="W120" s="173">
        <f>'תקציב החברה לפיתוח 2021 '!W62</f>
        <v>0</v>
      </c>
      <c r="X120" s="173">
        <f>'תקציב החברה לפיתוח 2021 '!X62</f>
        <v>0</v>
      </c>
      <c r="Y120" s="173">
        <f>'תקציב החברה לפיתוח 2021 '!Y62</f>
        <v>0</v>
      </c>
      <c r="Z120" s="173">
        <f>'תקציב החברה לפיתוח 2021 '!Z62</f>
        <v>0</v>
      </c>
      <c r="AA120" s="173">
        <f>'תקציב החברה לפיתוח 2021 '!AA62</f>
        <v>0</v>
      </c>
      <c r="AB120" s="293" t="str">
        <f>'תקציב החברה לפיתוח 2021 '!AB62</f>
        <v>עבודות פיתוח ביכנ"ס "אברהם אבינו" בשכונת יד התשעה.</v>
      </c>
      <c r="AC120" s="172">
        <f>'תקציב החברה לפיתוח 2021 '!AC62</f>
        <v>850000</v>
      </c>
    </row>
    <row r="121" spans="1:36">
      <c r="A121" s="172">
        <f>A120+1</f>
        <v>109</v>
      </c>
      <c r="B121" s="172">
        <f>'תקציב החברה לפיתוח 2021 '!B100</f>
        <v>2207</v>
      </c>
      <c r="C121" s="326" t="str">
        <f>'תקציב החברה לפיתוח 2021 '!C100</f>
        <v>בית כנסת גליל ים</v>
      </c>
      <c r="D121" s="173">
        <f>'תקציב החברה לפיתוח 2021 '!D100</f>
        <v>500000</v>
      </c>
      <c r="E121" s="173">
        <f>'תקציב החברה לפיתוח 2021 '!E100</f>
        <v>0</v>
      </c>
      <c r="F121" s="173">
        <f>'תקציב החברה לפיתוח 2021 '!F100</f>
        <v>500000</v>
      </c>
      <c r="G121" s="173">
        <f>'תקציב החברה לפיתוח 2021 '!G100</f>
        <v>0</v>
      </c>
      <c r="H121" s="173">
        <f>'תקציב החברה לפיתוח 2021 '!H100</f>
        <v>0</v>
      </c>
      <c r="I121" s="173">
        <f>'תקציב החברה לפיתוח 2021 '!I100</f>
        <v>0</v>
      </c>
      <c r="J121" s="173">
        <f>'תקציב החברה לפיתוח 2021 '!J100</f>
        <v>0</v>
      </c>
      <c r="K121" s="173">
        <f>'תקציב החברה לפיתוח 2021 '!K100</f>
        <v>0</v>
      </c>
      <c r="L121" s="173">
        <f>'תקציב החברה לפיתוח 2021 '!L100</f>
        <v>0</v>
      </c>
      <c r="M121" s="173">
        <f>'תקציב החברה לפיתוח 2021 '!M100</f>
        <v>0</v>
      </c>
      <c r="N121" s="173">
        <f>'תקציב החברה לפיתוח 2021 '!N100</f>
        <v>500000</v>
      </c>
      <c r="O121" s="173">
        <f>'תקציב החברה לפיתוח 2021 '!O100</f>
        <v>0</v>
      </c>
      <c r="P121" s="173">
        <f>'תקציב החברה לפיתוח 2021 '!P100</f>
        <v>0</v>
      </c>
      <c r="Q121" s="173">
        <f>'תקציב החברה לפיתוח 2021 '!Q100</f>
        <v>0</v>
      </c>
      <c r="R121" s="173">
        <f>'תקציב החברה לפיתוח 2021 '!R100</f>
        <v>0</v>
      </c>
      <c r="S121" s="173">
        <f>'תקציב החברה לפיתוח 2021 '!S100</f>
        <v>0</v>
      </c>
      <c r="T121" s="173">
        <f>'תקציב החברה לפיתוח 2021 '!T100</f>
        <v>0</v>
      </c>
      <c r="U121" s="173">
        <f>'תקציב החברה לפיתוח 2021 '!U100</f>
        <v>500000</v>
      </c>
      <c r="V121" s="173">
        <f>'תקציב החברה לפיתוח 2021 '!V100</f>
        <v>500000</v>
      </c>
      <c r="W121" s="173">
        <f>'תקציב החברה לפיתוח 2021 '!W100</f>
        <v>0</v>
      </c>
      <c r="X121" s="173">
        <f>'תקציב החברה לפיתוח 2021 '!X100</f>
        <v>0</v>
      </c>
      <c r="Y121" s="173">
        <f>'תקציב החברה לפיתוח 2021 '!Y100</f>
        <v>0</v>
      </c>
      <c r="Z121" s="173">
        <f>'תקציב החברה לפיתוח 2021 '!Z100</f>
        <v>0</v>
      </c>
      <c r="AA121" s="173">
        <f>'תקציב החברה לפיתוח 2021 '!AA100</f>
        <v>0</v>
      </c>
      <c r="AB121" s="293" t="str">
        <f>'תקציב החברה לפיתוח 2021 '!AB100</f>
        <v>תכנון ביכנ"ס במתחם גליל ים.</v>
      </c>
      <c r="AC121" s="172">
        <f>'תקציב החברה לפיתוח 2021 '!AC100</f>
        <v>850000</v>
      </c>
    </row>
    <row r="122" spans="1:36">
      <c r="A122" s="172">
        <f>A121+1</f>
        <v>110</v>
      </c>
      <c r="B122" s="172">
        <f>'תקציב החברה לפיתוח 2021 '!B101</f>
        <v>2208</v>
      </c>
      <c r="C122" s="326" t="str">
        <f>'תקציב החברה לפיתוח 2021 '!C101</f>
        <v>מקווה גליל ים</v>
      </c>
      <c r="D122" s="173">
        <f>'תקציב החברה לפיתוח 2021 '!D101</f>
        <v>500000</v>
      </c>
      <c r="E122" s="173">
        <f>'תקציב החברה לפיתוח 2021 '!E101</f>
        <v>0</v>
      </c>
      <c r="F122" s="173">
        <f>'תקציב החברה לפיתוח 2021 '!F101</f>
        <v>500000</v>
      </c>
      <c r="G122" s="173">
        <f>'תקציב החברה לפיתוח 2021 '!G101</f>
        <v>0</v>
      </c>
      <c r="H122" s="173">
        <f>'תקציב החברה לפיתוח 2021 '!H101</f>
        <v>0</v>
      </c>
      <c r="I122" s="173">
        <f>'תקציב החברה לפיתוח 2021 '!I101</f>
        <v>0</v>
      </c>
      <c r="J122" s="173">
        <f>'תקציב החברה לפיתוח 2021 '!J101</f>
        <v>0</v>
      </c>
      <c r="K122" s="173">
        <f>'תקציב החברה לפיתוח 2021 '!K101</f>
        <v>0</v>
      </c>
      <c r="L122" s="173">
        <f>'תקציב החברה לפיתוח 2021 '!L101</f>
        <v>0</v>
      </c>
      <c r="M122" s="173">
        <f>'תקציב החברה לפיתוח 2021 '!M101</f>
        <v>0</v>
      </c>
      <c r="N122" s="173">
        <f>'תקציב החברה לפיתוח 2021 '!N101</f>
        <v>500000</v>
      </c>
      <c r="O122" s="173">
        <f>'תקציב החברה לפיתוח 2021 '!O101</f>
        <v>0</v>
      </c>
      <c r="P122" s="173">
        <f>'תקציב החברה לפיתוח 2021 '!P101</f>
        <v>0</v>
      </c>
      <c r="Q122" s="173">
        <f>'תקציב החברה לפיתוח 2021 '!Q101</f>
        <v>0</v>
      </c>
      <c r="R122" s="173">
        <f>'תקציב החברה לפיתוח 2021 '!R101</f>
        <v>0</v>
      </c>
      <c r="S122" s="173">
        <f>'תקציב החברה לפיתוח 2021 '!S101</f>
        <v>0</v>
      </c>
      <c r="T122" s="173">
        <f>'תקציב החברה לפיתוח 2021 '!T101</f>
        <v>0</v>
      </c>
      <c r="U122" s="173">
        <f>'תקציב החברה לפיתוח 2021 '!U101</f>
        <v>500000</v>
      </c>
      <c r="V122" s="173">
        <f>'תקציב החברה לפיתוח 2021 '!V101</f>
        <v>500000</v>
      </c>
      <c r="W122" s="173">
        <f>'תקציב החברה לפיתוח 2021 '!W101</f>
        <v>0</v>
      </c>
      <c r="X122" s="173">
        <f>'תקציב החברה לפיתוח 2021 '!X101</f>
        <v>0</v>
      </c>
      <c r="Y122" s="173">
        <f>'תקציב החברה לפיתוח 2021 '!Y101</f>
        <v>0</v>
      </c>
      <c r="Z122" s="173">
        <f>'תקציב החברה לפיתוח 2021 '!Z101</f>
        <v>0</v>
      </c>
      <c r="AA122" s="173">
        <f>'תקציב החברה לפיתוח 2021 '!AA101</f>
        <v>0</v>
      </c>
      <c r="AB122" s="293" t="str">
        <f>'תקציב החברה לפיתוח 2021 '!AB101</f>
        <v>תכנון מקווה במתחם גליל ים.</v>
      </c>
      <c r="AC122" s="172">
        <f>'תקציב החברה לפיתוח 2021 '!AC101</f>
        <v>850000</v>
      </c>
    </row>
    <row r="123" spans="1:36" s="345" customFormat="1">
      <c r="A123" s="291"/>
      <c r="B123" s="291"/>
      <c r="C123" s="423" t="s">
        <v>1485</v>
      </c>
      <c r="D123" s="350">
        <f>SUM(D119:D122)</f>
        <v>11550000</v>
      </c>
      <c r="E123" s="350">
        <f t="shared" ref="E123:AA123" si="12">SUM(E119:E122)</f>
        <v>9650000</v>
      </c>
      <c r="F123" s="350">
        <f t="shared" si="12"/>
        <v>1900000</v>
      </c>
      <c r="G123" s="350">
        <f t="shared" si="12"/>
        <v>1600000</v>
      </c>
      <c r="H123" s="350">
        <f t="shared" si="12"/>
        <v>76513</v>
      </c>
      <c r="I123" s="350">
        <f t="shared" si="12"/>
        <v>0</v>
      </c>
      <c r="J123" s="350">
        <f t="shared" si="12"/>
        <v>214350</v>
      </c>
      <c r="K123" s="350">
        <f t="shared" si="12"/>
        <v>214350</v>
      </c>
      <c r="L123" s="350">
        <f t="shared" si="12"/>
        <v>290863</v>
      </c>
      <c r="M123" s="350">
        <f t="shared" si="12"/>
        <v>1309137</v>
      </c>
      <c r="N123" s="350">
        <f t="shared" si="12"/>
        <v>1000000</v>
      </c>
      <c r="O123" s="350">
        <f t="shared" si="12"/>
        <v>8950000</v>
      </c>
      <c r="P123" s="350">
        <f t="shared" si="12"/>
        <v>1309137</v>
      </c>
      <c r="Q123" s="350">
        <f t="shared" si="12"/>
        <v>0</v>
      </c>
      <c r="R123" s="350">
        <f t="shared" si="12"/>
        <v>0</v>
      </c>
      <c r="S123" s="350">
        <f t="shared" si="12"/>
        <v>0</v>
      </c>
      <c r="T123" s="350">
        <f t="shared" si="12"/>
        <v>0</v>
      </c>
      <c r="U123" s="350">
        <f t="shared" si="12"/>
        <v>1000000</v>
      </c>
      <c r="V123" s="350">
        <f t="shared" si="12"/>
        <v>1000000</v>
      </c>
      <c r="W123" s="350">
        <f t="shared" si="12"/>
        <v>0</v>
      </c>
      <c r="X123" s="350">
        <f t="shared" si="12"/>
        <v>0</v>
      </c>
      <c r="Y123" s="350">
        <f t="shared" si="12"/>
        <v>0</v>
      </c>
      <c r="Z123" s="350">
        <f t="shared" si="12"/>
        <v>0</v>
      </c>
      <c r="AA123" s="350">
        <f t="shared" si="12"/>
        <v>0</v>
      </c>
      <c r="AB123" s="352"/>
      <c r="AC123" s="291"/>
      <c r="AD123" s="334"/>
      <c r="AE123" s="334"/>
    </row>
    <row r="124" spans="1:36" ht="70">
      <c r="A124" s="172">
        <f>A122+1</f>
        <v>111</v>
      </c>
      <c r="B124" s="172">
        <f>'תקציב החברה לפיתוח 2021 '!B44</f>
        <v>1998</v>
      </c>
      <c r="C124" s="326" t="str">
        <f>'תקציב החברה לפיתוח 2021 '!C44</f>
        <v>פרויקט השכרת אופניים</v>
      </c>
      <c r="D124" s="173">
        <f>'תקציב החברה לפיתוח 2021 '!D44</f>
        <v>4630000</v>
      </c>
      <c r="E124" s="173">
        <f>'תקציב החברה לפיתוח 2021 '!E44</f>
        <v>4630000</v>
      </c>
      <c r="F124" s="173">
        <f>'תקציב החברה לפיתוח 2021 '!F44</f>
        <v>0</v>
      </c>
      <c r="G124" s="173">
        <f>'תקציב החברה לפיתוח 2021 '!G44</f>
        <v>150000</v>
      </c>
      <c r="H124" s="173">
        <f>'תקציב החברה לפיתוח 2021 '!H44</f>
        <v>12799</v>
      </c>
      <c r="I124" s="173">
        <f>'תקציב החברה לפיתוח 2021 '!I44</f>
        <v>0</v>
      </c>
      <c r="J124" s="173">
        <f>'תקציב החברה לפיתוח 2021 '!J44</f>
        <v>137200</v>
      </c>
      <c r="K124" s="173">
        <f>'תקציב החברה לפיתוח 2021 '!K44</f>
        <v>137200</v>
      </c>
      <c r="L124" s="173">
        <f>'תקציב החברה לפיתוח 2021 '!L44</f>
        <v>149999</v>
      </c>
      <c r="M124" s="173">
        <f>'תקציב החברה לפיתוח 2021 '!M44</f>
        <v>1</v>
      </c>
      <c r="N124" s="173">
        <f>'תקציב החברה לפיתוח 2021 '!N44</f>
        <v>2500000</v>
      </c>
      <c r="O124" s="173">
        <f>'תקציב החברה לפיתוח 2021 '!O44</f>
        <v>1980000</v>
      </c>
      <c r="P124" s="173">
        <f>'תקציב החברה לפיתוח 2021 '!P44</f>
        <v>1</v>
      </c>
      <c r="Q124" s="173">
        <f>'תקציב החברה לפיתוח 2021 '!Q44</f>
        <v>0</v>
      </c>
      <c r="R124" s="173">
        <f>'תקציב החברה לפיתוח 2021 '!R44</f>
        <v>0</v>
      </c>
      <c r="S124" s="173">
        <f>'תקציב החברה לפיתוח 2021 '!S44</f>
        <v>0</v>
      </c>
      <c r="T124" s="173">
        <f>'תקציב החברה לפיתוח 2021 '!T44</f>
        <v>0</v>
      </c>
      <c r="U124" s="173">
        <f>'תקציב החברה לפיתוח 2021 '!U44</f>
        <v>2500000</v>
      </c>
      <c r="V124" s="173">
        <f>'תקציב החברה לפיתוח 2021 '!V44</f>
        <v>1500000</v>
      </c>
      <c r="W124" s="173">
        <f>'תקציב החברה לפיתוח 2021 '!W44</f>
        <v>0</v>
      </c>
      <c r="X124" s="173">
        <f>'תקציב החברה לפיתוח 2021 '!X44</f>
        <v>0</v>
      </c>
      <c r="Y124" s="173">
        <f>'תקציב החברה לפיתוח 2021 '!Y44</f>
        <v>0</v>
      </c>
      <c r="Z124" s="173">
        <f>'תקציב החברה לפיתוח 2021 '!Z44</f>
        <v>0</v>
      </c>
      <c r="AA124" s="173">
        <f>'תקציב החברה לפיתוח 2021 '!AA44</f>
        <v>1000000</v>
      </c>
      <c r="AB124" s="293" t="str">
        <f>'תקציב החברה לפיתוח 2021 '!AB44</f>
        <v>הקמת מע.השכרת אופניים ברחבי העיר ובאיזור התעסוקה, חלק מתוכנית אב להפחתת פליטות גזי חממה. מימון מ.להגנת הסביבה.</v>
      </c>
      <c r="AC124" s="172">
        <f>'תקציב החברה לפיתוח 2021 '!AC44</f>
        <v>870000</v>
      </c>
    </row>
    <row r="125" spans="1:36" s="345" customFormat="1">
      <c r="A125" s="291"/>
      <c r="B125" s="291"/>
      <c r="C125" s="423" t="s">
        <v>1486</v>
      </c>
      <c r="D125" s="350">
        <f>SUM(D124)</f>
        <v>4630000</v>
      </c>
      <c r="E125" s="350">
        <f t="shared" ref="E125:AA125" si="13">SUM(E124)</f>
        <v>4630000</v>
      </c>
      <c r="F125" s="350">
        <f t="shared" si="13"/>
        <v>0</v>
      </c>
      <c r="G125" s="350">
        <f t="shared" si="13"/>
        <v>150000</v>
      </c>
      <c r="H125" s="350">
        <f t="shared" si="13"/>
        <v>12799</v>
      </c>
      <c r="I125" s="350">
        <f t="shared" si="13"/>
        <v>0</v>
      </c>
      <c r="J125" s="350">
        <f t="shared" si="13"/>
        <v>137200</v>
      </c>
      <c r="K125" s="350">
        <f t="shared" si="13"/>
        <v>137200</v>
      </c>
      <c r="L125" s="350">
        <f t="shared" si="13"/>
        <v>149999</v>
      </c>
      <c r="M125" s="350">
        <f t="shared" si="13"/>
        <v>1</v>
      </c>
      <c r="N125" s="350">
        <f t="shared" si="13"/>
        <v>2500000</v>
      </c>
      <c r="O125" s="350">
        <f t="shared" si="13"/>
        <v>1980000</v>
      </c>
      <c r="P125" s="350">
        <f t="shared" si="13"/>
        <v>1</v>
      </c>
      <c r="Q125" s="350">
        <f t="shared" si="13"/>
        <v>0</v>
      </c>
      <c r="R125" s="350">
        <f t="shared" si="13"/>
        <v>0</v>
      </c>
      <c r="S125" s="350">
        <f t="shared" si="13"/>
        <v>0</v>
      </c>
      <c r="T125" s="350">
        <f t="shared" si="13"/>
        <v>0</v>
      </c>
      <c r="U125" s="350">
        <f t="shared" si="13"/>
        <v>2500000</v>
      </c>
      <c r="V125" s="350">
        <f t="shared" si="13"/>
        <v>1500000</v>
      </c>
      <c r="W125" s="350">
        <f t="shared" si="13"/>
        <v>0</v>
      </c>
      <c r="X125" s="350">
        <f t="shared" si="13"/>
        <v>0</v>
      </c>
      <c r="Y125" s="350">
        <f t="shared" si="13"/>
        <v>0</v>
      </c>
      <c r="Z125" s="350">
        <f t="shared" si="13"/>
        <v>0</v>
      </c>
      <c r="AA125" s="350">
        <f t="shared" si="13"/>
        <v>1000000</v>
      </c>
      <c r="AB125" s="352"/>
      <c r="AC125" s="291"/>
      <c r="AD125" s="334"/>
      <c r="AE125" s="334"/>
    </row>
    <row r="126" spans="1:36" ht="28">
      <c r="A126" s="172">
        <f>A124+1</f>
        <v>112</v>
      </c>
      <c r="B126" s="172">
        <f>'תקציב החברה לפיתוח 2021 '!B13</f>
        <v>1312</v>
      </c>
      <c r="C126" s="326" t="str">
        <f>'תקציב החברה לפיתוח 2021 '!C13</f>
        <v>השלמת מבנה העיריה החדש</v>
      </c>
      <c r="D126" s="173">
        <f>'תקציב החברה לפיתוח 2021 '!D13</f>
        <v>107231000</v>
      </c>
      <c r="E126" s="173">
        <f>'תקציב החברה לפיתוח 2021 '!E13</f>
        <v>109500000</v>
      </c>
      <c r="F126" s="173">
        <f>'תקציב החברה לפיתוח 2021 '!F13</f>
        <v>-2269000</v>
      </c>
      <c r="G126" s="173">
        <f>'תקציב החברה לפיתוח 2021 '!G13</f>
        <v>107980000</v>
      </c>
      <c r="H126" s="173">
        <f>'תקציב החברה לפיתוח 2021 '!H13</f>
        <v>104133024</v>
      </c>
      <c r="I126" s="173">
        <f>'תקציב החברה לפיתוח 2021 '!I13</f>
        <v>0</v>
      </c>
      <c r="J126" s="173">
        <f>'תקציב החברה לפיתוח 2021 '!J13</f>
        <v>97843</v>
      </c>
      <c r="K126" s="173">
        <f>'תקציב החברה לפיתוח 2021 '!K13</f>
        <v>97843</v>
      </c>
      <c r="L126" s="173">
        <f>'תקציב החברה לפיתוח 2021 '!L13</f>
        <v>104230867</v>
      </c>
      <c r="M126" s="173">
        <f>'תקציב החברה לפיתוח 2021 '!M13</f>
        <v>133</v>
      </c>
      <c r="N126" s="173">
        <f>'תקציב החברה לפיתוח 2021 '!N13</f>
        <v>3000000</v>
      </c>
      <c r="O126" s="173">
        <f>'תקציב החברה לפיתוח 2021 '!O13</f>
        <v>0</v>
      </c>
      <c r="P126" s="173">
        <f>'תקציב החברה לפיתוח 2021 '!P13</f>
        <v>3749133</v>
      </c>
      <c r="Q126" s="173">
        <f>'תקציב החברה לפיתוח 2021 '!Q13</f>
        <v>0</v>
      </c>
      <c r="R126" s="173">
        <f>'תקציב החברה לפיתוח 2021 '!R13</f>
        <v>0</v>
      </c>
      <c r="S126" s="173">
        <f>'תקציב החברה לפיתוח 2021 '!S13</f>
        <v>0</v>
      </c>
      <c r="T126" s="173">
        <f>'תקציב החברה לפיתוח 2021 '!T13</f>
        <v>3749000</v>
      </c>
      <c r="U126" s="173">
        <f>'תקציב החברה לפיתוח 2021 '!U13</f>
        <v>-749000</v>
      </c>
      <c r="V126" s="173">
        <f>'תקציב החברה לפיתוח 2021 '!V13</f>
        <v>-749000</v>
      </c>
      <c r="W126" s="173">
        <f>'תקציב החברה לפיתוח 2021 '!W13</f>
        <v>0</v>
      </c>
      <c r="X126" s="173">
        <f>'תקציב החברה לפיתוח 2021 '!X13</f>
        <v>0</v>
      </c>
      <c r="Y126" s="173">
        <f>'תקציב החברה לפיתוח 2021 '!Y13</f>
        <v>0</v>
      </c>
      <c r="Z126" s="173">
        <f>'תקציב החברה לפיתוח 2021 '!Z13</f>
        <v>0</v>
      </c>
      <c r="AA126" s="173">
        <f>'תקציב החברה לפיתוח 2021 '!AA13</f>
        <v>0</v>
      </c>
      <c r="AB126" s="293" t="str">
        <f>'תקציב החברה לפיתוח 2021 '!AB13</f>
        <v>בנין העיריה החדש.  שידרוג קומה 3 ו 4 מינהל הנדסה.</v>
      </c>
      <c r="AC126" s="172">
        <f>'תקציב החברה לפיתוח 2021 '!AC13</f>
        <v>930000</v>
      </c>
    </row>
    <row r="127" spans="1:36" s="345" customFormat="1">
      <c r="A127" s="291"/>
      <c r="B127" s="291"/>
      <c r="C127" s="423" t="s">
        <v>1487</v>
      </c>
      <c r="D127" s="350">
        <f>SUM(D126)</f>
        <v>107231000</v>
      </c>
      <c r="E127" s="350">
        <f t="shared" ref="E127:AA127" si="14">SUM(E126)</f>
        <v>109500000</v>
      </c>
      <c r="F127" s="350">
        <f t="shared" si="14"/>
        <v>-2269000</v>
      </c>
      <c r="G127" s="350">
        <f t="shared" si="14"/>
        <v>107980000</v>
      </c>
      <c r="H127" s="350">
        <f t="shared" si="14"/>
        <v>104133024</v>
      </c>
      <c r="I127" s="350">
        <f t="shared" si="14"/>
        <v>0</v>
      </c>
      <c r="J127" s="350">
        <f t="shared" si="14"/>
        <v>97843</v>
      </c>
      <c r="K127" s="350">
        <f t="shared" si="14"/>
        <v>97843</v>
      </c>
      <c r="L127" s="350">
        <f t="shared" si="14"/>
        <v>104230867</v>
      </c>
      <c r="M127" s="350">
        <f t="shared" si="14"/>
        <v>133</v>
      </c>
      <c r="N127" s="350">
        <f t="shared" si="14"/>
        <v>3000000</v>
      </c>
      <c r="O127" s="350">
        <f t="shared" si="14"/>
        <v>0</v>
      </c>
      <c r="P127" s="350">
        <f t="shared" si="14"/>
        <v>3749133</v>
      </c>
      <c r="Q127" s="350">
        <f t="shared" si="14"/>
        <v>0</v>
      </c>
      <c r="R127" s="350">
        <f t="shared" si="14"/>
        <v>0</v>
      </c>
      <c r="S127" s="350">
        <f t="shared" si="14"/>
        <v>0</v>
      </c>
      <c r="T127" s="350">
        <f t="shared" si="14"/>
        <v>3749000</v>
      </c>
      <c r="U127" s="350">
        <f t="shared" si="14"/>
        <v>-749000</v>
      </c>
      <c r="V127" s="350">
        <f t="shared" si="14"/>
        <v>-749000</v>
      </c>
      <c r="W127" s="350">
        <f t="shared" si="14"/>
        <v>0</v>
      </c>
      <c r="X127" s="350">
        <f t="shared" si="14"/>
        <v>0</v>
      </c>
      <c r="Y127" s="350">
        <f t="shared" si="14"/>
        <v>0</v>
      </c>
      <c r="Z127" s="350">
        <f t="shared" si="14"/>
        <v>0</v>
      </c>
      <c r="AA127" s="350">
        <f t="shared" si="14"/>
        <v>0</v>
      </c>
      <c r="AB127" s="352"/>
      <c r="AC127" s="291"/>
      <c r="AD127" s="334"/>
      <c r="AE127" s="334"/>
    </row>
    <row r="128" spans="1:36">
      <c r="A128" s="178"/>
      <c r="B128" s="295"/>
      <c r="C128" s="192" t="s">
        <v>960</v>
      </c>
      <c r="D128" s="180">
        <f>D127+D125+D123+D118+D114+D97+D65+D63+D61+D57+D11</f>
        <v>3016552982</v>
      </c>
      <c r="E128" s="180">
        <f t="shared" ref="E128:AA128" si="15">E127+E125+E123+E118+E114+E97+E65+E63+E61+E57+E11</f>
        <v>2814020125</v>
      </c>
      <c r="F128" s="180">
        <f t="shared" si="15"/>
        <v>202532857</v>
      </c>
      <c r="G128" s="180">
        <f t="shared" si="15"/>
        <v>1302929053</v>
      </c>
      <c r="H128" s="180">
        <f t="shared" si="15"/>
        <v>954337610</v>
      </c>
      <c r="I128" s="180">
        <f t="shared" si="15"/>
        <v>3498227</v>
      </c>
      <c r="J128" s="180">
        <f t="shared" si="15"/>
        <v>46047637</v>
      </c>
      <c r="K128" s="180">
        <f t="shared" si="15"/>
        <v>49545864</v>
      </c>
      <c r="L128" s="180">
        <f t="shared" si="15"/>
        <v>1003883474</v>
      </c>
      <c r="M128" s="180">
        <f t="shared" si="15"/>
        <v>334368675</v>
      </c>
      <c r="N128" s="180">
        <f t="shared" si="15"/>
        <v>355041039</v>
      </c>
      <c r="O128" s="180">
        <f t="shared" si="15"/>
        <v>1323259794</v>
      </c>
      <c r="P128" s="180">
        <f t="shared" si="15"/>
        <v>299045579</v>
      </c>
      <c r="Q128" s="180">
        <f t="shared" si="15"/>
        <v>74272096</v>
      </c>
      <c r="R128" s="180">
        <f t="shared" si="15"/>
        <v>0</v>
      </c>
      <c r="S128" s="180">
        <f t="shared" si="15"/>
        <v>74272096</v>
      </c>
      <c r="T128" s="180">
        <f t="shared" si="15"/>
        <v>38949000</v>
      </c>
      <c r="U128" s="180">
        <f t="shared" si="15"/>
        <v>316092039</v>
      </c>
      <c r="V128" s="180">
        <f t="shared" si="15"/>
        <v>205348607</v>
      </c>
      <c r="W128" s="180">
        <f t="shared" si="15"/>
        <v>0</v>
      </c>
      <c r="X128" s="180">
        <f t="shared" si="15"/>
        <v>0</v>
      </c>
      <c r="Y128" s="180">
        <f t="shared" si="15"/>
        <v>18000000</v>
      </c>
      <c r="Z128" s="180">
        <f t="shared" si="15"/>
        <v>0</v>
      </c>
      <c r="AA128" s="180">
        <f t="shared" si="15"/>
        <v>92743432</v>
      </c>
      <c r="AB128" s="169">
        <f>SUM(AB20:AB81)</f>
        <v>0</v>
      </c>
      <c r="AC128" s="172"/>
    </row>
    <row r="129" spans="6:20" hidden="1">
      <c r="F129" s="299"/>
      <c r="G129" s="299"/>
      <c r="H129" s="299"/>
      <c r="I129" s="299"/>
      <c r="J129" s="299"/>
      <c r="K129" s="299"/>
      <c r="L129" s="299" t="e">
        <f>#REF!+#REF!</f>
        <v>#REF!</v>
      </c>
      <c r="M129" s="299" t="e">
        <f>P129+#REF!-#REF!</f>
        <v>#REF!</v>
      </c>
      <c r="N129" s="299"/>
      <c r="O129" s="299"/>
      <c r="P129" s="299" t="e">
        <f>#REF!-L129</f>
        <v>#REF!</v>
      </c>
      <c r="Q129" s="299"/>
      <c r="R129" s="298"/>
      <c r="S129" s="299"/>
      <c r="T129" s="299" t="e">
        <f>#REF!+#REF!-#REF!</f>
        <v>#REF!</v>
      </c>
    </row>
    <row r="130" spans="6:20" hidden="1"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>
        <v>74272096</v>
      </c>
      <c r="R130" s="298"/>
      <c r="S130" s="299"/>
      <c r="T130" s="299"/>
    </row>
    <row r="131" spans="6:20"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8"/>
      <c r="S131" s="299"/>
      <c r="T131" s="299"/>
    </row>
    <row r="132" spans="6:20"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</row>
    <row r="133" spans="6:20"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300"/>
      <c r="S133" s="299"/>
      <c r="T133" s="299"/>
    </row>
    <row r="134" spans="6:20"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</row>
    <row r="135" spans="6:20"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</row>
    <row r="136" spans="6:20">
      <c r="F136" s="299"/>
      <c r="G136" s="2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299"/>
      <c r="T136" s="299"/>
    </row>
    <row r="137" spans="6:20">
      <c r="F137" s="299"/>
      <c r="G137" s="299"/>
      <c r="H137" s="299"/>
      <c r="I137" s="299"/>
      <c r="J137" s="299"/>
      <c r="K137" s="299"/>
      <c r="L137" s="299"/>
      <c r="M137" s="299"/>
      <c r="N137" s="299"/>
      <c r="O137" s="299"/>
      <c r="P137" s="299"/>
      <c r="Q137" s="179"/>
      <c r="R137" s="299"/>
      <c r="S137" s="299"/>
      <c r="T137" s="299"/>
    </row>
    <row r="138" spans="6:20">
      <c r="F138" s="299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99"/>
      <c r="S138" s="299"/>
      <c r="T138" s="299"/>
    </row>
    <row r="139" spans="6:20"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</row>
    <row r="140" spans="6:20">
      <c r="F140" s="299"/>
      <c r="G140" s="299"/>
      <c r="H140" s="299"/>
      <c r="I140" s="299"/>
      <c r="J140" s="299"/>
      <c r="K140" s="299"/>
      <c r="L140" s="299"/>
      <c r="M140" s="299"/>
      <c r="N140" s="299"/>
      <c r="O140" s="299"/>
      <c r="P140" s="299"/>
      <c r="Q140" s="299"/>
      <c r="R140" s="299"/>
      <c r="S140" s="299"/>
      <c r="T140" s="299"/>
    </row>
    <row r="141" spans="6:20">
      <c r="F141" s="299"/>
      <c r="G141" s="2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179"/>
      <c r="S141" s="299"/>
      <c r="T141" s="299"/>
    </row>
    <row r="142" spans="6:20">
      <c r="F142" s="299"/>
      <c r="G142" s="299"/>
      <c r="H142" s="299"/>
      <c r="I142" s="299"/>
      <c r="J142" s="299"/>
      <c r="K142" s="299"/>
      <c r="L142" s="299"/>
      <c r="M142" s="299"/>
      <c r="N142" s="299"/>
      <c r="O142" s="299"/>
      <c r="P142" s="299"/>
      <c r="Q142" s="299"/>
      <c r="R142" s="299"/>
      <c r="S142" s="299"/>
      <c r="T142" s="299"/>
    </row>
    <row r="143" spans="6:20">
      <c r="F143" s="299"/>
      <c r="G143" s="2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</row>
    <row r="144" spans="6:20">
      <c r="F144" s="299"/>
      <c r="G144" s="299"/>
      <c r="H144" s="299"/>
      <c r="I144" s="299"/>
      <c r="J144" s="299"/>
      <c r="K144" s="299"/>
      <c r="L144" s="299"/>
      <c r="M144" s="299"/>
      <c r="N144" s="299"/>
      <c r="O144" s="299"/>
      <c r="P144" s="299"/>
      <c r="Q144" s="299"/>
      <c r="R144" s="299"/>
      <c r="S144" s="299"/>
      <c r="T144" s="299"/>
    </row>
    <row r="145" spans="6:20">
      <c r="F145" s="299"/>
      <c r="G145" s="299"/>
      <c r="H145" s="299"/>
      <c r="I145" s="299"/>
      <c r="J145" s="299"/>
      <c r="K145" s="299"/>
      <c r="L145" s="299"/>
      <c r="M145" s="299"/>
      <c r="N145" s="299"/>
      <c r="O145" s="299"/>
      <c r="P145" s="299"/>
      <c r="Q145" s="299"/>
      <c r="R145" s="299"/>
      <c r="S145" s="299"/>
      <c r="T145" s="299"/>
    </row>
  </sheetData>
  <sheetProtection formatCells="0" formatColumns="0" formatRows="0" insertColumns="0" insertRows="0" insertHyperlinks="0" deleteColumns="0" deleteRows="0" sort="0" autoFilter="0" pivotTables="0"/>
  <sortState ref="A5:AJ120">
    <sortCondition ref="AC5:AC120"/>
  </sortState>
  <conditionalFormatting sqref="AB4">
    <cfRule type="cellIs" dxfId="23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Zeros="0" rightToLeft="1" topLeftCell="A10" zoomScaleNormal="100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8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2" spans="1:17" ht="20.5">
      <c r="E2" s="234"/>
    </row>
    <row r="3" spans="1:17" ht="20.5">
      <c r="A3" s="232"/>
      <c r="C3" s="234" t="s">
        <v>189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1180</v>
      </c>
      <c r="D5" s="232"/>
      <c r="E5" s="232"/>
      <c r="F5" s="236">
        <f>'תקציב אגף ת.ב.ל 2021  '!U65</f>
        <v>67581300</v>
      </c>
      <c r="I5" s="232"/>
      <c r="J5" s="232"/>
      <c r="K5" s="232"/>
      <c r="L5" s="232"/>
    </row>
    <row r="6" spans="1:17" ht="15" customHeight="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320</v>
      </c>
      <c r="D7" s="232"/>
      <c r="F7" s="244">
        <f>'תקציב אגף ת.ב.ל 2021  '!A65</f>
        <v>60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310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6" thickBot="1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D11" s="245" t="s">
        <v>311</v>
      </c>
      <c r="E11" s="246" t="s">
        <v>312</v>
      </c>
      <c r="F11" s="247" t="s">
        <v>314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235"/>
      <c r="D12" s="239" t="s">
        <v>13</v>
      </c>
      <c r="E12" s="248">
        <f>'תקציב אגף ת.ב.ל 2021  '!V65</f>
        <v>22191300</v>
      </c>
      <c r="F12" s="276">
        <f>E12/$E$16</f>
        <v>0.32836450319836996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235"/>
      <c r="D13" s="239" t="s">
        <v>14</v>
      </c>
      <c r="E13" s="248">
        <f>'תקציב אגף ת.ב.ל 2021  '!W65</f>
        <v>24724113</v>
      </c>
      <c r="F13" s="276">
        <f>E13/$E$16</f>
        <v>0.36584251856652655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C14" s="235"/>
      <c r="D14" s="239" t="s">
        <v>1391</v>
      </c>
      <c r="E14" s="248">
        <f>'תקציב אגף ת.ב.ל 2021  '!Z65</f>
        <v>7100000</v>
      </c>
      <c r="F14" s="276">
        <f>E14/$E$16</f>
        <v>0.10505864788040478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91</v>
      </c>
      <c r="E15" s="248">
        <f>'תקציב אגף ת.ב.ל 2021  '!AA65</f>
        <v>13565887</v>
      </c>
      <c r="F15" s="276">
        <f>E15/$E$16</f>
        <v>0.2007343303546987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6" thickBot="1">
      <c r="C16" s="235"/>
      <c r="D16" s="242" t="s">
        <v>105</v>
      </c>
      <c r="E16" s="250">
        <f>SUM(E12:E15)</f>
        <v>67581300</v>
      </c>
      <c r="F16" s="348">
        <f>SUM(F12:F15)</f>
        <v>1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B17" s="235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s="338" customFormat="1" ht="15.5">
      <c r="C18" s="340" t="s">
        <v>187</v>
      </c>
      <c r="D18" s="337" t="s">
        <v>1466</v>
      </c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</row>
    <row r="19" spans="1:17" s="338" customFormat="1" ht="15.5">
      <c r="C19" s="340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</row>
    <row r="20" spans="1:17" s="338" customFormat="1" ht="15.5">
      <c r="A20" s="337"/>
      <c r="B20" s="337"/>
      <c r="C20" s="337"/>
      <c r="D20" s="415" t="s">
        <v>1489</v>
      </c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</row>
    <row r="21" spans="1:17" s="338" customFormat="1" ht="15.5">
      <c r="A21" s="337"/>
      <c r="B21" s="337"/>
      <c r="C21" s="337"/>
      <c r="D21" s="415" t="s">
        <v>1491</v>
      </c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17" ht="15.5">
      <c r="C22" s="235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s="338" customFormat="1" ht="15.5">
      <c r="C23" s="340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  <row r="24" spans="1:17" s="338" customFormat="1" ht="15.5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</row>
    <row r="25" spans="1:17" s="338" customFormat="1" ht="15.5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</row>
    <row r="26" spans="1:17" ht="15.5">
      <c r="A26" s="243"/>
      <c r="B26" s="258"/>
    </row>
    <row r="27" spans="1:17" ht="15.5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s="363" customFormat="1" ht="15.5">
      <c r="C28" s="364" t="s">
        <v>187</v>
      </c>
      <c r="D28" s="365" t="s">
        <v>1659</v>
      </c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</row>
    <row r="29" spans="1:17" ht="15.5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ht="15.5">
      <c r="C30" s="232"/>
      <c r="D30" s="232"/>
      <c r="E30" s="232"/>
      <c r="F30" s="232"/>
      <c r="H30" s="232"/>
      <c r="I30" s="232"/>
      <c r="J30" s="232"/>
      <c r="K30" s="232"/>
      <c r="L30" s="232"/>
    </row>
    <row r="31" spans="1:17" ht="15.5">
      <c r="B31" s="235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Zeros="0" rightToLeft="1" topLeftCell="A19" zoomScaleNormal="100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40.0898437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2" spans="1:17" ht="20.5">
      <c r="E2" s="234"/>
    </row>
    <row r="3" spans="1:17" ht="20.5">
      <c r="A3" s="232"/>
      <c r="C3" s="234" t="s">
        <v>189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B5" s="235" t="s">
        <v>187</v>
      </c>
      <c r="C5" s="232" t="s">
        <v>1178</v>
      </c>
      <c r="D5" s="232"/>
      <c r="E5" s="232"/>
      <c r="F5" s="232"/>
      <c r="H5" s="241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6" thickBot="1">
      <c r="C6" s="232"/>
      <c r="D6" s="232"/>
      <c r="E6" s="232"/>
      <c r="F6" s="232"/>
      <c r="H6" s="232"/>
      <c r="I6" s="232"/>
      <c r="J6" s="232"/>
      <c r="K6" s="232"/>
      <c r="L6" s="232"/>
    </row>
    <row r="7" spans="1:17" ht="15.5">
      <c r="D7" s="245" t="s">
        <v>315</v>
      </c>
      <c r="E7" s="237" t="s">
        <v>312</v>
      </c>
      <c r="F7" s="238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C8" s="235"/>
      <c r="D8" s="371" t="s">
        <v>518</v>
      </c>
      <c r="E8" s="240">
        <f>'תקציב אגף ת.ב.ל 2021  '!U33</f>
        <v>17101300</v>
      </c>
      <c r="F8" s="241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C9" s="235"/>
      <c r="D9" s="252" t="s">
        <v>329</v>
      </c>
      <c r="E9" s="253">
        <f>'תקציב אגף ת.ב.ל 2021  '!U37</f>
        <v>10000000</v>
      </c>
      <c r="F9" s="241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C10" s="235"/>
      <c r="D10" s="257" t="s">
        <v>1267</v>
      </c>
      <c r="E10" s="253">
        <f>'תקציב אגף ת.ב.ל 2021  '!U58</f>
        <v>7800000</v>
      </c>
      <c r="F10" s="24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C11" s="235"/>
      <c r="D11" s="257" t="s">
        <v>1488</v>
      </c>
      <c r="E11" s="253">
        <f>'תקציב אגף ת.ב.ל 2021  '!U61</f>
        <v>7100000</v>
      </c>
      <c r="F11" s="24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6.5" customHeight="1">
      <c r="C12" s="235"/>
      <c r="D12" s="257" t="s">
        <v>1546</v>
      </c>
      <c r="E12" s="253">
        <f>'תקציב אגף ת.ב.ל 2021  '!U54</f>
        <v>5500000</v>
      </c>
      <c r="F12" s="241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235"/>
      <c r="D13" s="252" t="s">
        <v>616</v>
      </c>
      <c r="E13" s="253">
        <f>'תקציב אגף ת.ב.ל 2021  '!U12</f>
        <v>3500000</v>
      </c>
      <c r="F13" s="241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C14" s="235"/>
      <c r="D14" s="252" t="s">
        <v>1547</v>
      </c>
      <c r="E14" s="253">
        <f>'תקציב אגף ת.ב.ל 2021  '!U49</f>
        <v>2500000</v>
      </c>
      <c r="F14" s="241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52" t="s">
        <v>1275</v>
      </c>
      <c r="E15" s="253">
        <f>'תקציב אגף ת.ב.ל 2021  '!U60</f>
        <v>2000000</v>
      </c>
      <c r="F15" s="241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6" thickBot="1">
      <c r="C16" s="235"/>
      <c r="D16" s="254" t="s">
        <v>517</v>
      </c>
      <c r="E16" s="255">
        <f>'תקציב אגף ת.ב.ל 2021  '!U30</f>
        <v>1810000</v>
      </c>
      <c r="F16" s="241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B17" s="235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5.5">
      <c r="B18" s="235"/>
      <c r="C18" s="232"/>
      <c r="D18" s="355" t="s">
        <v>1492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A19" s="243"/>
      <c r="B19" s="258"/>
    </row>
    <row r="20" spans="1:17" ht="15.5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t="15.5">
      <c r="A21" s="232"/>
      <c r="B21" s="232"/>
      <c r="C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t="15.5">
      <c r="B22" s="235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38" spans="4:4" ht="15.5">
      <c r="D38" s="232"/>
    </row>
  </sheetData>
  <sortState ref="A8:Q16">
    <sortCondition descending="1" ref="E8:E16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9"/>
  <sheetViews>
    <sheetView showZeros="0" rightToLeft="1" zoomScaleNormal="100" workbookViewId="0">
      <pane xSplit="5" ySplit="4" topLeftCell="F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1796875" defaultRowHeight="14"/>
  <cols>
    <col min="1" max="1" width="3.81640625" style="29" customWidth="1"/>
    <col min="2" max="2" width="4.81640625" style="12" customWidth="1"/>
    <col min="3" max="3" width="20.6328125" style="12" customWidth="1"/>
    <col min="4" max="6" width="10.81640625" style="14" customWidth="1"/>
    <col min="7" max="11" width="10.81640625" style="14" hidden="1" customWidth="1"/>
    <col min="12" max="15" width="10.81640625" style="14" customWidth="1"/>
    <col min="16" max="19" width="10.81640625" style="14" hidden="1" customWidth="1"/>
    <col min="20" max="20" width="10.81640625" style="14" customWidth="1"/>
    <col min="21" max="23" width="10.81640625" style="12" customWidth="1"/>
    <col min="24" max="25" width="10.81640625" style="12" hidden="1" customWidth="1"/>
    <col min="26" max="27" width="10.81640625" style="12" customWidth="1"/>
    <col min="28" max="28" width="29.1796875" style="18" hidden="1" customWidth="1"/>
    <col min="29" max="29" width="7.81640625" style="12" hidden="1" customWidth="1"/>
    <col min="30" max="30" width="10.1796875" style="24" customWidth="1"/>
    <col min="31" max="31" width="9.1796875" style="24" customWidth="1"/>
    <col min="32" max="33" width="9.1796875" style="17" customWidth="1"/>
    <col min="34" max="34" width="2.1796875" style="17" customWidth="1"/>
    <col min="35" max="35" width="9.1796875" style="17" customWidth="1"/>
    <col min="36" max="36" width="10.1796875" style="17" customWidth="1"/>
    <col min="37" max="37" width="10.1796875" style="12" customWidth="1"/>
    <col min="38" max="16384" width="9.1796875" style="12"/>
  </cols>
  <sheetData>
    <row r="1" spans="1:41" s="284" customFormat="1" ht="18">
      <c r="A1" s="282"/>
      <c r="B1" s="562"/>
      <c r="C1" s="56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D1" s="24"/>
      <c r="AE1" s="24"/>
    </row>
    <row r="2" spans="1:41" s="166" customFormat="1" ht="18">
      <c r="A2" s="282" t="s">
        <v>189</v>
      </c>
      <c r="B2" s="562"/>
      <c r="C2" s="56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D2" s="24"/>
      <c r="AE2" s="24"/>
    </row>
    <row r="3" spans="1:41" ht="21.65" customHeight="1">
      <c r="B3" s="563"/>
      <c r="C3" s="563"/>
    </row>
    <row r="4" spans="1:41" s="24" customFormat="1" ht="70">
      <c r="A4" s="564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565" t="s">
        <v>344</v>
      </c>
      <c r="AC4" s="16" t="s">
        <v>16</v>
      </c>
    </row>
    <row r="5" spans="1:41" s="5" customFormat="1" ht="30" customHeight="1">
      <c r="A5" s="566">
        <v>1</v>
      </c>
      <c r="B5" s="3">
        <v>1247</v>
      </c>
      <c r="C5" s="3" t="s">
        <v>52</v>
      </c>
      <c r="D5" s="4">
        <v>9500000</v>
      </c>
      <c r="E5" s="4">
        <v>9500000</v>
      </c>
      <c r="F5" s="4">
        <f t="shared" ref="F5:F36" si="0">D5-E5</f>
        <v>0</v>
      </c>
      <c r="G5" s="4">
        <v>9050000</v>
      </c>
      <c r="H5" s="4">
        <v>8420262</v>
      </c>
      <c r="I5" s="4">
        <v>0</v>
      </c>
      <c r="J5" s="4">
        <v>528321</v>
      </c>
      <c r="K5" s="4">
        <f t="shared" ref="K5:K36" si="1">SUM(I5:J5)</f>
        <v>528321</v>
      </c>
      <c r="L5" s="4">
        <f t="shared" ref="L5:L36" si="2">K5+H5</f>
        <v>8948583</v>
      </c>
      <c r="M5" s="4">
        <f t="shared" ref="M5:M24" si="3">P5+S5</f>
        <v>101417</v>
      </c>
      <c r="N5" s="4">
        <f>450000-250000</f>
        <v>200000</v>
      </c>
      <c r="O5" s="4">
        <f t="shared" ref="O5:O36" si="4">D5-L5-M5-N5</f>
        <v>250000</v>
      </c>
      <c r="P5" s="4">
        <f t="shared" ref="P5:P36" si="5">G5-L5</f>
        <v>101417</v>
      </c>
      <c r="Q5" s="4"/>
      <c r="R5" s="4"/>
      <c r="S5" s="4">
        <f t="shared" ref="S5:S36" si="6">SUM(Q5:R5)</f>
        <v>0</v>
      </c>
      <c r="T5" s="4">
        <f t="shared" ref="T5:T36" si="7">P5-M5+S5</f>
        <v>0</v>
      </c>
      <c r="U5" s="4">
        <f t="shared" ref="U5:U36" si="8">N5-T5</f>
        <v>200000</v>
      </c>
      <c r="V5" s="4"/>
      <c r="W5" s="4">
        <f t="shared" ref="W5:W32" si="9">U5-V5-AA5</f>
        <v>200000</v>
      </c>
      <c r="X5" s="4"/>
      <c r="Y5" s="4"/>
      <c r="Z5" s="4"/>
      <c r="AA5" s="3"/>
      <c r="AB5" s="3" t="s">
        <v>1257</v>
      </c>
      <c r="AC5" s="3">
        <v>732000</v>
      </c>
      <c r="AD5" s="24"/>
      <c r="AE5" s="24"/>
      <c r="AF5" s="23"/>
      <c r="AG5" s="23"/>
      <c r="AH5" s="23"/>
      <c r="AI5" s="23"/>
      <c r="AJ5" s="22"/>
    </row>
    <row r="6" spans="1:41" s="567" customFormat="1" ht="30" customHeight="1">
      <c r="A6" s="566">
        <f>A5+1</f>
        <v>2</v>
      </c>
      <c r="B6" s="3">
        <v>1253</v>
      </c>
      <c r="C6" s="3" t="s">
        <v>53</v>
      </c>
      <c r="D6" s="4">
        <v>5200000</v>
      </c>
      <c r="E6" s="4">
        <v>5200000</v>
      </c>
      <c r="F6" s="4">
        <f t="shared" si="0"/>
        <v>0</v>
      </c>
      <c r="G6" s="4">
        <v>4600000</v>
      </c>
      <c r="H6" s="4">
        <v>4516607</v>
      </c>
      <c r="I6" s="4">
        <v>0</v>
      </c>
      <c r="J6" s="4">
        <v>18424</v>
      </c>
      <c r="K6" s="4">
        <f t="shared" si="1"/>
        <v>18424</v>
      </c>
      <c r="L6" s="4">
        <f t="shared" si="2"/>
        <v>4535031</v>
      </c>
      <c r="M6" s="4">
        <f t="shared" si="3"/>
        <v>64969</v>
      </c>
      <c r="N6" s="4">
        <v>500000</v>
      </c>
      <c r="O6" s="4">
        <f t="shared" si="4"/>
        <v>100000</v>
      </c>
      <c r="P6" s="4">
        <f t="shared" si="5"/>
        <v>64969</v>
      </c>
      <c r="Q6" s="4"/>
      <c r="R6" s="4"/>
      <c r="S6" s="4">
        <f t="shared" si="6"/>
        <v>0</v>
      </c>
      <c r="T6" s="4">
        <f t="shared" si="7"/>
        <v>0</v>
      </c>
      <c r="U6" s="4">
        <f t="shared" si="8"/>
        <v>500000</v>
      </c>
      <c r="V6" s="4"/>
      <c r="W6" s="4">
        <f t="shared" si="9"/>
        <v>500000</v>
      </c>
      <c r="X6" s="4"/>
      <c r="Y6" s="4"/>
      <c r="Z6" s="4"/>
      <c r="AA6" s="3"/>
      <c r="AB6" s="3" t="s">
        <v>399</v>
      </c>
      <c r="AC6" s="3">
        <v>850000</v>
      </c>
      <c r="AD6" s="24"/>
      <c r="AE6" s="24"/>
      <c r="AF6" s="23"/>
      <c r="AG6" s="23"/>
      <c r="AH6" s="23"/>
      <c r="AI6" s="23"/>
      <c r="AJ6" s="22"/>
      <c r="AK6" s="70"/>
      <c r="AL6" s="70"/>
      <c r="AM6" s="70"/>
      <c r="AN6" s="70"/>
      <c r="AO6" s="70"/>
    </row>
    <row r="7" spans="1:41" s="5" customFormat="1" ht="42">
      <c r="A7" s="566">
        <f t="shared" ref="A7:A64" si="10">A6+1</f>
        <v>3</v>
      </c>
      <c r="B7" s="3">
        <v>1415</v>
      </c>
      <c r="C7" s="3" t="s">
        <v>1258</v>
      </c>
      <c r="D7" s="4">
        <f>1400000+100000-100000</f>
        <v>1400000</v>
      </c>
      <c r="E7" s="4">
        <v>1200000</v>
      </c>
      <c r="F7" s="4">
        <f t="shared" si="0"/>
        <v>200000</v>
      </c>
      <c r="G7" s="4">
        <v>1200000</v>
      </c>
      <c r="H7" s="4">
        <v>1062219</v>
      </c>
      <c r="I7" s="4">
        <v>0</v>
      </c>
      <c r="J7" s="4">
        <v>82178</v>
      </c>
      <c r="K7" s="4">
        <f t="shared" si="1"/>
        <v>82178</v>
      </c>
      <c r="L7" s="4">
        <f t="shared" si="2"/>
        <v>1144397</v>
      </c>
      <c r="M7" s="4">
        <f t="shared" si="3"/>
        <v>55603</v>
      </c>
      <c r="N7" s="4">
        <f>200000+100000-100000</f>
        <v>200000</v>
      </c>
      <c r="O7" s="4">
        <f t="shared" si="4"/>
        <v>0</v>
      </c>
      <c r="P7" s="4">
        <f t="shared" si="5"/>
        <v>55603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200000</v>
      </c>
      <c r="V7" s="4"/>
      <c r="W7" s="4">
        <f t="shared" si="9"/>
        <v>200000</v>
      </c>
      <c r="X7" s="4"/>
      <c r="Y7" s="4"/>
      <c r="Z7" s="4"/>
      <c r="AA7" s="3"/>
      <c r="AB7" s="3" t="s">
        <v>1259</v>
      </c>
      <c r="AC7" s="3">
        <v>930000</v>
      </c>
      <c r="AD7" s="24"/>
      <c r="AE7" s="24"/>
      <c r="AF7" s="23"/>
      <c r="AG7" s="23"/>
      <c r="AH7" s="23"/>
      <c r="AI7" s="23"/>
      <c r="AJ7" s="22"/>
      <c r="AK7" s="567"/>
      <c r="AL7" s="567"/>
      <c r="AM7" s="567"/>
      <c r="AN7" s="567"/>
      <c r="AO7" s="567"/>
    </row>
    <row r="8" spans="1:41" s="5" customFormat="1" ht="30" customHeight="1">
      <c r="A8" s="566">
        <f t="shared" si="10"/>
        <v>4</v>
      </c>
      <c r="B8" s="3">
        <v>1416</v>
      </c>
      <c r="C8" s="3" t="s">
        <v>117</v>
      </c>
      <c r="D8" s="4">
        <v>2100000</v>
      </c>
      <c r="E8" s="4">
        <v>1800000</v>
      </c>
      <c r="F8" s="4">
        <f t="shared" si="0"/>
        <v>300000</v>
      </c>
      <c r="G8" s="4">
        <v>1800000</v>
      </c>
      <c r="H8" s="4">
        <v>1677529</v>
      </c>
      <c r="I8" s="4">
        <v>0</v>
      </c>
      <c r="J8" s="4">
        <v>108908</v>
      </c>
      <c r="K8" s="4">
        <f t="shared" si="1"/>
        <v>108908</v>
      </c>
      <c r="L8" s="4">
        <f t="shared" si="2"/>
        <v>1786437</v>
      </c>
      <c r="M8" s="4">
        <f t="shared" si="3"/>
        <v>13563</v>
      </c>
      <c r="N8" s="4">
        <v>300000</v>
      </c>
      <c r="O8" s="4">
        <f t="shared" si="4"/>
        <v>0</v>
      </c>
      <c r="P8" s="4">
        <f t="shared" si="5"/>
        <v>13563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300000</v>
      </c>
      <c r="V8" s="4"/>
      <c r="W8" s="4">
        <f t="shared" si="9"/>
        <v>300000</v>
      </c>
      <c r="X8" s="4"/>
      <c r="Y8" s="4"/>
      <c r="Z8" s="4"/>
      <c r="AA8" s="3"/>
      <c r="AB8" s="3" t="s">
        <v>401</v>
      </c>
      <c r="AC8" s="3">
        <v>930000</v>
      </c>
      <c r="AD8" s="24"/>
      <c r="AE8" s="24"/>
      <c r="AF8" s="23"/>
      <c r="AG8" s="23"/>
      <c r="AH8" s="23"/>
      <c r="AI8" s="23"/>
      <c r="AJ8" s="22"/>
    </row>
    <row r="9" spans="1:41" s="5" customFormat="1" ht="30" customHeight="1">
      <c r="A9" s="566">
        <f t="shared" si="10"/>
        <v>5</v>
      </c>
      <c r="B9" s="3">
        <v>1472</v>
      </c>
      <c r="C9" s="3" t="s">
        <v>54</v>
      </c>
      <c r="D9" s="4">
        <f>11350000-43904</f>
        <v>11306096</v>
      </c>
      <c r="E9" s="4">
        <v>11350000</v>
      </c>
      <c r="F9" s="4">
        <f t="shared" si="0"/>
        <v>-43904</v>
      </c>
      <c r="G9" s="4">
        <v>11306096</v>
      </c>
      <c r="H9" s="4">
        <v>11206752</v>
      </c>
      <c r="I9" s="4">
        <v>0</v>
      </c>
      <c r="J9" s="4">
        <v>83622</v>
      </c>
      <c r="K9" s="4">
        <f t="shared" si="1"/>
        <v>83622</v>
      </c>
      <c r="L9" s="4">
        <f t="shared" si="2"/>
        <v>11290374</v>
      </c>
      <c r="M9" s="4">
        <f t="shared" si="3"/>
        <v>15722</v>
      </c>
      <c r="N9" s="4">
        <f>500000-500000</f>
        <v>0</v>
      </c>
      <c r="O9" s="4">
        <f t="shared" si="4"/>
        <v>0</v>
      </c>
      <c r="P9" s="4">
        <f t="shared" si="5"/>
        <v>15722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0</v>
      </c>
      <c r="V9" s="4"/>
      <c r="W9" s="4">
        <f t="shared" si="9"/>
        <v>0</v>
      </c>
      <c r="X9" s="4"/>
      <c r="Y9" s="4"/>
      <c r="Z9" s="4"/>
      <c r="AA9" s="3"/>
      <c r="AB9" s="3" t="s">
        <v>1548</v>
      </c>
      <c r="AC9" s="3">
        <v>810000</v>
      </c>
      <c r="AD9" s="24"/>
      <c r="AE9" s="24"/>
      <c r="AF9" s="23"/>
      <c r="AG9" s="23"/>
      <c r="AH9" s="23"/>
      <c r="AI9" s="23"/>
      <c r="AJ9" s="22"/>
    </row>
    <row r="10" spans="1:41" s="5" customFormat="1" ht="30" customHeight="1">
      <c r="A10" s="566">
        <f t="shared" si="10"/>
        <v>6</v>
      </c>
      <c r="B10" s="3">
        <v>1477</v>
      </c>
      <c r="C10" s="3" t="s">
        <v>1262</v>
      </c>
      <c r="D10" s="4">
        <v>9350000</v>
      </c>
      <c r="E10" s="4">
        <v>9350000</v>
      </c>
      <c r="F10" s="4">
        <f t="shared" si="0"/>
        <v>0</v>
      </c>
      <c r="G10" s="4">
        <v>4450000</v>
      </c>
      <c r="H10" s="4">
        <v>2466895</v>
      </c>
      <c r="I10" s="4">
        <v>1346368</v>
      </c>
      <c r="J10" s="4">
        <v>96937</v>
      </c>
      <c r="K10" s="4">
        <f t="shared" si="1"/>
        <v>1443305</v>
      </c>
      <c r="L10" s="4">
        <f t="shared" si="2"/>
        <v>3910200</v>
      </c>
      <c r="M10" s="4">
        <f t="shared" si="3"/>
        <v>539800</v>
      </c>
      <c r="N10" s="4">
        <f>2000000+200000-1000000</f>
        <v>1200000</v>
      </c>
      <c r="O10" s="4">
        <f t="shared" si="4"/>
        <v>3700000</v>
      </c>
      <c r="P10" s="4">
        <f t="shared" si="5"/>
        <v>539800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1200000</v>
      </c>
      <c r="V10" s="4"/>
      <c r="W10" s="4">
        <f t="shared" si="9"/>
        <v>1200000</v>
      </c>
      <c r="X10" s="4"/>
      <c r="Y10" s="4"/>
      <c r="Z10" s="4"/>
      <c r="AA10" s="3"/>
      <c r="AB10" s="3" t="s">
        <v>1263</v>
      </c>
      <c r="AC10" s="3">
        <v>810000</v>
      </c>
      <c r="AD10" s="24"/>
      <c r="AE10" s="24"/>
      <c r="AF10" s="23"/>
      <c r="AG10" s="23"/>
      <c r="AH10" s="23"/>
      <c r="AI10" s="23"/>
      <c r="AJ10" s="22"/>
    </row>
    <row r="11" spans="1:41" s="5" customFormat="1" ht="30" customHeight="1">
      <c r="A11" s="566">
        <f t="shared" si="10"/>
        <v>7</v>
      </c>
      <c r="B11" s="3">
        <v>1483</v>
      </c>
      <c r="C11" s="3" t="s">
        <v>55</v>
      </c>
      <c r="D11" s="4">
        <f>2700000-600000</f>
        <v>2100000</v>
      </c>
      <c r="E11" s="4">
        <v>2700000</v>
      </c>
      <c r="F11" s="4">
        <f t="shared" si="0"/>
        <v>-600000</v>
      </c>
      <c r="G11" s="4">
        <v>2100000</v>
      </c>
      <c r="H11" s="4">
        <v>2039800</v>
      </c>
      <c r="I11" s="4">
        <v>0</v>
      </c>
      <c r="J11" s="4">
        <v>59675</v>
      </c>
      <c r="K11" s="4">
        <f t="shared" si="1"/>
        <v>59675</v>
      </c>
      <c r="L11" s="4">
        <f t="shared" si="2"/>
        <v>2099475</v>
      </c>
      <c r="M11" s="4">
        <f t="shared" si="3"/>
        <v>525</v>
      </c>
      <c r="N11" s="4"/>
      <c r="O11" s="4">
        <f t="shared" si="4"/>
        <v>0</v>
      </c>
      <c r="P11" s="4">
        <f t="shared" si="5"/>
        <v>525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0</v>
      </c>
      <c r="V11" s="4"/>
      <c r="W11" s="4">
        <f t="shared" si="9"/>
        <v>0</v>
      </c>
      <c r="X11" s="4"/>
      <c r="Y11" s="4"/>
      <c r="Z11" s="4"/>
      <c r="AA11" s="3"/>
      <c r="AB11" s="3" t="s">
        <v>1269</v>
      </c>
      <c r="AC11" s="3">
        <v>812000</v>
      </c>
      <c r="AD11" s="24"/>
      <c r="AE11" s="24"/>
      <c r="AF11" s="23"/>
      <c r="AG11" s="23"/>
      <c r="AH11" s="23"/>
      <c r="AI11" s="23"/>
      <c r="AJ11" s="22"/>
    </row>
    <row r="12" spans="1:41" s="5" customFormat="1" ht="30" customHeight="1">
      <c r="A12" s="566">
        <f t="shared" si="10"/>
        <v>8</v>
      </c>
      <c r="B12" s="3">
        <v>1489</v>
      </c>
      <c r="C12" s="3" t="s">
        <v>403</v>
      </c>
      <c r="D12" s="4">
        <v>54000000</v>
      </c>
      <c r="E12" s="4">
        <v>48500000</v>
      </c>
      <c r="F12" s="4">
        <f t="shared" si="0"/>
        <v>5500000</v>
      </c>
      <c r="G12" s="4">
        <v>48000000</v>
      </c>
      <c r="H12" s="4">
        <v>41835968</v>
      </c>
      <c r="I12" s="4">
        <v>0</v>
      </c>
      <c r="J12" s="4">
        <v>5340608</v>
      </c>
      <c r="K12" s="4">
        <f t="shared" si="1"/>
        <v>5340608</v>
      </c>
      <c r="L12" s="4">
        <f t="shared" si="2"/>
        <v>47176576</v>
      </c>
      <c r="M12" s="4">
        <f t="shared" si="3"/>
        <v>823424</v>
      </c>
      <c r="N12" s="4">
        <f>6000000-2500000</f>
        <v>3500000</v>
      </c>
      <c r="O12" s="4">
        <f t="shared" si="4"/>
        <v>2500000</v>
      </c>
      <c r="P12" s="4">
        <f t="shared" si="5"/>
        <v>823424</v>
      </c>
      <c r="Q12" s="4"/>
      <c r="R12" s="4"/>
      <c r="S12" s="4">
        <f t="shared" si="6"/>
        <v>0</v>
      </c>
      <c r="T12" s="4">
        <f t="shared" si="7"/>
        <v>0</v>
      </c>
      <c r="U12" s="4">
        <f t="shared" si="8"/>
        <v>3500000</v>
      </c>
      <c r="V12" s="4"/>
      <c r="W12" s="4">
        <f t="shared" si="9"/>
        <v>3500000</v>
      </c>
      <c r="X12" s="4"/>
      <c r="Y12" s="4"/>
      <c r="Z12" s="4"/>
      <c r="AA12" s="3"/>
      <c r="AB12" s="3" t="s">
        <v>1426</v>
      </c>
      <c r="AC12" s="3">
        <v>742000</v>
      </c>
      <c r="AD12" s="24"/>
      <c r="AE12" s="24"/>
      <c r="AF12" s="23"/>
      <c r="AG12" s="23"/>
      <c r="AH12" s="23"/>
      <c r="AI12" s="23"/>
      <c r="AJ12" s="22"/>
    </row>
    <row r="13" spans="1:41" s="5" customFormat="1" ht="30" customHeight="1">
      <c r="A13" s="566">
        <f t="shared" si="10"/>
        <v>9</v>
      </c>
      <c r="B13" s="3">
        <v>1560</v>
      </c>
      <c r="C13" s="3" t="s">
        <v>56</v>
      </c>
      <c r="D13" s="4">
        <f>5510000+1000000-100000</f>
        <v>6410000</v>
      </c>
      <c r="E13" s="4">
        <v>5510000</v>
      </c>
      <c r="F13" s="4">
        <f t="shared" si="0"/>
        <v>900000</v>
      </c>
      <c r="G13" s="4">
        <v>5510000</v>
      </c>
      <c r="H13" s="4">
        <v>4777462</v>
      </c>
      <c r="I13" s="4">
        <v>0</v>
      </c>
      <c r="J13" s="4">
        <v>730909</v>
      </c>
      <c r="K13" s="4">
        <f t="shared" si="1"/>
        <v>730909</v>
      </c>
      <c r="L13" s="4">
        <f t="shared" si="2"/>
        <v>5508371</v>
      </c>
      <c r="M13" s="4">
        <f t="shared" si="3"/>
        <v>1629</v>
      </c>
      <c r="N13" s="4">
        <f>1000000-100000-400000</f>
        <v>500000</v>
      </c>
      <c r="O13" s="4">
        <f t="shared" si="4"/>
        <v>400000</v>
      </c>
      <c r="P13" s="4">
        <f t="shared" si="5"/>
        <v>1629</v>
      </c>
      <c r="Q13" s="4"/>
      <c r="R13" s="4"/>
      <c r="S13" s="4">
        <f t="shared" si="6"/>
        <v>0</v>
      </c>
      <c r="T13" s="4">
        <f t="shared" si="7"/>
        <v>0</v>
      </c>
      <c r="U13" s="4">
        <f t="shared" si="8"/>
        <v>500000</v>
      </c>
      <c r="V13" s="4"/>
      <c r="W13" s="4">
        <f t="shared" si="9"/>
        <v>500000</v>
      </c>
      <c r="X13" s="4"/>
      <c r="Y13" s="4"/>
      <c r="Z13" s="4"/>
      <c r="AA13" s="3"/>
      <c r="AB13" s="3" t="s">
        <v>1260</v>
      </c>
      <c r="AC13" s="3">
        <v>746000</v>
      </c>
      <c r="AD13" s="24"/>
      <c r="AE13" s="24"/>
      <c r="AF13" s="23"/>
      <c r="AG13" s="23"/>
      <c r="AH13" s="23"/>
      <c r="AI13" s="23"/>
      <c r="AJ13" s="22"/>
    </row>
    <row r="14" spans="1:41" s="5" customFormat="1" ht="30" customHeight="1">
      <c r="A14" s="566">
        <f t="shared" si="10"/>
        <v>10</v>
      </c>
      <c r="B14" s="3">
        <v>1662</v>
      </c>
      <c r="C14" s="3" t="s">
        <v>142</v>
      </c>
      <c r="D14" s="4">
        <v>1815000</v>
      </c>
      <c r="E14" s="4">
        <v>815000</v>
      </c>
      <c r="F14" s="4">
        <f t="shared" si="0"/>
        <v>1000000</v>
      </c>
      <c r="G14" s="4">
        <v>675000</v>
      </c>
      <c r="H14" s="4">
        <v>671205</v>
      </c>
      <c r="I14" s="4">
        <v>0</v>
      </c>
      <c r="J14" s="4">
        <v>0</v>
      </c>
      <c r="K14" s="4">
        <f t="shared" si="1"/>
        <v>0</v>
      </c>
      <c r="L14" s="4">
        <f t="shared" si="2"/>
        <v>671205</v>
      </c>
      <c r="M14" s="4">
        <f t="shared" si="3"/>
        <v>3795</v>
      </c>
      <c r="N14" s="4">
        <f>500000-500000</f>
        <v>0</v>
      </c>
      <c r="O14" s="4">
        <f t="shared" si="4"/>
        <v>1140000</v>
      </c>
      <c r="P14" s="4">
        <f t="shared" si="5"/>
        <v>3795</v>
      </c>
      <c r="Q14" s="4"/>
      <c r="R14" s="4"/>
      <c r="S14" s="4">
        <f t="shared" si="6"/>
        <v>0</v>
      </c>
      <c r="T14" s="4">
        <f t="shared" si="7"/>
        <v>0</v>
      </c>
      <c r="U14" s="4">
        <f t="shared" si="8"/>
        <v>0</v>
      </c>
      <c r="V14" s="4"/>
      <c r="W14" s="4">
        <f t="shared" si="9"/>
        <v>0</v>
      </c>
      <c r="X14" s="4"/>
      <c r="Y14" s="4"/>
      <c r="Z14" s="4"/>
      <c r="AA14" s="3"/>
      <c r="AB14" s="3" t="s">
        <v>1709</v>
      </c>
      <c r="AC14" s="3">
        <v>870000</v>
      </c>
      <c r="AD14" s="24"/>
      <c r="AE14" s="24"/>
      <c r="AF14" s="23"/>
      <c r="AG14" s="23"/>
      <c r="AH14" s="23"/>
      <c r="AI14" s="23"/>
      <c r="AJ14" s="22"/>
    </row>
    <row r="15" spans="1:41" s="5" customFormat="1" ht="30" customHeight="1">
      <c r="A15" s="566">
        <f t="shared" si="10"/>
        <v>11</v>
      </c>
      <c r="B15" s="3">
        <v>1691</v>
      </c>
      <c r="C15" s="3" t="s">
        <v>171</v>
      </c>
      <c r="D15" s="4">
        <v>210000</v>
      </c>
      <c r="E15" s="4">
        <v>210000</v>
      </c>
      <c r="F15" s="4">
        <f t="shared" si="0"/>
        <v>0</v>
      </c>
      <c r="G15" s="4">
        <v>210000</v>
      </c>
      <c r="H15" s="4">
        <v>184254</v>
      </c>
      <c r="I15" s="4">
        <v>0</v>
      </c>
      <c r="J15" s="4">
        <v>0</v>
      </c>
      <c r="K15" s="4">
        <f t="shared" si="1"/>
        <v>0</v>
      </c>
      <c r="L15" s="4">
        <f t="shared" si="2"/>
        <v>184254</v>
      </c>
      <c r="M15" s="4">
        <f t="shared" si="3"/>
        <v>25746</v>
      </c>
      <c r="N15" s="4"/>
      <c r="O15" s="4">
        <f t="shared" si="4"/>
        <v>0</v>
      </c>
      <c r="P15" s="4">
        <f t="shared" si="5"/>
        <v>25746</v>
      </c>
      <c r="Q15" s="4"/>
      <c r="R15" s="4"/>
      <c r="S15" s="4">
        <f t="shared" si="6"/>
        <v>0</v>
      </c>
      <c r="T15" s="4">
        <f t="shared" si="7"/>
        <v>0</v>
      </c>
      <c r="U15" s="4">
        <f t="shared" si="8"/>
        <v>0</v>
      </c>
      <c r="V15" s="4"/>
      <c r="W15" s="4">
        <f t="shared" si="9"/>
        <v>0</v>
      </c>
      <c r="X15" s="4"/>
      <c r="Y15" s="4"/>
      <c r="Z15" s="4"/>
      <c r="AA15" s="3"/>
      <c r="AB15" s="3" t="s">
        <v>715</v>
      </c>
      <c r="AC15" s="3">
        <v>810000</v>
      </c>
      <c r="AD15" s="24"/>
      <c r="AE15" s="24"/>
      <c r="AF15" s="23"/>
      <c r="AG15" s="23"/>
      <c r="AH15" s="23"/>
      <c r="AI15" s="23"/>
      <c r="AJ15" s="22"/>
      <c r="AK15" s="70"/>
      <c r="AL15" s="70"/>
      <c r="AM15" s="70"/>
      <c r="AN15" s="70"/>
      <c r="AO15" s="70"/>
    </row>
    <row r="16" spans="1:41" s="5" customFormat="1" ht="30" customHeight="1">
      <c r="A16" s="566">
        <f t="shared" si="10"/>
        <v>12</v>
      </c>
      <c r="B16" s="3">
        <v>1770</v>
      </c>
      <c r="C16" s="3" t="s">
        <v>404</v>
      </c>
      <c r="D16" s="4">
        <v>29752105</v>
      </c>
      <c r="E16" s="4">
        <v>29752105</v>
      </c>
      <c r="F16" s="4">
        <f t="shared" si="0"/>
        <v>0</v>
      </c>
      <c r="G16" s="4">
        <v>29752105</v>
      </c>
      <c r="H16" s="4">
        <f>29088844+111193</f>
        <v>29200037</v>
      </c>
      <c r="I16" s="4">
        <v>0</v>
      </c>
      <c r="J16" s="4">
        <v>550659</v>
      </c>
      <c r="K16" s="4">
        <f t="shared" si="1"/>
        <v>550659</v>
      </c>
      <c r="L16" s="4">
        <f t="shared" si="2"/>
        <v>29750696</v>
      </c>
      <c r="M16" s="4">
        <f t="shared" si="3"/>
        <v>1409</v>
      </c>
      <c r="N16" s="4"/>
      <c r="O16" s="4">
        <f t="shared" si="4"/>
        <v>0</v>
      </c>
      <c r="P16" s="4">
        <f t="shared" si="5"/>
        <v>1409</v>
      </c>
      <c r="Q16" s="4"/>
      <c r="R16" s="4"/>
      <c r="S16" s="4">
        <f t="shared" si="6"/>
        <v>0</v>
      </c>
      <c r="T16" s="4">
        <f t="shared" si="7"/>
        <v>0</v>
      </c>
      <c r="U16" s="4">
        <f t="shared" si="8"/>
        <v>0</v>
      </c>
      <c r="V16" s="4"/>
      <c r="W16" s="4">
        <f t="shared" si="9"/>
        <v>0</v>
      </c>
      <c r="X16" s="4"/>
      <c r="Y16" s="4"/>
      <c r="Z16" s="4"/>
      <c r="AA16" s="3"/>
      <c r="AB16" s="3" t="s">
        <v>715</v>
      </c>
      <c r="AC16" s="3">
        <v>810000</v>
      </c>
      <c r="AD16" s="24"/>
      <c r="AE16" s="24"/>
      <c r="AF16" s="23"/>
      <c r="AG16" s="23"/>
      <c r="AH16" s="23"/>
      <c r="AI16" s="23"/>
      <c r="AJ16" s="22"/>
    </row>
    <row r="17" spans="1:41" s="5" customFormat="1" ht="30" customHeight="1">
      <c r="A17" s="566">
        <f t="shared" si="10"/>
        <v>13</v>
      </c>
      <c r="B17" s="3">
        <v>1773</v>
      </c>
      <c r="C17" s="3" t="s">
        <v>114</v>
      </c>
      <c r="D17" s="4">
        <v>1500000</v>
      </c>
      <c r="E17" s="4">
        <v>1500000</v>
      </c>
      <c r="F17" s="4">
        <f t="shared" si="0"/>
        <v>0</v>
      </c>
      <c r="G17" s="4">
        <v>1500000</v>
      </c>
      <c r="H17" s="4">
        <v>212004</v>
      </c>
      <c r="I17" s="4">
        <v>17401</v>
      </c>
      <c r="J17" s="4">
        <v>3510</v>
      </c>
      <c r="K17" s="4">
        <f t="shared" si="1"/>
        <v>20911</v>
      </c>
      <c r="L17" s="4">
        <f t="shared" si="2"/>
        <v>232915</v>
      </c>
      <c r="M17" s="4">
        <f t="shared" si="3"/>
        <v>1267085</v>
      </c>
      <c r="N17" s="4"/>
      <c r="O17" s="4">
        <f t="shared" si="4"/>
        <v>0</v>
      </c>
      <c r="P17" s="4">
        <f t="shared" si="5"/>
        <v>1267085</v>
      </c>
      <c r="Q17" s="4"/>
      <c r="R17" s="4"/>
      <c r="S17" s="4">
        <f t="shared" si="6"/>
        <v>0</v>
      </c>
      <c r="T17" s="4">
        <f t="shared" si="7"/>
        <v>0</v>
      </c>
      <c r="U17" s="4">
        <f t="shared" si="8"/>
        <v>0</v>
      </c>
      <c r="V17" s="4"/>
      <c r="W17" s="4">
        <f t="shared" si="9"/>
        <v>0</v>
      </c>
      <c r="X17" s="4"/>
      <c r="Y17" s="4"/>
      <c r="Z17" s="4"/>
      <c r="AA17" s="3"/>
      <c r="AB17" s="3" t="s">
        <v>405</v>
      </c>
      <c r="AC17" s="3">
        <v>746000</v>
      </c>
      <c r="AD17" s="24"/>
      <c r="AE17" s="24"/>
      <c r="AF17" s="23"/>
      <c r="AG17" s="23"/>
      <c r="AH17" s="23"/>
      <c r="AI17" s="23"/>
      <c r="AJ17" s="22"/>
    </row>
    <row r="18" spans="1:41" s="5" customFormat="1" ht="30" customHeight="1">
      <c r="A18" s="566">
        <f t="shared" si="10"/>
        <v>14</v>
      </c>
      <c r="B18" s="3">
        <v>1794</v>
      </c>
      <c r="C18" s="3" t="s">
        <v>122</v>
      </c>
      <c r="D18" s="4">
        <f>1100000-130000</f>
        <v>970000</v>
      </c>
      <c r="E18" s="4">
        <v>1100000</v>
      </c>
      <c r="F18" s="4">
        <f t="shared" si="0"/>
        <v>-130000</v>
      </c>
      <c r="G18" s="4">
        <v>970000</v>
      </c>
      <c r="H18" s="4">
        <v>949009</v>
      </c>
      <c r="I18" s="4">
        <v>20093</v>
      </c>
      <c r="J18" s="4">
        <v>0</v>
      </c>
      <c r="K18" s="4">
        <f t="shared" si="1"/>
        <v>20093</v>
      </c>
      <c r="L18" s="4">
        <f t="shared" si="2"/>
        <v>969102</v>
      </c>
      <c r="M18" s="4">
        <f t="shared" si="3"/>
        <v>898</v>
      </c>
      <c r="N18" s="4"/>
      <c r="O18" s="4">
        <f t="shared" si="4"/>
        <v>0</v>
      </c>
      <c r="P18" s="4">
        <f t="shared" si="5"/>
        <v>898</v>
      </c>
      <c r="Q18" s="4"/>
      <c r="R18" s="4"/>
      <c r="S18" s="4">
        <f t="shared" si="6"/>
        <v>0</v>
      </c>
      <c r="T18" s="4">
        <f t="shared" si="7"/>
        <v>0</v>
      </c>
      <c r="U18" s="4">
        <f t="shared" si="8"/>
        <v>0</v>
      </c>
      <c r="V18" s="4"/>
      <c r="W18" s="4">
        <f t="shared" si="9"/>
        <v>0</v>
      </c>
      <c r="X18" s="4"/>
      <c r="Y18" s="4"/>
      <c r="Z18" s="4"/>
      <c r="AA18" s="3"/>
      <c r="AB18" s="3" t="s">
        <v>1549</v>
      </c>
      <c r="AC18" s="3">
        <v>850000</v>
      </c>
      <c r="AD18" s="24"/>
      <c r="AE18" s="24"/>
      <c r="AF18" s="23"/>
      <c r="AG18" s="23"/>
      <c r="AH18" s="23"/>
      <c r="AI18" s="23"/>
      <c r="AJ18" s="22"/>
    </row>
    <row r="19" spans="1:41" s="5" customFormat="1" ht="30" customHeight="1">
      <c r="A19" s="566">
        <f t="shared" si="10"/>
        <v>15</v>
      </c>
      <c r="B19" s="3">
        <v>1804</v>
      </c>
      <c r="C19" s="3" t="s">
        <v>119</v>
      </c>
      <c r="D19" s="4">
        <v>200000</v>
      </c>
      <c r="E19" s="4">
        <v>200000</v>
      </c>
      <c r="F19" s="4">
        <f t="shared" si="0"/>
        <v>0</v>
      </c>
      <c r="G19" s="4">
        <v>200000</v>
      </c>
      <c r="H19" s="4">
        <v>171384</v>
      </c>
      <c r="I19" s="4">
        <v>0</v>
      </c>
      <c r="J19" s="4">
        <v>10264</v>
      </c>
      <c r="K19" s="4">
        <f t="shared" si="1"/>
        <v>10264</v>
      </c>
      <c r="L19" s="4">
        <f t="shared" si="2"/>
        <v>181648</v>
      </c>
      <c r="M19" s="4">
        <f t="shared" si="3"/>
        <v>18352</v>
      </c>
      <c r="N19" s="4"/>
      <c r="O19" s="4">
        <f t="shared" si="4"/>
        <v>0</v>
      </c>
      <c r="P19" s="4">
        <f t="shared" si="5"/>
        <v>18352</v>
      </c>
      <c r="Q19" s="4"/>
      <c r="R19" s="4"/>
      <c r="S19" s="4">
        <f t="shared" si="6"/>
        <v>0</v>
      </c>
      <c r="T19" s="4">
        <f t="shared" si="7"/>
        <v>0</v>
      </c>
      <c r="U19" s="4">
        <f t="shared" si="8"/>
        <v>0</v>
      </c>
      <c r="V19" s="4"/>
      <c r="W19" s="4">
        <f t="shared" si="9"/>
        <v>0</v>
      </c>
      <c r="X19" s="4"/>
      <c r="Y19" s="4"/>
      <c r="Z19" s="4"/>
      <c r="AA19" s="3"/>
      <c r="AB19" s="3"/>
      <c r="AC19" s="3">
        <v>742000</v>
      </c>
      <c r="AD19" s="24"/>
      <c r="AE19" s="24"/>
      <c r="AK19" s="567"/>
      <c r="AL19" s="567"/>
      <c r="AM19" s="567"/>
      <c r="AN19" s="567"/>
      <c r="AO19" s="567"/>
    </row>
    <row r="20" spans="1:41" s="5" customFormat="1" ht="30" customHeight="1">
      <c r="A20" s="566">
        <f t="shared" si="10"/>
        <v>16</v>
      </c>
      <c r="B20" s="3">
        <v>1848</v>
      </c>
      <c r="C20" s="3" t="s">
        <v>137</v>
      </c>
      <c r="D20" s="4">
        <v>1300000</v>
      </c>
      <c r="E20" s="4">
        <v>1200000</v>
      </c>
      <c r="F20" s="4">
        <f t="shared" si="0"/>
        <v>100000</v>
      </c>
      <c r="G20" s="4">
        <v>1000000</v>
      </c>
      <c r="H20" s="4">
        <v>708293</v>
      </c>
      <c r="I20" s="4">
        <v>0</v>
      </c>
      <c r="J20" s="4">
        <v>33173</v>
      </c>
      <c r="K20" s="4">
        <f t="shared" si="1"/>
        <v>33173</v>
      </c>
      <c r="L20" s="4">
        <f t="shared" si="2"/>
        <v>741466</v>
      </c>
      <c r="M20" s="4">
        <f t="shared" si="3"/>
        <v>258534</v>
      </c>
      <c r="N20" s="4">
        <v>300000</v>
      </c>
      <c r="O20" s="4">
        <f t="shared" si="4"/>
        <v>0</v>
      </c>
      <c r="P20" s="4">
        <f t="shared" si="5"/>
        <v>258534</v>
      </c>
      <c r="Q20" s="4"/>
      <c r="R20" s="4"/>
      <c r="S20" s="4">
        <f t="shared" si="6"/>
        <v>0</v>
      </c>
      <c r="T20" s="4">
        <f t="shared" si="7"/>
        <v>0</v>
      </c>
      <c r="U20" s="4">
        <f t="shared" si="8"/>
        <v>300000</v>
      </c>
      <c r="V20" s="4"/>
      <c r="W20" s="4">
        <f t="shared" si="9"/>
        <v>300000</v>
      </c>
      <c r="X20" s="4"/>
      <c r="Y20" s="4"/>
      <c r="Z20" s="4"/>
      <c r="AA20" s="3"/>
      <c r="AB20" s="3" t="s">
        <v>481</v>
      </c>
      <c r="AC20" s="3">
        <v>742000</v>
      </c>
      <c r="AD20" s="24"/>
      <c r="AE20" s="24"/>
      <c r="AF20" s="23"/>
      <c r="AG20" s="23"/>
      <c r="AH20" s="23"/>
      <c r="AI20" s="23"/>
      <c r="AJ20" s="22"/>
    </row>
    <row r="21" spans="1:41" s="5" customFormat="1" ht="56">
      <c r="A21" s="566">
        <f t="shared" si="10"/>
        <v>17</v>
      </c>
      <c r="B21" s="3">
        <v>1849</v>
      </c>
      <c r="C21" s="3" t="s">
        <v>407</v>
      </c>
      <c r="D21" s="4">
        <v>2150000</v>
      </c>
      <c r="E21" s="4">
        <v>1400000</v>
      </c>
      <c r="F21" s="4">
        <f t="shared" si="0"/>
        <v>750000</v>
      </c>
      <c r="G21" s="4">
        <v>1100000</v>
      </c>
      <c r="H21" s="4">
        <v>945869</v>
      </c>
      <c r="I21" s="4">
        <v>0</v>
      </c>
      <c r="J21" s="4">
        <v>150796</v>
      </c>
      <c r="K21" s="4">
        <f t="shared" si="1"/>
        <v>150796</v>
      </c>
      <c r="L21" s="4">
        <f t="shared" si="2"/>
        <v>1096665</v>
      </c>
      <c r="M21" s="4">
        <f t="shared" si="3"/>
        <v>3335</v>
      </c>
      <c r="N21" s="4">
        <f>500000-150000-350000</f>
        <v>0</v>
      </c>
      <c r="O21" s="4">
        <f t="shared" si="4"/>
        <v>1050000</v>
      </c>
      <c r="P21" s="4">
        <f t="shared" si="5"/>
        <v>3335</v>
      </c>
      <c r="Q21" s="4"/>
      <c r="R21" s="4"/>
      <c r="S21" s="4">
        <f t="shared" si="6"/>
        <v>0</v>
      </c>
      <c r="T21" s="4">
        <f t="shared" si="7"/>
        <v>0</v>
      </c>
      <c r="U21" s="4">
        <f t="shared" si="8"/>
        <v>0</v>
      </c>
      <c r="V21" s="4"/>
      <c r="W21" s="4">
        <f t="shared" si="9"/>
        <v>0</v>
      </c>
      <c r="X21" s="4"/>
      <c r="Y21" s="4"/>
      <c r="Z21" s="4"/>
      <c r="AA21" s="3"/>
      <c r="AB21" s="3" t="s">
        <v>1710</v>
      </c>
      <c r="AC21" s="3">
        <v>743000</v>
      </c>
      <c r="AD21" s="24"/>
      <c r="AE21" s="24"/>
      <c r="AF21" s="23"/>
      <c r="AG21" s="23"/>
      <c r="AH21" s="22"/>
      <c r="AI21" s="22"/>
      <c r="AJ21" s="22"/>
    </row>
    <row r="22" spans="1:41" s="5" customFormat="1" ht="30" customHeight="1">
      <c r="A22" s="566">
        <f t="shared" si="10"/>
        <v>18</v>
      </c>
      <c r="B22" s="3">
        <v>1850</v>
      </c>
      <c r="C22" s="3" t="s">
        <v>784</v>
      </c>
      <c r="D22" s="4">
        <v>14600000</v>
      </c>
      <c r="E22" s="4">
        <v>14600000</v>
      </c>
      <c r="F22" s="4">
        <f t="shared" si="0"/>
        <v>0</v>
      </c>
      <c r="G22" s="4">
        <v>4630000</v>
      </c>
      <c r="H22" s="4">
        <v>3986709</v>
      </c>
      <c r="I22" s="4">
        <v>0</v>
      </c>
      <c r="J22" s="4">
        <v>290432</v>
      </c>
      <c r="K22" s="4">
        <f t="shared" si="1"/>
        <v>290432</v>
      </c>
      <c r="L22" s="4">
        <f t="shared" si="2"/>
        <v>4277141</v>
      </c>
      <c r="M22" s="4">
        <f t="shared" si="3"/>
        <v>352859</v>
      </c>
      <c r="N22" s="4">
        <f>1800000-800000-500000</f>
        <v>500000</v>
      </c>
      <c r="O22" s="4">
        <f t="shared" si="4"/>
        <v>9470000</v>
      </c>
      <c r="P22" s="4">
        <f t="shared" si="5"/>
        <v>352859</v>
      </c>
      <c r="Q22" s="4"/>
      <c r="R22" s="4"/>
      <c r="S22" s="4">
        <f t="shared" si="6"/>
        <v>0</v>
      </c>
      <c r="T22" s="4">
        <f t="shared" si="7"/>
        <v>0</v>
      </c>
      <c r="U22" s="4">
        <f t="shared" si="8"/>
        <v>500000</v>
      </c>
      <c r="V22" s="4"/>
      <c r="W22" s="4">
        <f t="shared" si="9"/>
        <v>500000</v>
      </c>
      <c r="X22" s="4"/>
      <c r="Y22" s="4"/>
      <c r="Z22" s="4"/>
      <c r="AA22" s="3"/>
      <c r="AB22" s="3" t="s">
        <v>785</v>
      </c>
      <c r="AC22" s="3">
        <v>810000</v>
      </c>
      <c r="AD22" s="24"/>
      <c r="AE22" s="24"/>
      <c r="AF22" s="23"/>
      <c r="AG22" s="23"/>
      <c r="AH22" s="22"/>
      <c r="AI22" s="22"/>
      <c r="AJ22" s="22"/>
    </row>
    <row r="23" spans="1:41" s="5" customFormat="1" ht="30" customHeight="1">
      <c r="A23" s="566">
        <f t="shared" si="10"/>
        <v>19</v>
      </c>
      <c r="B23" s="3">
        <v>1883</v>
      </c>
      <c r="C23" s="3" t="s">
        <v>138</v>
      </c>
      <c r="D23" s="4">
        <v>27245000</v>
      </c>
      <c r="E23" s="4">
        <v>26215000</v>
      </c>
      <c r="F23" s="4">
        <f t="shared" si="0"/>
        <v>1030000</v>
      </c>
      <c r="G23" s="4">
        <v>26215000</v>
      </c>
      <c r="H23" s="4">
        <v>26184042</v>
      </c>
      <c r="I23" s="4">
        <v>0</v>
      </c>
      <c r="J23" s="4">
        <v>12752</v>
      </c>
      <c r="K23" s="4">
        <f t="shared" si="1"/>
        <v>12752</v>
      </c>
      <c r="L23" s="4">
        <f t="shared" si="2"/>
        <v>26196794</v>
      </c>
      <c r="M23" s="4">
        <f t="shared" si="3"/>
        <v>18206</v>
      </c>
      <c r="N23" s="4">
        <f>1030000-1030000</f>
        <v>0</v>
      </c>
      <c r="O23" s="4">
        <f t="shared" si="4"/>
        <v>1030000</v>
      </c>
      <c r="P23" s="4">
        <f t="shared" si="5"/>
        <v>18206</v>
      </c>
      <c r="Q23" s="4"/>
      <c r="R23" s="4"/>
      <c r="S23" s="4">
        <f t="shared" si="6"/>
        <v>0</v>
      </c>
      <c r="T23" s="4">
        <f t="shared" si="7"/>
        <v>0</v>
      </c>
      <c r="U23" s="4">
        <f t="shared" si="8"/>
        <v>0</v>
      </c>
      <c r="V23" s="4"/>
      <c r="W23" s="4">
        <f t="shared" si="9"/>
        <v>0</v>
      </c>
      <c r="X23" s="4"/>
      <c r="Y23" s="4"/>
      <c r="Z23" s="4"/>
      <c r="AA23" s="3"/>
      <c r="AB23" s="3" t="s">
        <v>1264</v>
      </c>
      <c r="AC23" s="3">
        <v>810000</v>
      </c>
      <c r="AD23" s="24"/>
      <c r="AE23" s="24"/>
      <c r="AF23" s="23"/>
      <c r="AG23" s="23"/>
      <c r="AH23" s="22"/>
      <c r="AI23" s="22"/>
      <c r="AJ23" s="22"/>
    </row>
    <row r="24" spans="1:41" s="70" customFormat="1" ht="30" customHeight="1">
      <c r="A24" s="566">
        <f t="shared" si="10"/>
        <v>20</v>
      </c>
      <c r="B24" s="3">
        <v>1887</v>
      </c>
      <c r="C24" s="3" t="s">
        <v>139</v>
      </c>
      <c r="D24" s="4">
        <v>5200000</v>
      </c>
      <c r="E24" s="4">
        <v>5200000</v>
      </c>
      <c r="F24" s="4">
        <f t="shared" si="0"/>
        <v>0</v>
      </c>
      <c r="G24" s="4">
        <v>1760000</v>
      </c>
      <c r="H24" s="4">
        <v>1363742</v>
      </c>
      <c r="I24" s="4">
        <v>332775</v>
      </c>
      <c r="J24" s="4"/>
      <c r="K24" s="4">
        <f t="shared" si="1"/>
        <v>332775</v>
      </c>
      <c r="L24" s="4">
        <f t="shared" si="2"/>
        <v>1696517</v>
      </c>
      <c r="M24" s="4">
        <f t="shared" si="3"/>
        <v>63483</v>
      </c>
      <c r="N24" s="4">
        <f>3440000-3440000</f>
        <v>0</v>
      </c>
      <c r="O24" s="4">
        <f t="shared" si="4"/>
        <v>3440000</v>
      </c>
      <c r="P24" s="4">
        <f t="shared" si="5"/>
        <v>63483</v>
      </c>
      <c r="Q24" s="4"/>
      <c r="R24" s="4"/>
      <c r="S24" s="4">
        <f t="shared" si="6"/>
        <v>0</v>
      </c>
      <c r="T24" s="4">
        <f t="shared" si="7"/>
        <v>0</v>
      </c>
      <c r="U24" s="4">
        <f t="shared" si="8"/>
        <v>0</v>
      </c>
      <c r="V24" s="4"/>
      <c r="W24" s="4">
        <f t="shared" si="9"/>
        <v>0</v>
      </c>
      <c r="X24" s="4"/>
      <c r="Y24" s="4"/>
      <c r="Z24" s="4"/>
      <c r="AA24" s="3"/>
      <c r="AB24" s="3" t="s">
        <v>1397</v>
      </c>
      <c r="AC24" s="3">
        <v>810000</v>
      </c>
      <c r="AD24" s="24"/>
      <c r="AE24" s="24"/>
      <c r="AF24" s="23"/>
      <c r="AG24" s="23"/>
      <c r="AH24" s="22"/>
      <c r="AI24" s="22"/>
      <c r="AJ24" s="22"/>
      <c r="AK24" s="5"/>
      <c r="AL24" s="5"/>
      <c r="AM24" s="5"/>
      <c r="AN24" s="5"/>
      <c r="AO24" s="5"/>
    </row>
    <row r="25" spans="1:41" s="5" customFormat="1" ht="30" customHeight="1">
      <c r="A25" s="566">
        <f t="shared" si="10"/>
        <v>21</v>
      </c>
      <c r="B25" s="3">
        <v>1900</v>
      </c>
      <c r="C25" s="3" t="s">
        <v>140</v>
      </c>
      <c r="D25" s="4">
        <f>700000-100000</f>
        <v>600000</v>
      </c>
      <c r="E25" s="4">
        <v>700000</v>
      </c>
      <c r="F25" s="4">
        <f t="shared" si="0"/>
        <v>-100000</v>
      </c>
      <c r="G25" s="4">
        <v>700000</v>
      </c>
      <c r="H25" s="4">
        <v>482010</v>
      </c>
      <c r="I25" s="4">
        <v>40401</v>
      </c>
      <c r="J25" s="4">
        <v>0</v>
      </c>
      <c r="K25" s="4">
        <f t="shared" si="1"/>
        <v>40401</v>
      </c>
      <c r="L25" s="4">
        <f t="shared" si="2"/>
        <v>522411</v>
      </c>
      <c r="M25" s="4">
        <f>P25+S25-100000</f>
        <v>77589</v>
      </c>
      <c r="N25" s="4"/>
      <c r="O25" s="4">
        <f t="shared" si="4"/>
        <v>0</v>
      </c>
      <c r="P25" s="4">
        <f t="shared" si="5"/>
        <v>177589</v>
      </c>
      <c r="Q25" s="4"/>
      <c r="R25" s="4"/>
      <c r="S25" s="4">
        <f t="shared" si="6"/>
        <v>0</v>
      </c>
      <c r="T25" s="4">
        <f t="shared" si="7"/>
        <v>100000</v>
      </c>
      <c r="U25" s="4">
        <f t="shared" si="8"/>
        <v>-100000</v>
      </c>
      <c r="V25" s="4">
        <v>-100000</v>
      </c>
      <c r="W25" s="4">
        <f t="shared" si="9"/>
        <v>0</v>
      </c>
      <c r="X25" s="4"/>
      <c r="Y25" s="4"/>
      <c r="Z25" s="4"/>
      <c r="AA25" s="3"/>
      <c r="AB25" s="3" t="s">
        <v>1270</v>
      </c>
      <c r="AC25" s="3">
        <v>810000</v>
      </c>
      <c r="AD25" s="24"/>
      <c r="AE25" s="24"/>
      <c r="AF25" s="23"/>
      <c r="AG25" s="23"/>
      <c r="AH25" s="23"/>
      <c r="AI25" s="23"/>
      <c r="AJ25" s="22"/>
    </row>
    <row r="26" spans="1:41" s="5" customFormat="1" ht="30" customHeight="1">
      <c r="A26" s="566">
        <f t="shared" si="10"/>
        <v>22</v>
      </c>
      <c r="B26" s="3">
        <v>1917</v>
      </c>
      <c r="C26" s="3" t="s">
        <v>141</v>
      </c>
      <c r="D26" s="4">
        <v>76800000</v>
      </c>
      <c r="E26" s="4">
        <v>76800000</v>
      </c>
      <c r="F26" s="4">
        <f t="shared" si="0"/>
        <v>0</v>
      </c>
      <c r="G26" s="4">
        <v>33001000</v>
      </c>
      <c r="H26" s="4">
        <v>22567518</v>
      </c>
      <c r="I26" s="4">
        <v>0</v>
      </c>
      <c r="J26" s="4">
        <v>10100791</v>
      </c>
      <c r="K26" s="4">
        <f t="shared" si="1"/>
        <v>10100791</v>
      </c>
      <c r="L26" s="4">
        <f t="shared" si="2"/>
        <v>32668309</v>
      </c>
      <c r="M26" s="4">
        <f t="shared" ref="M26:M55" si="11">P26+S26</f>
        <v>332691</v>
      </c>
      <c r="N26" s="4">
        <f>12300000-10300000-1000000-300000</f>
        <v>700000</v>
      </c>
      <c r="O26" s="4">
        <f t="shared" si="4"/>
        <v>43099000</v>
      </c>
      <c r="P26" s="4">
        <f t="shared" si="5"/>
        <v>332691</v>
      </c>
      <c r="Q26" s="4"/>
      <c r="R26" s="4"/>
      <c r="S26" s="4">
        <f t="shared" si="6"/>
        <v>0</v>
      </c>
      <c r="T26" s="4">
        <f t="shared" si="7"/>
        <v>0</v>
      </c>
      <c r="U26" s="4">
        <f t="shared" si="8"/>
        <v>700000</v>
      </c>
      <c r="V26" s="4">
        <v>700000</v>
      </c>
      <c r="W26" s="4">
        <f t="shared" si="9"/>
        <v>0</v>
      </c>
      <c r="X26" s="4"/>
      <c r="Y26" s="4"/>
      <c r="Z26" s="4"/>
      <c r="AA26" s="3"/>
      <c r="AB26" s="3" t="s">
        <v>1427</v>
      </c>
      <c r="AC26" s="3">
        <v>743000</v>
      </c>
      <c r="AD26" s="24"/>
      <c r="AE26" s="24"/>
      <c r="AF26" s="23"/>
      <c r="AG26" s="23"/>
      <c r="AH26" s="22"/>
      <c r="AI26" s="22"/>
      <c r="AJ26" s="22"/>
    </row>
    <row r="27" spans="1:41" s="5" customFormat="1" ht="30" customHeight="1">
      <c r="A27" s="566">
        <f t="shared" si="10"/>
        <v>23</v>
      </c>
      <c r="B27" s="3">
        <v>1933</v>
      </c>
      <c r="C27" s="3" t="s">
        <v>158</v>
      </c>
      <c r="D27" s="4">
        <f>1420000-50000</f>
        <v>1370000</v>
      </c>
      <c r="E27" s="4">
        <v>1420000</v>
      </c>
      <c r="F27" s="4">
        <f t="shared" si="0"/>
        <v>-50000</v>
      </c>
      <c r="G27" s="4">
        <v>1370000</v>
      </c>
      <c r="H27" s="4">
        <v>1196722</v>
      </c>
      <c r="I27" s="4">
        <v>144734</v>
      </c>
      <c r="J27" s="4">
        <v>18454</v>
      </c>
      <c r="K27" s="4">
        <f t="shared" si="1"/>
        <v>163188</v>
      </c>
      <c r="L27" s="4">
        <f t="shared" si="2"/>
        <v>1359910</v>
      </c>
      <c r="M27" s="4">
        <f t="shared" si="11"/>
        <v>10090</v>
      </c>
      <c r="N27" s="4"/>
      <c r="O27" s="4">
        <f t="shared" si="4"/>
        <v>0</v>
      </c>
      <c r="P27" s="4">
        <f t="shared" si="5"/>
        <v>10090</v>
      </c>
      <c r="Q27" s="4"/>
      <c r="R27" s="4"/>
      <c r="S27" s="4">
        <f t="shared" si="6"/>
        <v>0</v>
      </c>
      <c r="T27" s="4">
        <f t="shared" si="7"/>
        <v>0</v>
      </c>
      <c r="U27" s="4">
        <f t="shared" si="8"/>
        <v>0</v>
      </c>
      <c r="V27" s="4"/>
      <c r="W27" s="4">
        <f t="shared" si="9"/>
        <v>0</v>
      </c>
      <c r="X27" s="4"/>
      <c r="Y27" s="4"/>
      <c r="Z27" s="4"/>
      <c r="AA27" s="3"/>
      <c r="AB27" s="3" t="s">
        <v>549</v>
      </c>
      <c r="AC27" s="3">
        <v>826000</v>
      </c>
      <c r="AD27" s="24"/>
      <c r="AE27" s="24"/>
      <c r="AF27" s="23"/>
      <c r="AG27" s="23"/>
      <c r="AH27" s="23"/>
      <c r="AI27" s="23"/>
      <c r="AJ27" s="22"/>
    </row>
    <row r="28" spans="1:41" s="5" customFormat="1" ht="30" customHeight="1">
      <c r="A28" s="566">
        <f t="shared" si="10"/>
        <v>24</v>
      </c>
      <c r="B28" s="3">
        <v>1947</v>
      </c>
      <c r="C28" s="3" t="s">
        <v>1261</v>
      </c>
      <c r="D28" s="4">
        <v>2500000</v>
      </c>
      <c r="E28" s="4">
        <v>2500000</v>
      </c>
      <c r="F28" s="4">
        <f t="shared" si="0"/>
        <v>0</v>
      </c>
      <c r="G28" s="4">
        <v>950000</v>
      </c>
      <c r="H28" s="4">
        <v>19881</v>
      </c>
      <c r="I28" s="4">
        <v>204750</v>
      </c>
      <c r="J28" s="4">
        <v>0</v>
      </c>
      <c r="K28" s="4">
        <f t="shared" si="1"/>
        <v>204750</v>
      </c>
      <c r="L28" s="4">
        <f t="shared" si="2"/>
        <v>224631</v>
      </c>
      <c r="M28" s="4">
        <f t="shared" si="11"/>
        <v>725369</v>
      </c>
      <c r="N28" s="4">
        <v>1550000</v>
      </c>
      <c r="O28" s="4">
        <f t="shared" si="4"/>
        <v>0</v>
      </c>
      <c r="P28" s="4">
        <f t="shared" si="5"/>
        <v>725369</v>
      </c>
      <c r="Q28" s="4"/>
      <c r="R28" s="4"/>
      <c r="S28" s="4">
        <f t="shared" si="6"/>
        <v>0</v>
      </c>
      <c r="T28" s="4">
        <f t="shared" si="7"/>
        <v>0</v>
      </c>
      <c r="U28" s="4">
        <f t="shared" si="8"/>
        <v>1550000</v>
      </c>
      <c r="V28" s="4">
        <v>1550000</v>
      </c>
      <c r="W28" s="4">
        <f t="shared" si="9"/>
        <v>0</v>
      </c>
      <c r="X28" s="4"/>
      <c r="Y28" s="4"/>
      <c r="Z28" s="4"/>
      <c r="AA28" s="3"/>
      <c r="AB28" s="3" t="s">
        <v>1398</v>
      </c>
      <c r="AC28" s="3">
        <v>850000</v>
      </c>
      <c r="AD28" s="24"/>
      <c r="AE28" s="24"/>
      <c r="AF28" s="23"/>
      <c r="AG28" s="23"/>
      <c r="AH28" s="23"/>
      <c r="AI28" s="23"/>
      <c r="AJ28" s="22"/>
    </row>
    <row r="29" spans="1:41" s="5" customFormat="1" ht="42">
      <c r="A29" s="566">
        <f t="shared" si="10"/>
        <v>25</v>
      </c>
      <c r="B29" s="3">
        <v>1966</v>
      </c>
      <c r="C29" s="3" t="s">
        <v>547</v>
      </c>
      <c r="D29" s="4">
        <v>1700000</v>
      </c>
      <c r="E29" s="4">
        <v>1700000</v>
      </c>
      <c r="F29" s="4">
        <f t="shared" si="0"/>
        <v>0</v>
      </c>
      <c r="G29" s="4">
        <v>1700000</v>
      </c>
      <c r="H29" s="4">
        <v>0</v>
      </c>
      <c r="I29" s="4">
        <v>1699999</v>
      </c>
      <c r="J29" s="4">
        <v>0</v>
      </c>
      <c r="K29" s="4">
        <f t="shared" si="1"/>
        <v>1699999</v>
      </c>
      <c r="L29" s="4">
        <f t="shared" si="2"/>
        <v>1699999</v>
      </c>
      <c r="M29" s="4">
        <f t="shared" si="11"/>
        <v>1</v>
      </c>
      <c r="N29" s="4"/>
      <c r="O29" s="4">
        <f t="shared" si="4"/>
        <v>0</v>
      </c>
      <c r="P29" s="4">
        <f t="shared" si="5"/>
        <v>1</v>
      </c>
      <c r="Q29" s="4"/>
      <c r="R29" s="4"/>
      <c r="S29" s="4">
        <f t="shared" si="6"/>
        <v>0</v>
      </c>
      <c r="T29" s="4">
        <f t="shared" si="7"/>
        <v>0</v>
      </c>
      <c r="U29" s="4">
        <f t="shared" si="8"/>
        <v>0</v>
      </c>
      <c r="V29" s="4"/>
      <c r="W29" s="4">
        <f t="shared" si="9"/>
        <v>0</v>
      </c>
      <c r="X29" s="4"/>
      <c r="Y29" s="4"/>
      <c r="Z29" s="4"/>
      <c r="AA29" s="3"/>
      <c r="AB29" s="3" t="s">
        <v>1708</v>
      </c>
      <c r="AC29" s="3">
        <v>870000</v>
      </c>
      <c r="AD29" s="24"/>
      <c r="AE29" s="24"/>
      <c r="AF29" s="23"/>
      <c r="AG29" s="23"/>
      <c r="AH29" s="22"/>
      <c r="AI29" s="22"/>
      <c r="AJ29" s="22"/>
    </row>
    <row r="30" spans="1:41" s="5" customFormat="1" ht="30" customHeight="1">
      <c r="A30" s="566">
        <f t="shared" si="10"/>
        <v>26</v>
      </c>
      <c r="B30" s="3">
        <v>1967</v>
      </c>
      <c r="C30" s="3" t="s">
        <v>159</v>
      </c>
      <c r="D30" s="4">
        <v>12929000</v>
      </c>
      <c r="E30" s="4">
        <v>12929000</v>
      </c>
      <c r="F30" s="4">
        <f t="shared" si="0"/>
        <v>0</v>
      </c>
      <c r="G30" s="4">
        <v>10819000</v>
      </c>
      <c r="H30" s="4">
        <v>2105132</v>
      </c>
      <c r="I30" s="4">
        <v>202825</v>
      </c>
      <c r="J30" s="4">
        <v>8508972</v>
      </c>
      <c r="K30" s="4">
        <f t="shared" si="1"/>
        <v>8711797</v>
      </c>
      <c r="L30" s="4">
        <f t="shared" si="2"/>
        <v>10816929</v>
      </c>
      <c r="M30" s="4">
        <f t="shared" si="11"/>
        <v>2071</v>
      </c>
      <c r="N30" s="4">
        <f>2110000-300000</f>
        <v>1810000</v>
      </c>
      <c r="O30" s="4">
        <f t="shared" si="4"/>
        <v>300000</v>
      </c>
      <c r="P30" s="4">
        <f t="shared" si="5"/>
        <v>2071</v>
      </c>
      <c r="Q30" s="4"/>
      <c r="R30" s="4"/>
      <c r="S30" s="4">
        <f t="shared" si="6"/>
        <v>0</v>
      </c>
      <c r="T30" s="4">
        <f t="shared" si="7"/>
        <v>0</v>
      </c>
      <c r="U30" s="4">
        <f t="shared" si="8"/>
        <v>1810000</v>
      </c>
      <c r="V30" s="4"/>
      <c r="W30" s="4">
        <f t="shared" si="9"/>
        <v>1810000</v>
      </c>
      <c r="X30" s="4"/>
      <c r="Y30" s="4"/>
      <c r="Z30" s="4"/>
      <c r="AA30" s="3"/>
      <c r="AB30" s="3" t="s">
        <v>1711</v>
      </c>
      <c r="AC30" s="3">
        <v>810000</v>
      </c>
      <c r="AD30" s="24"/>
      <c r="AE30" s="24"/>
      <c r="AF30" s="23"/>
      <c r="AG30" s="23"/>
      <c r="AH30" s="23"/>
      <c r="AI30" s="23"/>
      <c r="AJ30" s="22"/>
    </row>
    <row r="31" spans="1:41" s="5" customFormat="1" ht="30" customHeight="1">
      <c r="A31" s="566">
        <f t="shared" si="10"/>
        <v>27</v>
      </c>
      <c r="B31" s="3">
        <v>1968</v>
      </c>
      <c r="C31" s="3" t="s">
        <v>160</v>
      </c>
      <c r="D31" s="4">
        <f>2270000-200000</f>
        <v>2070000</v>
      </c>
      <c r="E31" s="4">
        <v>1950000</v>
      </c>
      <c r="F31" s="4">
        <f t="shared" si="0"/>
        <v>120000</v>
      </c>
      <c r="G31" s="4">
        <v>1770000</v>
      </c>
      <c r="H31" s="4">
        <v>1591436</v>
      </c>
      <c r="I31" s="4">
        <v>0</v>
      </c>
      <c r="J31" s="4">
        <v>164011</v>
      </c>
      <c r="K31" s="4">
        <f t="shared" si="1"/>
        <v>164011</v>
      </c>
      <c r="L31" s="4">
        <f t="shared" si="2"/>
        <v>1755447</v>
      </c>
      <c r="M31" s="4">
        <f t="shared" si="11"/>
        <v>14553</v>
      </c>
      <c r="N31" s="4">
        <f>300000-200000</f>
        <v>100000</v>
      </c>
      <c r="O31" s="4">
        <f t="shared" si="4"/>
        <v>200000</v>
      </c>
      <c r="P31" s="4">
        <f t="shared" si="5"/>
        <v>14553</v>
      </c>
      <c r="Q31" s="4"/>
      <c r="R31" s="4"/>
      <c r="S31" s="4">
        <f t="shared" si="6"/>
        <v>0</v>
      </c>
      <c r="T31" s="4">
        <f t="shared" si="7"/>
        <v>0</v>
      </c>
      <c r="U31" s="4">
        <f t="shared" si="8"/>
        <v>100000</v>
      </c>
      <c r="V31" s="4"/>
      <c r="W31" s="4">
        <f t="shared" si="9"/>
        <v>100000</v>
      </c>
      <c r="X31" s="4"/>
      <c r="Y31" s="4"/>
      <c r="Z31" s="4"/>
      <c r="AA31" s="3"/>
      <c r="AB31" s="3" t="s">
        <v>718</v>
      </c>
      <c r="AC31" s="3">
        <v>848500</v>
      </c>
      <c r="AD31" s="24"/>
      <c r="AE31" s="24"/>
      <c r="AF31" s="23"/>
      <c r="AG31" s="23"/>
      <c r="AH31" s="23"/>
      <c r="AI31" s="23"/>
      <c r="AJ31" s="22"/>
    </row>
    <row r="32" spans="1:41" s="5" customFormat="1" ht="30" customHeight="1">
      <c r="A32" s="566">
        <f t="shared" si="10"/>
        <v>28</v>
      </c>
      <c r="B32" s="3">
        <v>1970</v>
      </c>
      <c r="C32" s="3" t="s">
        <v>172</v>
      </c>
      <c r="D32" s="4">
        <f>34200000-1700000</f>
        <v>32500000</v>
      </c>
      <c r="E32" s="4">
        <v>34200000</v>
      </c>
      <c r="F32" s="4">
        <f t="shared" si="0"/>
        <v>-1700000</v>
      </c>
      <c r="G32" s="4">
        <v>32500000</v>
      </c>
      <c r="H32" s="4">
        <v>25742468</v>
      </c>
      <c r="I32" s="4">
        <v>362102</v>
      </c>
      <c r="J32" s="4">
        <v>4260442</v>
      </c>
      <c r="K32" s="4">
        <f t="shared" si="1"/>
        <v>4622544</v>
      </c>
      <c r="L32" s="4">
        <f t="shared" si="2"/>
        <v>30365012</v>
      </c>
      <c r="M32" s="4">
        <f t="shared" si="11"/>
        <v>2134988</v>
      </c>
      <c r="N32" s="4"/>
      <c r="O32" s="4">
        <f t="shared" si="4"/>
        <v>0</v>
      </c>
      <c r="P32" s="4">
        <f t="shared" si="5"/>
        <v>2134988</v>
      </c>
      <c r="Q32" s="4"/>
      <c r="R32" s="4"/>
      <c r="S32" s="4">
        <f t="shared" si="6"/>
        <v>0</v>
      </c>
      <c r="T32" s="4">
        <f t="shared" si="7"/>
        <v>0</v>
      </c>
      <c r="U32" s="4">
        <f t="shared" si="8"/>
        <v>0</v>
      </c>
      <c r="V32" s="4"/>
      <c r="W32" s="4">
        <f t="shared" si="9"/>
        <v>0</v>
      </c>
      <c r="X32" s="4"/>
      <c r="Y32" s="4"/>
      <c r="Z32" s="4"/>
      <c r="AA32" s="3"/>
      <c r="AB32" s="3" t="s">
        <v>1428</v>
      </c>
      <c r="AC32" s="3">
        <v>810000</v>
      </c>
      <c r="AD32" s="24"/>
      <c r="AE32" s="24"/>
      <c r="AF32" s="23"/>
      <c r="AG32" s="23"/>
      <c r="AH32" s="23"/>
      <c r="AI32" s="23"/>
      <c r="AJ32" s="22"/>
    </row>
    <row r="33" spans="1:41" s="5" customFormat="1" ht="30" customHeight="1">
      <c r="A33" s="566">
        <f t="shared" si="10"/>
        <v>29</v>
      </c>
      <c r="B33" s="3">
        <v>2001</v>
      </c>
      <c r="C33" s="3" t="s">
        <v>181</v>
      </c>
      <c r="D33" s="4">
        <v>18500000</v>
      </c>
      <c r="E33" s="4">
        <v>18500000</v>
      </c>
      <c r="F33" s="4">
        <f t="shared" si="0"/>
        <v>0</v>
      </c>
      <c r="G33" s="4">
        <v>1398700</v>
      </c>
      <c r="H33" s="4">
        <v>445693</v>
      </c>
      <c r="I33" s="4">
        <v>626187</v>
      </c>
      <c r="J33" s="4">
        <v>43117</v>
      </c>
      <c r="K33" s="4">
        <f t="shared" si="1"/>
        <v>669304</v>
      </c>
      <c r="L33" s="4">
        <f t="shared" si="2"/>
        <v>1114997</v>
      </c>
      <c r="M33" s="4">
        <f t="shared" si="11"/>
        <v>283703</v>
      </c>
      <c r="N33" s="4">
        <v>17101300</v>
      </c>
      <c r="O33" s="4">
        <f t="shared" si="4"/>
        <v>0</v>
      </c>
      <c r="P33" s="4">
        <f t="shared" si="5"/>
        <v>283703</v>
      </c>
      <c r="Q33" s="4"/>
      <c r="R33" s="4"/>
      <c r="S33" s="4">
        <f t="shared" si="6"/>
        <v>0</v>
      </c>
      <c r="T33" s="4">
        <f t="shared" si="7"/>
        <v>0</v>
      </c>
      <c r="U33" s="4">
        <f t="shared" si="8"/>
        <v>17101300</v>
      </c>
      <c r="V33" s="4">
        <f>U33-AA33</f>
        <v>7541300</v>
      </c>
      <c r="W33" s="4"/>
      <c r="X33" s="4"/>
      <c r="Y33" s="4"/>
      <c r="Z33" s="4"/>
      <c r="AA33" s="4">
        <v>9560000</v>
      </c>
      <c r="AB33" s="3" t="s">
        <v>1550</v>
      </c>
      <c r="AC33" s="3">
        <v>810000</v>
      </c>
      <c r="AD33" s="24"/>
      <c r="AE33" s="24"/>
      <c r="AF33" s="23"/>
      <c r="AG33" s="23"/>
      <c r="AH33" s="23"/>
      <c r="AI33" s="23"/>
      <c r="AJ33" s="22"/>
    </row>
    <row r="34" spans="1:41" s="5" customFormat="1" ht="30" customHeight="1">
      <c r="A34" s="566">
        <f t="shared" si="10"/>
        <v>30</v>
      </c>
      <c r="B34" s="3">
        <v>2027</v>
      </c>
      <c r="C34" s="3" t="s">
        <v>410</v>
      </c>
      <c r="D34" s="4">
        <f>1930000-29000</f>
        <v>1901000</v>
      </c>
      <c r="E34" s="4">
        <v>1930000</v>
      </c>
      <c r="F34" s="4">
        <f t="shared" si="0"/>
        <v>-29000</v>
      </c>
      <c r="G34" s="4">
        <v>1901000</v>
      </c>
      <c r="H34" s="4">
        <v>1878506</v>
      </c>
      <c r="I34" s="4">
        <v>0</v>
      </c>
      <c r="J34" s="4">
        <v>22392</v>
      </c>
      <c r="K34" s="4">
        <f t="shared" si="1"/>
        <v>22392</v>
      </c>
      <c r="L34" s="4">
        <f t="shared" si="2"/>
        <v>1900898</v>
      </c>
      <c r="M34" s="4">
        <f t="shared" si="11"/>
        <v>102</v>
      </c>
      <c r="N34" s="4"/>
      <c r="O34" s="4">
        <f t="shared" si="4"/>
        <v>0</v>
      </c>
      <c r="P34" s="4">
        <f t="shared" si="5"/>
        <v>102</v>
      </c>
      <c r="Q34" s="4"/>
      <c r="R34" s="4"/>
      <c r="S34" s="4">
        <f t="shared" si="6"/>
        <v>0</v>
      </c>
      <c r="T34" s="4">
        <f t="shared" si="7"/>
        <v>0</v>
      </c>
      <c r="U34" s="4">
        <f t="shared" si="8"/>
        <v>0</v>
      </c>
      <c r="V34" s="4"/>
      <c r="W34" s="4">
        <f t="shared" ref="W34:W59" si="12">U34-V34-AA34</f>
        <v>0</v>
      </c>
      <c r="X34" s="4"/>
      <c r="Y34" s="4"/>
      <c r="Z34" s="4"/>
      <c r="AA34" s="3"/>
      <c r="AB34" s="3"/>
      <c r="AC34" s="3">
        <v>810000</v>
      </c>
      <c r="AD34" s="24"/>
      <c r="AE34" s="24"/>
      <c r="AF34" s="23"/>
      <c r="AG34" s="23"/>
      <c r="AH34" s="23"/>
      <c r="AI34" s="23"/>
      <c r="AJ34" s="22"/>
      <c r="AK34" s="567"/>
      <c r="AL34" s="567"/>
      <c r="AM34" s="567"/>
      <c r="AN34" s="567"/>
      <c r="AO34" s="567"/>
    </row>
    <row r="35" spans="1:41" s="5" customFormat="1" ht="30" customHeight="1">
      <c r="A35" s="566">
        <f t="shared" si="10"/>
        <v>31</v>
      </c>
      <c r="B35" s="3">
        <v>2028</v>
      </c>
      <c r="C35" s="3" t="s">
        <v>411</v>
      </c>
      <c r="D35" s="4">
        <v>2435000</v>
      </c>
      <c r="E35" s="4">
        <v>2435000</v>
      </c>
      <c r="F35" s="4">
        <f t="shared" si="0"/>
        <v>0</v>
      </c>
      <c r="G35" s="4">
        <v>2435000</v>
      </c>
      <c r="H35" s="4">
        <v>2070407</v>
      </c>
      <c r="I35" s="4">
        <v>22257</v>
      </c>
      <c r="J35" s="4">
        <v>3861</v>
      </c>
      <c r="K35" s="4">
        <f t="shared" si="1"/>
        <v>26118</v>
      </c>
      <c r="L35" s="4">
        <f t="shared" si="2"/>
        <v>2096525</v>
      </c>
      <c r="M35" s="4">
        <f t="shared" si="11"/>
        <v>338475</v>
      </c>
      <c r="N35" s="4"/>
      <c r="O35" s="4">
        <f t="shared" si="4"/>
        <v>0</v>
      </c>
      <c r="P35" s="4">
        <f t="shared" si="5"/>
        <v>338475</v>
      </c>
      <c r="Q35" s="4"/>
      <c r="R35" s="4"/>
      <c r="S35" s="4">
        <f t="shared" si="6"/>
        <v>0</v>
      </c>
      <c r="T35" s="4">
        <f t="shared" si="7"/>
        <v>0</v>
      </c>
      <c r="U35" s="4">
        <f t="shared" si="8"/>
        <v>0</v>
      </c>
      <c r="V35" s="4"/>
      <c r="W35" s="4">
        <f t="shared" si="12"/>
        <v>0</v>
      </c>
      <c r="X35" s="4"/>
      <c r="Y35" s="4"/>
      <c r="Z35" s="4"/>
      <c r="AA35" s="3"/>
      <c r="AB35" s="3" t="s">
        <v>720</v>
      </c>
      <c r="AC35" s="3">
        <v>810000</v>
      </c>
      <c r="AD35" s="24"/>
      <c r="AE35" s="24"/>
      <c r="AF35" s="23"/>
      <c r="AG35" s="23"/>
      <c r="AH35" s="23"/>
      <c r="AI35" s="23"/>
      <c r="AJ35" s="22"/>
    </row>
    <row r="36" spans="1:41" s="5" customFormat="1" ht="42">
      <c r="A36" s="566">
        <f t="shared" si="10"/>
        <v>32</v>
      </c>
      <c r="B36" s="3">
        <v>2029</v>
      </c>
      <c r="C36" s="3" t="s">
        <v>412</v>
      </c>
      <c r="D36" s="4">
        <v>300000</v>
      </c>
      <c r="E36" s="4">
        <v>300000</v>
      </c>
      <c r="F36" s="4">
        <f t="shared" si="0"/>
        <v>0</v>
      </c>
      <c r="G36" s="4">
        <v>10000</v>
      </c>
      <c r="H36" s="4">
        <v>2905</v>
      </c>
      <c r="I36" s="4">
        <v>0</v>
      </c>
      <c r="J36" s="4"/>
      <c r="K36" s="4">
        <f t="shared" si="1"/>
        <v>0</v>
      </c>
      <c r="L36" s="4">
        <f t="shared" si="2"/>
        <v>2905</v>
      </c>
      <c r="M36" s="4">
        <f t="shared" si="11"/>
        <v>7095</v>
      </c>
      <c r="N36" s="4"/>
      <c r="O36" s="4">
        <f t="shared" si="4"/>
        <v>290000</v>
      </c>
      <c r="P36" s="4">
        <f t="shared" si="5"/>
        <v>7095</v>
      </c>
      <c r="Q36" s="4"/>
      <c r="R36" s="4"/>
      <c r="S36" s="4">
        <f t="shared" si="6"/>
        <v>0</v>
      </c>
      <c r="T36" s="4">
        <f t="shared" si="7"/>
        <v>0</v>
      </c>
      <c r="U36" s="4">
        <f t="shared" si="8"/>
        <v>0</v>
      </c>
      <c r="V36" s="4"/>
      <c r="W36" s="4">
        <f t="shared" si="12"/>
        <v>0</v>
      </c>
      <c r="X36" s="4"/>
      <c r="Y36" s="4"/>
      <c r="Z36" s="4"/>
      <c r="AA36" s="3"/>
      <c r="AB36" s="3" t="s">
        <v>931</v>
      </c>
      <c r="AC36" s="3">
        <v>850000</v>
      </c>
      <c r="AD36" s="24"/>
      <c r="AE36" s="24"/>
      <c r="AF36" s="23"/>
      <c r="AG36" s="23"/>
      <c r="AH36" s="23"/>
      <c r="AI36" s="23"/>
      <c r="AJ36" s="22"/>
    </row>
    <row r="37" spans="1:41" s="70" customFormat="1" ht="30" customHeight="1">
      <c r="A37" s="566">
        <f t="shared" si="10"/>
        <v>33</v>
      </c>
      <c r="B37" s="3">
        <v>2030</v>
      </c>
      <c r="C37" s="3" t="s">
        <v>329</v>
      </c>
      <c r="D37" s="4">
        <v>31500000</v>
      </c>
      <c r="E37" s="4">
        <v>31500000</v>
      </c>
      <c r="F37" s="4">
        <f t="shared" ref="F37:F58" si="13">D37-E37</f>
        <v>0</v>
      </c>
      <c r="G37" s="4">
        <v>9900000</v>
      </c>
      <c r="H37" s="4">
        <v>3261138</v>
      </c>
      <c r="I37" s="4">
        <v>5480195</v>
      </c>
      <c r="J37" s="4">
        <v>715988</v>
      </c>
      <c r="K37" s="4">
        <f t="shared" ref="K37:K59" si="14">SUM(I37:J37)</f>
        <v>6196183</v>
      </c>
      <c r="L37" s="4">
        <f t="shared" ref="L37:L59" si="15">K37+H37</f>
        <v>9457321</v>
      </c>
      <c r="M37" s="4">
        <f t="shared" si="11"/>
        <v>442679</v>
      </c>
      <c r="N37" s="4">
        <f>11600000-1600000</f>
        <v>10000000</v>
      </c>
      <c r="O37" s="4">
        <f t="shared" ref="O37:O59" si="16">D37-L37-M37-N37</f>
        <v>11600000</v>
      </c>
      <c r="P37" s="4">
        <f t="shared" ref="P37:P59" si="17">G37-L37</f>
        <v>442679</v>
      </c>
      <c r="Q37" s="4"/>
      <c r="R37" s="4"/>
      <c r="S37" s="4">
        <f t="shared" ref="S37:S59" si="18">SUM(Q37:R37)</f>
        <v>0</v>
      </c>
      <c r="T37" s="4">
        <f t="shared" ref="T37:T59" si="19">P37-M37+S37</f>
        <v>0</v>
      </c>
      <c r="U37" s="4">
        <f t="shared" ref="U37:U58" si="20">N37-T37</f>
        <v>10000000</v>
      </c>
      <c r="V37" s="4">
        <v>8000000</v>
      </c>
      <c r="W37" s="4">
        <f t="shared" si="12"/>
        <v>0</v>
      </c>
      <c r="X37" s="4"/>
      <c r="Y37" s="4"/>
      <c r="Z37" s="4"/>
      <c r="AA37" s="4">
        <v>2000000</v>
      </c>
      <c r="AB37" s="3" t="s">
        <v>1712</v>
      </c>
      <c r="AC37" s="3">
        <v>810000</v>
      </c>
      <c r="AD37" s="24"/>
      <c r="AE37" s="24"/>
      <c r="AF37" s="23"/>
      <c r="AG37" s="23"/>
      <c r="AH37" s="22"/>
      <c r="AI37" s="22"/>
      <c r="AJ37" s="22"/>
      <c r="AK37" s="5"/>
      <c r="AL37" s="5"/>
      <c r="AM37" s="5"/>
      <c r="AN37" s="5"/>
      <c r="AO37" s="5"/>
    </row>
    <row r="38" spans="1:41" s="5" customFormat="1" ht="30" customHeight="1">
      <c r="A38" s="566">
        <f t="shared" si="10"/>
        <v>34</v>
      </c>
      <c r="B38" s="3">
        <v>2063</v>
      </c>
      <c r="C38" s="3" t="s">
        <v>413</v>
      </c>
      <c r="D38" s="4">
        <v>2400000</v>
      </c>
      <c r="E38" s="4">
        <v>2400000</v>
      </c>
      <c r="F38" s="4">
        <f t="shared" si="13"/>
        <v>0</v>
      </c>
      <c r="G38" s="4">
        <f>1490000+910000</f>
        <v>2400000</v>
      </c>
      <c r="H38" s="4">
        <v>95811</v>
      </c>
      <c r="I38" s="4">
        <v>104551</v>
      </c>
      <c r="J38" s="4">
        <v>43688</v>
      </c>
      <c r="K38" s="4">
        <f t="shared" si="14"/>
        <v>148239</v>
      </c>
      <c r="L38" s="4">
        <f t="shared" si="15"/>
        <v>244050</v>
      </c>
      <c r="M38" s="4">
        <f t="shared" si="11"/>
        <v>2155950</v>
      </c>
      <c r="N38" s="4"/>
      <c r="O38" s="4">
        <f t="shared" si="16"/>
        <v>0</v>
      </c>
      <c r="P38" s="4">
        <f t="shared" si="17"/>
        <v>2155950</v>
      </c>
      <c r="Q38" s="4"/>
      <c r="R38" s="4"/>
      <c r="S38" s="4">
        <f t="shared" si="18"/>
        <v>0</v>
      </c>
      <c r="T38" s="4">
        <f t="shared" si="19"/>
        <v>0</v>
      </c>
      <c r="U38" s="4">
        <f t="shared" si="20"/>
        <v>0</v>
      </c>
      <c r="V38" s="4"/>
      <c r="W38" s="4">
        <f t="shared" si="12"/>
        <v>0</v>
      </c>
      <c r="X38" s="4"/>
      <c r="Y38" s="4"/>
      <c r="Z38" s="4"/>
      <c r="AA38" s="3"/>
      <c r="AB38" s="3" t="s">
        <v>1429</v>
      </c>
      <c r="AC38" s="3">
        <v>810000</v>
      </c>
      <c r="AD38" s="24"/>
      <c r="AE38" s="24"/>
      <c r="AF38" s="23"/>
      <c r="AG38" s="23"/>
      <c r="AH38" s="23"/>
      <c r="AI38" s="23"/>
      <c r="AJ38" s="22"/>
    </row>
    <row r="39" spans="1:41" s="5" customFormat="1" ht="30" customHeight="1">
      <c r="A39" s="566">
        <f t="shared" si="10"/>
        <v>35</v>
      </c>
      <c r="B39" s="278">
        <v>2071</v>
      </c>
      <c r="C39" s="3" t="s">
        <v>423</v>
      </c>
      <c r="D39" s="4">
        <v>300000</v>
      </c>
      <c r="E39" s="4">
        <v>300000</v>
      </c>
      <c r="F39" s="4">
        <f t="shared" si="13"/>
        <v>0</v>
      </c>
      <c r="G39" s="4">
        <v>300000</v>
      </c>
      <c r="H39" s="4">
        <v>270457</v>
      </c>
      <c r="I39" s="4">
        <v>0</v>
      </c>
      <c r="J39" s="4">
        <v>0</v>
      </c>
      <c r="K39" s="4">
        <f t="shared" si="14"/>
        <v>0</v>
      </c>
      <c r="L39" s="4">
        <f t="shared" si="15"/>
        <v>270457</v>
      </c>
      <c r="M39" s="4">
        <f t="shared" si="11"/>
        <v>29543</v>
      </c>
      <c r="N39" s="4"/>
      <c r="O39" s="4">
        <f t="shared" si="16"/>
        <v>0</v>
      </c>
      <c r="P39" s="4">
        <f t="shared" si="17"/>
        <v>29543</v>
      </c>
      <c r="Q39" s="4"/>
      <c r="R39" s="4"/>
      <c r="S39" s="4">
        <f t="shared" si="18"/>
        <v>0</v>
      </c>
      <c r="T39" s="4">
        <f t="shared" si="19"/>
        <v>0</v>
      </c>
      <c r="U39" s="4">
        <f t="shared" si="20"/>
        <v>0</v>
      </c>
      <c r="V39" s="4"/>
      <c r="W39" s="4">
        <f t="shared" si="12"/>
        <v>0</v>
      </c>
      <c r="X39" s="4"/>
      <c r="Y39" s="4"/>
      <c r="Z39" s="4"/>
      <c r="AA39" s="3"/>
      <c r="AB39" s="3" t="s">
        <v>715</v>
      </c>
      <c r="AC39" s="3">
        <v>810000</v>
      </c>
      <c r="AD39" s="24"/>
      <c r="AE39" s="24"/>
    </row>
    <row r="40" spans="1:41" s="5" customFormat="1" ht="30" customHeight="1">
      <c r="A40" s="566">
        <f t="shared" si="10"/>
        <v>36</v>
      </c>
      <c r="B40" s="3">
        <v>2074</v>
      </c>
      <c r="C40" s="3" t="s">
        <v>414</v>
      </c>
      <c r="D40" s="4">
        <v>2000000</v>
      </c>
      <c r="E40" s="4">
        <v>2000000</v>
      </c>
      <c r="F40" s="4">
        <f t="shared" si="13"/>
        <v>0</v>
      </c>
      <c r="G40" s="4">
        <v>920000</v>
      </c>
      <c r="H40" s="4">
        <v>889513</v>
      </c>
      <c r="I40" s="4">
        <v>0</v>
      </c>
      <c r="J40" s="4">
        <v>30482</v>
      </c>
      <c r="K40" s="4">
        <f t="shared" si="14"/>
        <v>30482</v>
      </c>
      <c r="L40" s="4">
        <f t="shared" si="15"/>
        <v>919995</v>
      </c>
      <c r="M40" s="4">
        <f t="shared" si="11"/>
        <v>5</v>
      </c>
      <c r="N40" s="4">
        <f>1080000-500000</f>
        <v>580000</v>
      </c>
      <c r="O40" s="4">
        <f t="shared" si="16"/>
        <v>500000</v>
      </c>
      <c r="P40" s="4">
        <f t="shared" si="17"/>
        <v>5</v>
      </c>
      <c r="Q40" s="4"/>
      <c r="R40" s="4"/>
      <c r="S40" s="4">
        <f t="shared" si="18"/>
        <v>0</v>
      </c>
      <c r="T40" s="4">
        <f t="shared" si="19"/>
        <v>0</v>
      </c>
      <c r="U40" s="4">
        <f t="shared" si="20"/>
        <v>580000</v>
      </c>
      <c r="V40" s="4"/>
      <c r="W40" s="4">
        <f t="shared" si="12"/>
        <v>580000</v>
      </c>
      <c r="X40" s="4"/>
      <c r="Y40" s="4"/>
      <c r="Z40" s="4"/>
      <c r="AA40" s="3"/>
      <c r="AB40" s="3" t="s">
        <v>908</v>
      </c>
      <c r="AC40" s="3">
        <v>930000</v>
      </c>
      <c r="AD40" s="24"/>
      <c r="AE40" s="24"/>
      <c r="AF40" s="23"/>
      <c r="AG40" s="23"/>
      <c r="AH40" s="23"/>
      <c r="AI40" s="23"/>
      <c r="AJ40" s="22"/>
    </row>
    <row r="41" spans="1:41" s="567" customFormat="1" ht="30" customHeight="1">
      <c r="A41" s="566">
        <f t="shared" si="10"/>
        <v>37</v>
      </c>
      <c r="B41" s="3">
        <v>2095</v>
      </c>
      <c r="C41" s="3" t="s">
        <v>415</v>
      </c>
      <c r="D41" s="4">
        <v>160000</v>
      </c>
      <c r="E41" s="4">
        <v>160000</v>
      </c>
      <c r="F41" s="4">
        <f t="shared" si="13"/>
        <v>0</v>
      </c>
      <c r="G41" s="4">
        <v>160000</v>
      </c>
      <c r="H41" s="4">
        <v>29250</v>
      </c>
      <c r="I41" s="4">
        <v>0</v>
      </c>
      <c r="J41" s="4">
        <v>0</v>
      </c>
      <c r="K41" s="4">
        <f t="shared" si="14"/>
        <v>0</v>
      </c>
      <c r="L41" s="4">
        <f t="shared" si="15"/>
        <v>29250</v>
      </c>
      <c r="M41" s="4">
        <f t="shared" si="11"/>
        <v>130750</v>
      </c>
      <c r="N41" s="4"/>
      <c r="O41" s="4">
        <f t="shared" si="16"/>
        <v>0</v>
      </c>
      <c r="P41" s="4">
        <f t="shared" si="17"/>
        <v>130750</v>
      </c>
      <c r="Q41" s="4"/>
      <c r="R41" s="4"/>
      <c r="S41" s="4">
        <f t="shared" si="18"/>
        <v>0</v>
      </c>
      <c r="T41" s="4">
        <f t="shared" si="19"/>
        <v>0</v>
      </c>
      <c r="U41" s="4">
        <f t="shared" si="20"/>
        <v>0</v>
      </c>
      <c r="V41" s="4"/>
      <c r="W41" s="4">
        <f t="shared" si="12"/>
        <v>0</v>
      </c>
      <c r="X41" s="4"/>
      <c r="Y41" s="4"/>
      <c r="Z41" s="4"/>
      <c r="AA41" s="3"/>
      <c r="AB41" s="3" t="s">
        <v>1430</v>
      </c>
      <c r="AC41" s="3">
        <v>610000</v>
      </c>
      <c r="AD41" s="24"/>
      <c r="AE41" s="24"/>
      <c r="AF41" s="23"/>
      <c r="AG41" s="23"/>
      <c r="AH41" s="23"/>
      <c r="AI41" s="23"/>
      <c r="AJ41" s="22"/>
      <c r="AK41" s="5"/>
      <c r="AL41" s="5"/>
      <c r="AM41" s="5"/>
      <c r="AN41" s="5"/>
      <c r="AO41" s="5"/>
    </row>
    <row r="42" spans="1:41" s="5" customFormat="1" ht="30" customHeight="1">
      <c r="A42" s="566">
        <f t="shared" si="10"/>
        <v>38</v>
      </c>
      <c r="B42" s="3">
        <v>2096</v>
      </c>
      <c r="C42" s="3" t="s">
        <v>416</v>
      </c>
      <c r="D42" s="4">
        <v>1215000</v>
      </c>
      <c r="E42" s="4">
        <v>1215000</v>
      </c>
      <c r="F42" s="4">
        <f t="shared" si="13"/>
        <v>0</v>
      </c>
      <c r="G42" s="4">
        <v>1215000</v>
      </c>
      <c r="H42" s="4">
        <v>137010</v>
      </c>
      <c r="I42" s="4">
        <v>0</v>
      </c>
      <c r="J42" s="4">
        <v>10092</v>
      </c>
      <c r="K42" s="4">
        <f t="shared" si="14"/>
        <v>10092</v>
      </c>
      <c r="L42" s="4">
        <f t="shared" si="15"/>
        <v>147102</v>
      </c>
      <c r="M42" s="4">
        <f t="shared" si="11"/>
        <v>1067898</v>
      </c>
      <c r="N42" s="4"/>
      <c r="O42" s="4">
        <f t="shared" si="16"/>
        <v>0</v>
      </c>
      <c r="P42" s="4">
        <f t="shared" si="17"/>
        <v>1067898</v>
      </c>
      <c r="Q42" s="4"/>
      <c r="R42" s="4"/>
      <c r="S42" s="4">
        <f t="shared" si="18"/>
        <v>0</v>
      </c>
      <c r="T42" s="4">
        <f t="shared" si="19"/>
        <v>0</v>
      </c>
      <c r="U42" s="4">
        <f t="shared" si="20"/>
        <v>0</v>
      </c>
      <c r="V42" s="4"/>
      <c r="W42" s="4">
        <f t="shared" si="12"/>
        <v>-350000</v>
      </c>
      <c r="X42" s="4"/>
      <c r="Y42" s="4"/>
      <c r="Z42" s="4"/>
      <c r="AA42" s="4">
        <v>350000</v>
      </c>
      <c r="AB42" s="3" t="s">
        <v>1431</v>
      </c>
      <c r="AC42" s="3">
        <v>930000</v>
      </c>
      <c r="AD42" s="24"/>
      <c r="AE42" s="24"/>
      <c r="AF42" s="23"/>
      <c r="AG42" s="23"/>
      <c r="AH42" s="23"/>
      <c r="AI42" s="23"/>
      <c r="AJ42" s="22"/>
    </row>
    <row r="43" spans="1:41" s="5" customFormat="1" ht="30" customHeight="1">
      <c r="A43" s="566">
        <f t="shared" si="10"/>
        <v>39</v>
      </c>
      <c r="B43" s="3">
        <v>2129</v>
      </c>
      <c r="C43" s="3" t="s">
        <v>723</v>
      </c>
      <c r="D43" s="4">
        <v>624000</v>
      </c>
      <c r="E43" s="4">
        <v>624000</v>
      </c>
      <c r="F43" s="4">
        <f t="shared" si="13"/>
        <v>0</v>
      </c>
      <c r="G43" s="4">
        <v>624000</v>
      </c>
      <c r="H43" s="4">
        <v>514816</v>
      </c>
      <c r="I43" s="4">
        <v>0</v>
      </c>
      <c r="J43" s="4">
        <v>1975</v>
      </c>
      <c r="K43" s="4">
        <f t="shared" si="14"/>
        <v>1975</v>
      </c>
      <c r="L43" s="4">
        <f t="shared" si="15"/>
        <v>516791</v>
      </c>
      <c r="M43" s="4">
        <f t="shared" si="11"/>
        <v>107209</v>
      </c>
      <c r="N43" s="4"/>
      <c r="O43" s="4">
        <f t="shared" si="16"/>
        <v>0</v>
      </c>
      <c r="P43" s="4">
        <f t="shared" si="17"/>
        <v>107209</v>
      </c>
      <c r="Q43" s="4"/>
      <c r="R43" s="4"/>
      <c r="S43" s="4">
        <f t="shared" si="18"/>
        <v>0</v>
      </c>
      <c r="T43" s="4">
        <f t="shared" si="19"/>
        <v>0</v>
      </c>
      <c r="U43" s="4">
        <f t="shared" si="20"/>
        <v>0</v>
      </c>
      <c r="V43" s="4"/>
      <c r="W43" s="4">
        <f t="shared" si="12"/>
        <v>0</v>
      </c>
      <c r="X43" s="4"/>
      <c r="Y43" s="4"/>
      <c r="Z43" s="4"/>
      <c r="AA43" s="3"/>
      <c r="AB43" s="3" t="s">
        <v>724</v>
      </c>
      <c r="AC43" s="3">
        <v>840000</v>
      </c>
      <c r="AD43" s="24"/>
      <c r="AE43" s="24"/>
      <c r="AF43" s="23"/>
      <c r="AG43" s="23"/>
      <c r="AH43" s="23"/>
      <c r="AI43" s="23"/>
      <c r="AJ43" s="22"/>
    </row>
    <row r="44" spans="1:41" s="5" customFormat="1" ht="30" customHeight="1">
      <c r="A44" s="566">
        <f t="shared" si="10"/>
        <v>40</v>
      </c>
      <c r="B44" s="3">
        <v>2131</v>
      </c>
      <c r="C44" s="3" t="s">
        <v>855</v>
      </c>
      <c r="D44" s="4">
        <v>7500000</v>
      </c>
      <c r="E44" s="4">
        <v>7500000</v>
      </c>
      <c r="F44" s="4">
        <f t="shared" si="13"/>
        <v>0</v>
      </c>
      <c r="G44" s="4">
        <v>4020000</v>
      </c>
      <c r="H44" s="4">
        <v>270472</v>
      </c>
      <c r="I44" s="4">
        <v>2020613</v>
      </c>
      <c r="J44" s="4">
        <v>468333</v>
      </c>
      <c r="K44" s="4">
        <f t="shared" si="14"/>
        <v>2488946</v>
      </c>
      <c r="L44" s="4">
        <f t="shared" si="15"/>
        <v>2759418</v>
      </c>
      <c r="M44" s="4">
        <f t="shared" si="11"/>
        <v>1260582</v>
      </c>
      <c r="N44" s="4">
        <f>3480000-3480000</f>
        <v>0</v>
      </c>
      <c r="O44" s="4">
        <f t="shared" si="16"/>
        <v>3480000</v>
      </c>
      <c r="P44" s="4">
        <f t="shared" si="17"/>
        <v>1260582</v>
      </c>
      <c r="Q44" s="4"/>
      <c r="R44" s="4"/>
      <c r="S44" s="4">
        <f t="shared" si="18"/>
        <v>0</v>
      </c>
      <c r="T44" s="4">
        <f t="shared" si="19"/>
        <v>0</v>
      </c>
      <c r="U44" s="4">
        <f t="shared" si="20"/>
        <v>0</v>
      </c>
      <c r="V44" s="4"/>
      <c r="W44" s="4">
        <f t="shared" si="12"/>
        <v>0</v>
      </c>
      <c r="X44" s="4"/>
      <c r="Y44" s="4"/>
      <c r="Z44" s="4"/>
      <c r="AA44" s="3"/>
      <c r="AB44" s="3" t="s">
        <v>1551</v>
      </c>
      <c r="AC44" s="3">
        <v>870000</v>
      </c>
      <c r="AD44" s="24"/>
      <c r="AE44" s="24"/>
      <c r="AF44" s="23"/>
      <c r="AG44" s="23"/>
      <c r="AH44" s="23"/>
      <c r="AI44" s="23"/>
      <c r="AJ44" s="22"/>
    </row>
    <row r="45" spans="1:41" s="5" customFormat="1" ht="30" customHeight="1">
      <c r="A45" s="566">
        <f t="shared" si="10"/>
        <v>41</v>
      </c>
      <c r="B45" s="3">
        <v>2132</v>
      </c>
      <c r="C45" s="3" t="s">
        <v>649</v>
      </c>
      <c r="D45" s="4">
        <f>700000-120000</f>
        <v>580000</v>
      </c>
      <c r="E45" s="4">
        <v>700000</v>
      </c>
      <c r="F45" s="4">
        <f t="shared" si="13"/>
        <v>-120000</v>
      </c>
      <c r="G45" s="4">
        <v>580000</v>
      </c>
      <c r="H45" s="4">
        <v>572172</v>
      </c>
      <c r="I45" s="4">
        <v>0</v>
      </c>
      <c r="J45" s="4">
        <v>5123</v>
      </c>
      <c r="K45" s="4">
        <f t="shared" si="14"/>
        <v>5123</v>
      </c>
      <c r="L45" s="4">
        <f t="shared" si="15"/>
        <v>577295</v>
      </c>
      <c r="M45" s="4">
        <f t="shared" si="11"/>
        <v>2705</v>
      </c>
      <c r="N45" s="4"/>
      <c r="O45" s="4">
        <f t="shared" si="16"/>
        <v>0</v>
      </c>
      <c r="P45" s="4">
        <f t="shared" si="17"/>
        <v>2705</v>
      </c>
      <c r="Q45" s="4"/>
      <c r="R45" s="4"/>
      <c r="S45" s="4">
        <f t="shared" si="18"/>
        <v>0</v>
      </c>
      <c r="T45" s="4">
        <f t="shared" si="19"/>
        <v>0</v>
      </c>
      <c r="U45" s="4">
        <f t="shared" si="20"/>
        <v>0</v>
      </c>
      <c r="V45" s="4"/>
      <c r="W45" s="4">
        <f t="shared" si="12"/>
        <v>0</v>
      </c>
      <c r="X45" s="4"/>
      <c r="Y45" s="4"/>
      <c r="Z45" s="4"/>
      <c r="AA45" s="3"/>
      <c r="AB45" s="3" t="s">
        <v>726</v>
      </c>
      <c r="AC45" s="3">
        <v>810000</v>
      </c>
      <c r="AD45" s="24"/>
      <c r="AE45" s="24"/>
      <c r="AF45" s="23"/>
      <c r="AG45" s="23"/>
      <c r="AH45" s="23"/>
      <c r="AI45" s="23"/>
      <c r="AJ45" s="22"/>
    </row>
    <row r="46" spans="1:41" s="567" customFormat="1" ht="30" customHeight="1">
      <c r="A46" s="566">
        <f t="shared" si="10"/>
        <v>42</v>
      </c>
      <c r="B46" s="3">
        <v>2133</v>
      </c>
      <c r="C46" s="3" t="s">
        <v>650</v>
      </c>
      <c r="D46" s="4">
        <v>3150000</v>
      </c>
      <c r="E46" s="4">
        <v>3000000</v>
      </c>
      <c r="F46" s="4">
        <f t="shared" si="13"/>
        <v>150000</v>
      </c>
      <c r="G46" s="4">
        <v>1000000</v>
      </c>
      <c r="H46" s="4">
        <v>611193</v>
      </c>
      <c r="I46" s="4">
        <v>0</v>
      </c>
      <c r="J46" s="4">
        <v>0</v>
      </c>
      <c r="K46" s="4">
        <f t="shared" si="14"/>
        <v>0</v>
      </c>
      <c r="L46" s="4">
        <f t="shared" si="15"/>
        <v>611193</v>
      </c>
      <c r="M46" s="4">
        <f t="shared" si="11"/>
        <v>388807</v>
      </c>
      <c r="N46" s="4">
        <v>2150000</v>
      </c>
      <c r="O46" s="4">
        <f t="shared" si="16"/>
        <v>0</v>
      </c>
      <c r="P46" s="4">
        <f t="shared" si="17"/>
        <v>388807</v>
      </c>
      <c r="Q46" s="4"/>
      <c r="R46" s="4"/>
      <c r="S46" s="4">
        <f t="shared" si="18"/>
        <v>0</v>
      </c>
      <c r="T46" s="4">
        <f t="shared" si="19"/>
        <v>0</v>
      </c>
      <c r="U46" s="4">
        <f t="shared" si="20"/>
        <v>2150000</v>
      </c>
      <c r="V46" s="4"/>
      <c r="W46" s="4">
        <f t="shared" si="12"/>
        <v>2150000</v>
      </c>
      <c r="X46" s="4"/>
      <c r="Y46" s="4"/>
      <c r="Z46" s="4"/>
      <c r="AA46" s="3"/>
      <c r="AB46" s="3" t="s">
        <v>727</v>
      </c>
      <c r="AC46" s="3">
        <v>930000</v>
      </c>
      <c r="AD46" s="24"/>
      <c r="AE46" s="24"/>
      <c r="AF46" s="23"/>
      <c r="AG46" s="23"/>
      <c r="AH46" s="23"/>
      <c r="AI46" s="23"/>
      <c r="AJ46" s="22"/>
      <c r="AK46" s="5"/>
      <c r="AL46" s="5"/>
      <c r="AM46" s="5"/>
      <c r="AN46" s="5"/>
      <c r="AO46" s="5"/>
    </row>
    <row r="47" spans="1:41" s="5" customFormat="1" ht="30" customHeight="1">
      <c r="A47" s="566">
        <f t="shared" si="10"/>
        <v>43</v>
      </c>
      <c r="B47" s="3">
        <v>2134</v>
      </c>
      <c r="C47" s="3" t="s">
        <v>651</v>
      </c>
      <c r="D47" s="4">
        <v>494000</v>
      </c>
      <c r="E47" s="4">
        <v>494000</v>
      </c>
      <c r="F47" s="4">
        <f t="shared" si="13"/>
        <v>0</v>
      </c>
      <c r="G47" s="4">
        <v>494000</v>
      </c>
      <c r="H47" s="4">
        <v>413088</v>
      </c>
      <c r="I47" s="4">
        <v>0</v>
      </c>
      <c r="J47" s="4">
        <v>66991</v>
      </c>
      <c r="K47" s="4">
        <f t="shared" si="14"/>
        <v>66991</v>
      </c>
      <c r="L47" s="4">
        <f t="shared" si="15"/>
        <v>480079</v>
      </c>
      <c r="M47" s="4">
        <f t="shared" si="11"/>
        <v>13921</v>
      </c>
      <c r="N47" s="4"/>
      <c r="O47" s="4">
        <f t="shared" si="16"/>
        <v>0</v>
      </c>
      <c r="P47" s="4">
        <f t="shared" si="17"/>
        <v>13921</v>
      </c>
      <c r="Q47" s="4"/>
      <c r="R47" s="4"/>
      <c r="S47" s="4">
        <f t="shared" si="18"/>
        <v>0</v>
      </c>
      <c r="T47" s="4">
        <f t="shared" si="19"/>
        <v>0</v>
      </c>
      <c r="U47" s="4">
        <f t="shared" si="20"/>
        <v>0</v>
      </c>
      <c r="V47" s="4"/>
      <c r="W47" s="4">
        <f t="shared" si="12"/>
        <v>0</v>
      </c>
      <c r="X47" s="4"/>
      <c r="Y47" s="4"/>
      <c r="Z47" s="4"/>
      <c r="AA47" s="3"/>
      <c r="AB47" s="3" t="s">
        <v>1271</v>
      </c>
      <c r="AC47" s="3">
        <v>829000</v>
      </c>
      <c r="AD47" s="24"/>
      <c r="AE47" s="24"/>
      <c r="AF47" s="23"/>
      <c r="AG47" s="23"/>
      <c r="AH47" s="23"/>
      <c r="AI47" s="23"/>
      <c r="AJ47" s="22"/>
    </row>
    <row r="48" spans="1:41" s="5" customFormat="1" ht="30" customHeight="1">
      <c r="A48" s="566">
        <f t="shared" si="10"/>
        <v>44</v>
      </c>
      <c r="B48" s="3">
        <v>2140</v>
      </c>
      <c r="C48" s="3" t="s">
        <v>951</v>
      </c>
      <c r="D48" s="4">
        <v>360000</v>
      </c>
      <c r="E48" s="4">
        <v>360000</v>
      </c>
      <c r="F48" s="4">
        <f t="shared" si="13"/>
        <v>0</v>
      </c>
      <c r="G48" s="4">
        <v>360000</v>
      </c>
      <c r="H48" s="4">
        <v>283122</v>
      </c>
      <c r="I48" s="4">
        <v>0</v>
      </c>
      <c r="J48" s="4">
        <v>0</v>
      </c>
      <c r="K48" s="4">
        <f t="shared" si="14"/>
        <v>0</v>
      </c>
      <c r="L48" s="4">
        <f t="shared" si="15"/>
        <v>283122</v>
      </c>
      <c r="M48" s="4">
        <f t="shared" si="11"/>
        <v>76878</v>
      </c>
      <c r="N48" s="4"/>
      <c r="O48" s="4">
        <f t="shared" si="16"/>
        <v>0</v>
      </c>
      <c r="P48" s="4">
        <f t="shared" si="17"/>
        <v>76878</v>
      </c>
      <c r="Q48" s="4"/>
      <c r="R48" s="4"/>
      <c r="S48" s="4">
        <f t="shared" si="18"/>
        <v>0</v>
      </c>
      <c r="T48" s="4">
        <f t="shared" si="19"/>
        <v>0</v>
      </c>
      <c r="U48" s="4">
        <f t="shared" si="20"/>
        <v>0</v>
      </c>
      <c r="V48" s="4"/>
      <c r="W48" s="4">
        <f t="shared" si="12"/>
        <v>0</v>
      </c>
      <c r="X48" s="4"/>
      <c r="Y48" s="4"/>
      <c r="Z48" s="4"/>
      <c r="AA48" s="3"/>
      <c r="AB48" s="3" t="s">
        <v>1272</v>
      </c>
      <c r="AC48" s="3">
        <v>810000</v>
      </c>
      <c r="AD48" s="24"/>
      <c r="AE48" s="24"/>
      <c r="AF48" s="23"/>
      <c r="AG48" s="23"/>
      <c r="AH48" s="23"/>
      <c r="AI48" s="23"/>
      <c r="AJ48" s="22"/>
    </row>
    <row r="49" spans="1:36" s="5" customFormat="1" ht="30" customHeight="1">
      <c r="A49" s="566">
        <f t="shared" si="10"/>
        <v>45</v>
      </c>
      <c r="B49" s="3">
        <v>2154</v>
      </c>
      <c r="C49" s="3" t="s">
        <v>952</v>
      </c>
      <c r="D49" s="4">
        <v>10500000</v>
      </c>
      <c r="E49" s="4">
        <v>10500000</v>
      </c>
      <c r="F49" s="4">
        <f t="shared" si="13"/>
        <v>0</v>
      </c>
      <c r="G49" s="4">
        <v>0</v>
      </c>
      <c r="H49" s="4">
        <v>0</v>
      </c>
      <c r="I49" s="4">
        <v>0</v>
      </c>
      <c r="J49" s="4">
        <v>0</v>
      </c>
      <c r="K49" s="4">
        <f t="shared" si="14"/>
        <v>0</v>
      </c>
      <c r="L49" s="4">
        <f t="shared" si="15"/>
        <v>0</v>
      </c>
      <c r="M49" s="4">
        <f t="shared" si="11"/>
        <v>0</v>
      </c>
      <c r="N49" s="4">
        <f>3500000-1000000</f>
        <v>2500000</v>
      </c>
      <c r="O49" s="4">
        <f t="shared" si="16"/>
        <v>8000000</v>
      </c>
      <c r="P49" s="4">
        <f t="shared" si="17"/>
        <v>0</v>
      </c>
      <c r="Q49" s="4"/>
      <c r="R49" s="4"/>
      <c r="S49" s="4">
        <f t="shared" si="18"/>
        <v>0</v>
      </c>
      <c r="T49" s="4">
        <f t="shared" si="19"/>
        <v>0</v>
      </c>
      <c r="U49" s="4">
        <f t="shared" si="20"/>
        <v>2500000</v>
      </c>
      <c r="V49" s="4"/>
      <c r="W49" s="4">
        <f t="shared" si="12"/>
        <v>1264113</v>
      </c>
      <c r="X49" s="4"/>
      <c r="Y49" s="4"/>
      <c r="Z49" s="4"/>
      <c r="AA49" s="4">
        <v>1235887</v>
      </c>
      <c r="AB49" s="3" t="s">
        <v>729</v>
      </c>
      <c r="AC49" s="3">
        <v>870000</v>
      </c>
      <c r="AD49" s="24"/>
      <c r="AE49" s="24"/>
    </row>
    <row r="50" spans="1:36" s="5" customFormat="1" ht="30" customHeight="1">
      <c r="A50" s="566">
        <f t="shared" si="10"/>
        <v>46</v>
      </c>
      <c r="B50" s="3">
        <v>2155</v>
      </c>
      <c r="C50" s="3" t="s">
        <v>730</v>
      </c>
      <c r="D50" s="4">
        <v>700000</v>
      </c>
      <c r="E50" s="4">
        <v>700000</v>
      </c>
      <c r="F50" s="4">
        <f t="shared" si="13"/>
        <v>0</v>
      </c>
      <c r="G50" s="4">
        <v>0</v>
      </c>
      <c r="H50" s="4">
        <v>0</v>
      </c>
      <c r="I50" s="4">
        <v>0</v>
      </c>
      <c r="J50" s="4">
        <v>0</v>
      </c>
      <c r="K50" s="4">
        <f t="shared" si="14"/>
        <v>0</v>
      </c>
      <c r="L50" s="4">
        <f t="shared" si="15"/>
        <v>0</v>
      </c>
      <c r="M50" s="4">
        <f t="shared" si="11"/>
        <v>0</v>
      </c>
      <c r="N50" s="4">
        <f>700000-700000</f>
        <v>0</v>
      </c>
      <c r="O50" s="4">
        <f t="shared" si="16"/>
        <v>700000</v>
      </c>
      <c r="P50" s="4">
        <f t="shared" si="17"/>
        <v>0</v>
      </c>
      <c r="Q50" s="4"/>
      <c r="R50" s="4"/>
      <c r="S50" s="4">
        <f t="shared" si="18"/>
        <v>0</v>
      </c>
      <c r="T50" s="4">
        <f t="shared" si="19"/>
        <v>0</v>
      </c>
      <c r="U50" s="4">
        <f t="shared" si="20"/>
        <v>0</v>
      </c>
      <c r="V50" s="4"/>
      <c r="W50" s="4">
        <f t="shared" si="12"/>
        <v>0</v>
      </c>
      <c r="X50" s="4"/>
      <c r="Y50" s="4"/>
      <c r="Z50" s="4"/>
      <c r="AA50" s="3"/>
      <c r="AB50" s="3" t="s">
        <v>731</v>
      </c>
      <c r="AC50" s="3">
        <v>746000</v>
      </c>
      <c r="AD50" s="24"/>
      <c r="AE50" s="24"/>
    </row>
    <row r="51" spans="1:36" s="5" customFormat="1" ht="30" customHeight="1">
      <c r="A51" s="566">
        <f t="shared" si="10"/>
        <v>47</v>
      </c>
      <c r="B51" s="3">
        <v>2156</v>
      </c>
      <c r="C51" s="3" t="s">
        <v>732</v>
      </c>
      <c r="D51" s="4">
        <v>1600000</v>
      </c>
      <c r="E51" s="4">
        <v>1600000</v>
      </c>
      <c r="F51" s="4">
        <f t="shared" si="13"/>
        <v>0</v>
      </c>
      <c r="G51" s="4">
        <v>0</v>
      </c>
      <c r="H51" s="4">
        <v>0</v>
      </c>
      <c r="I51" s="4">
        <v>0</v>
      </c>
      <c r="J51" s="4">
        <v>0</v>
      </c>
      <c r="K51" s="4">
        <f t="shared" si="14"/>
        <v>0</v>
      </c>
      <c r="L51" s="4">
        <f t="shared" si="15"/>
        <v>0</v>
      </c>
      <c r="M51" s="4">
        <f t="shared" si="11"/>
        <v>0</v>
      </c>
      <c r="N51" s="4">
        <f>600000-500000</f>
        <v>100000</v>
      </c>
      <c r="O51" s="4">
        <f t="shared" si="16"/>
        <v>1500000</v>
      </c>
      <c r="P51" s="4">
        <f t="shared" si="17"/>
        <v>0</v>
      </c>
      <c r="Q51" s="4"/>
      <c r="R51" s="4"/>
      <c r="S51" s="4">
        <f t="shared" si="18"/>
        <v>0</v>
      </c>
      <c r="T51" s="4">
        <f t="shared" si="19"/>
        <v>0</v>
      </c>
      <c r="U51" s="4">
        <f t="shared" si="20"/>
        <v>100000</v>
      </c>
      <c r="V51" s="4"/>
      <c r="W51" s="4">
        <f t="shared" si="12"/>
        <v>100000</v>
      </c>
      <c r="X51" s="4"/>
      <c r="Y51" s="4"/>
      <c r="Z51" s="4"/>
      <c r="AA51" s="3"/>
      <c r="AB51" s="3" t="s">
        <v>733</v>
      </c>
      <c r="AC51" s="3">
        <v>720000</v>
      </c>
      <c r="AD51" s="24"/>
      <c r="AE51" s="24"/>
    </row>
    <row r="52" spans="1:36" s="5" customFormat="1" ht="30" customHeight="1">
      <c r="A52" s="566">
        <f t="shared" si="10"/>
        <v>48</v>
      </c>
      <c r="B52" s="3">
        <v>2157</v>
      </c>
      <c r="C52" s="3" t="s">
        <v>953</v>
      </c>
      <c r="D52" s="4">
        <v>5200000</v>
      </c>
      <c r="E52" s="4">
        <v>5200000</v>
      </c>
      <c r="F52" s="4">
        <f t="shared" si="13"/>
        <v>0</v>
      </c>
      <c r="G52" s="4">
        <v>0</v>
      </c>
      <c r="H52" s="4">
        <v>0</v>
      </c>
      <c r="I52" s="4">
        <v>0</v>
      </c>
      <c r="J52" s="4">
        <v>0</v>
      </c>
      <c r="K52" s="4">
        <f t="shared" si="14"/>
        <v>0</v>
      </c>
      <c r="L52" s="4">
        <f t="shared" si="15"/>
        <v>0</v>
      </c>
      <c r="M52" s="4">
        <f t="shared" si="11"/>
        <v>0</v>
      </c>
      <c r="N52" s="4">
        <f>500000-200000-150000</f>
        <v>150000</v>
      </c>
      <c r="O52" s="4">
        <f t="shared" si="16"/>
        <v>5050000</v>
      </c>
      <c r="P52" s="4">
        <f t="shared" si="17"/>
        <v>0</v>
      </c>
      <c r="Q52" s="4"/>
      <c r="R52" s="4"/>
      <c r="S52" s="4">
        <f t="shared" si="18"/>
        <v>0</v>
      </c>
      <c r="T52" s="4">
        <f t="shared" si="19"/>
        <v>0</v>
      </c>
      <c r="U52" s="4">
        <f t="shared" si="20"/>
        <v>150000</v>
      </c>
      <c r="V52" s="4"/>
      <c r="W52" s="4">
        <f t="shared" si="12"/>
        <v>150000</v>
      </c>
      <c r="X52" s="4"/>
      <c r="Y52" s="4"/>
      <c r="Z52" s="4"/>
      <c r="AA52" s="3"/>
      <c r="AB52" s="3" t="s">
        <v>854</v>
      </c>
      <c r="AC52" s="3">
        <v>810000</v>
      </c>
      <c r="AD52" s="24"/>
      <c r="AE52" s="24"/>
    </row>
    <row r="53" spans="1:36" s="5" customFormat="1" ht="30" customHeight="1">
      <c r="A53" s="566">
        <f t="shared" si="10"/>
        <v>49</v>
      </c>
      <c r="B53" s="3">
        <v>2176</v>
      </c>
      <c r="C53" s="3" t="s">
        <v>1265</v>
      </c>
      <c r="D53" s="4">
        <v>2100000</v>
      </c>
      <c r="E53" s="4">
        <v>2100000</v>
      </c>
      <c r="F53" s="4">
        <f t="shared" si="13"/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14"/>
        <v>0</v>
      </c>
      <c r="L53" s="4">
        <f t="shared" si="15"/>
        <v>0</v>
      </c>
      <c r="M53" s="4">
        <f t="shared" si="11"/>
        <v>0</v>
      </c>
      <c r="N53" s="4"/>
      <c r="O53" s="4">
        <f t="shared" si="16"/>
        <v>2100000</v>
      </c>
      <c r="P53" s="4">
        <f t="shared" si="17"/>
        <v>0</v>
      </c>
      <c r="Q53" s="4"/>
      <c r="R53" s="4"/>
      <c r="S53" s="4">
        <f t="shared" si="18"/>
        <v>0</v>
      </c>
      <c r="T53" s="4">
        <f t="shared" si="19"/>
        <v>0</v>
      </c>
      <c r="U53" s="4">
        <f t="shared" si="20"/>
        <v>0</v>
      </c>
      <c r="V53" s="4"/>
      <c r="W53" s="4">
        <f t="shared" si="12"/>
        <v>0</v>
      </c>
      <c r="X53" s="4"/>
      <c r="Y53" s="4"/>
      <c r="Z53" s="4"/>
      <c r="AA53" s="3"/>
      <c r="AB53" s="3" t="s">
        <v>1266</v>
      </c>
      <c r="AC53" s="3">
        <v>829000</v>
      </c>
      <c r="AD53" s="24"/>
      <c r="AE53" s="24"/>
    </row>
    <row r="54" spans="1:36" s="5" customFormat="1" ht="51.65" customHeight="1">
      <c r="A54" s="566">
        <f t="shared" si="10"/>
        <v>50</v>
      </c>
      <c r="B54" s="3">
        <v>2177</v>
      </c>
      <c r="C54" s="3" t="s">
        <v>1490</v>
      </c>
      <c r="D54" s="4">
        <v>5500000</v>
      </c>
      <c r="E54" s="4">
        <v>500000</v>
      </c>
      <c r="F54" s="4">
        <f t="shared" si="13"/>
        <v>5000000</v>
      </c>
      <c r="G54" s="4">
        <v>0</v>
      </c>
      <c r="H54" s="4">
        <v>0</v>
      </c>
      <c r="I54" s="4">
        <v>0</v>
      </c>
      <c r="J54" s="4">
        <v>0</v>
      </c>
      <c r="K54" s="4">
        <f t="shared" si="14"/>
        <v>0</v>
      </c>
      <c r="L54" s="4">
        <f t="shared" si="15"/>
        <v>0</v>
      </c>
      <c r="M54" s="4">
        <f t="shared" si="11"/>
        <v>0</v>
      </c>
      <c r="N54" s="4">
        <v>5500000</v>
      </c>
      <c r="O54" s="4">
        <f t="shared" si="16"/>
        <v>0</v>
      </c>
      <c r="P54" s="4">
        <f t="shared" si="17"/>
        <v>0</v>
      </c>
      <c r="Q54" s="4"/>
      <c r="R54" s="4"/>
      <c r="S54" s="4">
        <f t="shared" si="18"/>
        <v>0</v>
      </c>
      <c r="T54" s="4">
        <f t="shared" si="19"/>
        <v>0</v>
      </c>
      <c r="U54" s="4">
        <f t="shared" si="20"/>
        <v>5500000</v>
      </c>
      <c r="V54" s="4"/>
      <c r="W54" s="4">
        <f t="shared" si="12"/>
        <v>5500000</v>
      </c>
      <c r="X54" s="4"/>
      <c r="Y54" s="4"/>
      <c r="Z54" s="4"/>
      <c r="AA54" s="3"/>
      <c r="AB54" s="3" t="s">
        <v>1552</v>
      </c>
      <c r="AC54" s="3">
        <v>810000</v>
      </c>
      <c r="AD54" s="24"/>
      <c r="AE54" s="24"/>
      <c r="AF54" s="23"/>
      <c r="AG54" s="23"/>
      <c r="AH54" s="23"/>
      <c r="AI54" s="23"/>
      <c r="AJ54" s="22"/>
    </row>
    <row r="55" spans="1:36" s="5" customFormat="1" ht="30" customHeight="1">
      <c r="A55" s="566">
        <f t="shared" si="10"/>
        <v>51</v>
      </c>
      <c r="B55" s="3">
        <v>2178</v>
      </c>
      <c r="C55" s="3" t="s">
        <v>956</v>
      </c>
      <c r="D55" s="4">
        <v>3100000</v>
      </c>
      <c r="E55" s="4">
        <v>3100000</v>
      </c>
      <c r="F55" s="4">
        <f t="shared" si="13"/>
        <v>0</v>
      </c>
      <c r="G55" s="4">
        <v>3100000</v>
      </c>
      <c r="H55" s="4">
        <v>598723</v>
      </c>
      <c r="I55" s="4">
        <v>159611</v>
      </c>
      <c r="J55" s="4">
        <v>957425</v>
      </c>
      <c r="K55" s="4">
        <f t="shared" si="14"/>
        <v>1117036</v>
      </c>
      <c r="L55" s="4">
        <f t="shared" si="15"/>
        <v>1715759</v>
      </c>
      <c r="M55" s="4">
        <f t="shared" si="11"/>
        <v>1384241</v>
      </c>
      <c r="N55" s="4"/>
      <c r="O55" s="4">
        <f t="shared" si="16"/>
        <v>0</v>
      </c>
      <c r="P55" s="4">
        <f t="shared" si="17"/>
        <v>1384241</v>
      </c>
      <c r="Q55" s="4"/>
      <c r="R55" s="4"/>
      <c r="S55" s="4">
        <f t="shared" si="18"/>
        <v>0</v>
      </c>
      <c r="T55" s="4">
        <f t="shared" si="19"/>
        <v>0</v>
      </c>
      <c r="U55" s="4">
        <f t="shared" si="20"/>
        <v>0</v>
      </c>
      <c r="V55" s="4"/>
      <c r="W55" s="4">
        <f t="shared" si="12"/>
        <v>0</v>
      </c>
      <c r="X55" s="4"/>
      <c r="Y55" s="4"/>
      <c r="Z55" s="4"/>
      <c r="AA55" s="3"/>
      <c r="AB55" s="3" t="s">
        <v>1386</v>
      </c>
      <c r="AC55" s="3">
        <v>810000</v>
      </c>
      <c r="AD55" s="24"/>
      <c r="AE55" s="24"/>
    </row>
    <row r="56" spans="1:36" s="5" customFormat="1" ht="30" customHeight="1">
      <c r="A56" s="566">
        <f t="shared" si="10"/>
        <v>52</v>
      </c>
      <c r="B56" s="3">
        <v>2183</v>
      </c>
      <c r="C56" s="3" t="s">
        <v>957</v>
      </c>
      <c r="D56" s="4">
        <v>800000</v>
      </c>
      <c r="E56" s="4">
        <v>800000</v>
      </c>
      <c r="F56" s="4">
        <f t="shared" si="13"/>
        <v>0</v>
      </c>
      <c r="G56" s="4">
        <v>800000</v>
      </c>
      <c r="H56" s="4">
        <v>0</v>
      </c>
      <c r="I56" s="4">
        <v>0</v>
      </c>
      <c r="J56" s="4">
        <v>15701</v>
      </c>
      <c r="K56" s="4">
        <f t="shared" si="14"/>
        <v>15701</v>
      </c>
      <c r="L56" s="4">
        <f t="shared" si="15"/>
        <v>15701</v>
      </c>
      <c r="M56" s="4">
        <f>P56+S56-780000</f>
        <v>4299</v>
      </c>
      <c r="N56" s="4"/>
      <c r="O56" s="4">
        <f t="shared" si="16"/>
        <v>780000</v>
      </c>
      <c r="P56" s="4">
        <f t="shared" si="17"/>
        <v>784299</v>
      </c>
      <c r="Q56" s="4"/>
      <c r="R56" s="4"/>
      <c r="S56" s="4">
        <f t="shared" si="18"/>
        <v>0</v>
      </c>
      <c r="T56" s="4">
        <f t="shared" si="19"/>
        <v>780000</v>
      </c>
      <c r="U56" s="4">
        <f t="shared" si="20"/>
        <v>-780000</v>
      </c>
      <c r="V56" s="4"/>
      <c r="W56" s="4">
        <f t="shared" si="12"/>
        <v>-780000</v>
      </c>
      <c r="X56" s="4"/>
      <c r="Y56" s="4"/>
      <c r="Z56" s="4"/>
      <c r="AA56" s="3"/>
      <c r="AB56" s="3" t="s">
        <v>1273</v>
      </c>
      <c r="AC56" s="3">
        <v>725000</v>
      </c>
      <c r="AD56" s="24"/>
      <c r="AE56" s="24"/>
    </row>
    <row r="57" spans="1:36" s="5" customFormat="1" ht="30" customHeight="1">
      <c r="A57" s="566">
        <f t="shared" si="10"/>
        <v>53</v>
      </c>
      <c r="B57" s="3">
        <v>2184</v>
      </c>
      <c r="C57" s="3" t="s">
        <v>958</v>
      </c>
      <c r="D57" s="4">
        <v>2180000</v>
      </c>
      <c r="E57" s="4">
        <v>2180000</v>
      </c>
      <c r="F57" s="4">
        <f t="shared" si="13"/>
        <v>0</v>
      </c>
      <c r="G57" s="4">
        <v>560000</v>
      </c>
      <c r="H57" s="4">
        <v>0</v>
      </c>
      <c r="I57" s="4">
        <v>0</v>
      </c>
      <c r="J57" s="4">
        <v>25887</v>
      </c>
      <c r="K57" s="4">
        <f t="shared" si="14"/>
        <v>25887</v>
      </c>
      <c r="L57" s="4">
        <f t="shared" si="15"/>
        <v>25887</v>
      </c>
      <c r="M57" s="4">
        <f t="shared" ref="M57:M64" si="21">P57+S57</f>
        <v>534113</v>
      </c>
      <c r="N57" s="4">
        <f>1620000-1620000</f>
        <v>0</v>
      </c>
      <c r="O57" s="4">
        <f t="shared" si="16"/>
        <v>1620000</v>
      </c>
      <c r="P57" s="4">
        <f t="shared" si="17"/>
        <v>534113</v>
      </c>
      <c r="Q57" s="4"/>
      <c r="R57" s="4"/>
      <c r="S57" s="4">
        <f t="shared" si="18"/>
        <v>0</v>
      </c>
      <c r="T57" s="4">
        <f t="shared" si="19"/>
        <v>0</v>
      </c>
      <c r="U57" s="4">
        <f t="shared" si="20"/>
        <v>0</v>
      </c>
      <c r="V57" s="4"/>
      <c r="W57" s="4">
        <f t="shared" si="12"/>
        <v>0</v>
      </c>
      <c r="X57" s="4"/>
      <c r="Y57" s="4"/>
      <c r="Z57" s="4"/>
      <c r="AA57" s="3"/>
      <c r="AB57" s="3" t="s">
        <v>1432</v>
      </c>
      <c r="AC57" s="3">
        <v>930000</v>
      </c>
      <c r="AD57" s="24"/>
      <c r="AE57" s="24"/>
    </row>
    <row r="58" spans="1:36" s="5" customFormat="1" ht="30" customHeight="1">
      <c r="A58" s="566">
        <f t="shared" si="10"/>
        <v>54</v>
      </c>
      <c r="B58" s="3">
        <v>2187</v>
      </c>
      <c r="C58" s="3" t="s">
        <v>1267</v>
      </c>
      <c r="D58" s="4">
        <v>8600000</v>
      </c>
      <c r="E58" s="4">
        <v>800000</v>
      </c>
      <c r="F58" s="4">
        <f t="shared" si="13"/>
        <v>7800000</v>
      </c>
      <c r="G58" s="4">
        <v>800000</v>
      </c>
      <c r="H58" s="4">
        <v>0</v>
      </c>
      <c r="I58" s="4">
        <v>0</v>
      </c>
      <c r="J58" s="4">
        <v>0</v>
      </c>
      <c r="K58" s="4">
        <f t="shared" si="14"/>
        <v>0</v>
      </c>
      <c r="L58" s="4">
        <f t="shared" si="15"/>
        <v>0</v>
      </c>
      <c r="M58" s="4">
        <f t="shared" si="21"/>
        <v>800000</v>
      </c>
      <c r="N58" s="4">
        <v>7800000</v>
      </c>
      <c r="O58" s="4">
        <f t="shared" si="16"/>
        <v>0</v>
      </c>
      <c r="P58" s="4">
        <f t="shared" si="17"/>
        <v>800000</v>
      </c>
      <c r="Q58" s="4"/>
      <c r="R58" s="4"/>
      <c r="S58" s="4">
        <f t="shared" si="18"/>
        <v>0</v>
      </c>
      <c r="T58" s="4">
        <f t="shared" si="19"/>
        <v>0</v>
      </c>
      <c r="U58" s="4">
        <f t="shared" si="20"/>
        <v>7800000</v>
      </c>
      <c r="V58" s="4">
        <f>5800000-700000-600000</f>
        <v>4500000</v>
      </c>
      <c r="W58" s="4">
        <f t="shared" si="12"/>
        <v>3300000</v>
      </c>
      <c r="X58" s="4"/>
      <c r="Y58" s="4"/>
      <c r="Z58" s="4"/>
      <c r="AA58" s="3"/>
      <c r="AB58" s="3" t="s">
        <v>1268</v>
      </c>
      <c r="AC58" s="3">
        <v>810000</v>
      </c>
      <c r="AD58" s="24"/>
      <c r="AE58" s="24"/>
    </row>
    <row r="59" spans="1:36" ht="30" customHeight="1">
      <c r="A59" s="566">
        <f t="shared" si="10"/>
        <v>55</v>
      </c>
      <c r="B59" s="278">
        <v>2211</v>
      </c>
      <c r="C59" s="376" t="s">
        <v>1274</v>
      </c>
      <c r="D59" s="4">
        <v>800000</v>
      </c>
      <c r="E59" s="19"/>
      <c r="F59" s="4">
        <f t="shared" ref="F59:F64" si="22">D59-E59</f>
        <v>800000</v>
      </c>
      <c r="G59" s="19"/>
      <c r="H59" s="19"/>
      <c r="I59" s="19"/>
      <c r="J59" s="19"/>
      <c r="K59" s="4">
        <f t="shared" si="14"/>
        <v>0</v>
      </c>
      <c r="L59" s="4">
        <f t="shared" si="15"/>
        <v>0</v>
      </c>
      <c r="M59" s="4">
        <f t="shared" si="21"/>
        <v>0</v>
      </c>
      <c r="N59" s="4">
        <v>800000</v>
      </c>
      <c r="O59" s="4">
        <f t="shared" si="16"/>
        <v>0</v>
      </c>
      <c r="P59" s="4">
        <f t="shared" si="17"/>
        <v>0</v>
      </c>
      <c r="Q59" s="19"/>
      <c r="R59" s="19"/>
      <c r="S59" s="4">
        <f t="shared" si="18"/>
        <v>0</v>
      </c>
      <c r="T59" s="4">
        <f t="shared" si="19"/>
        <v>0</v>
      </c>
      <c r="U59" s="4">
        <f t="shared" ref="U59:U64" si="23">N59-T59</f>
        <v>800000</v>
      </c>
      <c r="V59" s="4"/>
      <c r="W59" s="4">
        <f t="shared" si="12"/>
        <v>800000</v>
      </c>
      <c r="X59" s="40"/>
      <c r="Y59" s="40"/>
      <c r="Z59" s="40"/>
      <c r="AA59" s="40"/>
      <c r="AB59" s="376" t="s">
        <v>1713</v>
      </c>
      <c r="AC59" s="3">
        <v>810000</v>
      </c>
      <c r="AF59" s="12"/>
      <c r="AG59" s="12"/>
      <c r="AH59" s="12"/>
      <c r="AI59" s="12"/>
      <c r="AJ59" s="12"/>
    </row>
    <row r="60" spans="1:36" s="5" customFormat="1" ht="30" customHeight="1">
      <c r="A60" s="566">
        <f t="shared" si="10"/>
        <v>56</v>
      </c>
      <c r="B60" s="278">
        <v>2212</v>
      </c>
      <c r="C60" s="3" t="s">
        <v>1275</v>
      </c>
      <c r="D60" s="4">
        <v>8000000</v>
      </c>
      <c r="E60" s="4"/>
      <c r="F60" s="4">
        <f t="shared" si="22"/>
        <v>8000000</v>
      </c>
      <c r="G60" s="19"/>
      <c r="H60" s="19"/>
      <c r="I60" s="19"/>
      <c r="J60" s="19"/>
      <c r="K60" s="4">
        <f>SUM(I60:J60)</f>
        <v>0</v>
      </c>
      <c r="L60" s="4">
        <f>K60+H60</f>
        <v>0</v>
      </c>
      <c r="M60" s="4">
        <f t="shared" si="21"/>
        <v>0</v>
      </c>
      <c r="N60" s="4">
        <f>8000000-4000000-2000000</f>
        <v>2000000</v>
      </c>
      <c r="O60" s="4">
        <f>D60-L60-M60-N60</f>
        <v>6000000</v>
      </c>
      <c r="P60" s="4">
        <f>G60-L60</f>
        <v>0</v>
      </c>
      <c r="Q60" s="19"/>
      <c r="R60" s="19"/>
      <c r="S60" s="4">
        <f>SUM(Q60:R60)</f>
        <v>0</v>
      </c>
      <c r="T60" s="4">
        <f>P60-M60+S60</f>
        <v>0</v>
      </c>
      <c r="U60" s="4">
        <f t="shared" si="23"/>
        <v>2000000</v>
      </c>
      <c r="V60" s="4"/>
      <c r="W60" s="4">
        <f>U60-V60-AA60</f>
        <v>2000000</v>
      </c>
      <c r="X60" s="4"/>
      <c r="Y60" s="4"/>
      <c r="Z60" s="4"/>
      <c r="AA60" s="4"/>
      <c r="AB60" s="3" t="s">
        <v>1276</v>
      </c>
      <c r="AC60" s="3">
        <v>810000</v>
      </c>
      <c r="AD60" s="24"/>
      <c r="AE60" s="24"/>
    </row>
    <row r="61" spans="1:36" s="5" customFormat="1" ht="30" customHeight="1">
      <c r="A61" s="566">
        <f t="shared" si="10"/>
        <v>57</v>
      </c>
      <c r="B61" s="278">
        <v>2213</v>
      </c>
      <c r="C61" s="3" t="s">
        <v>1277</v>
      </c>
      <c r="D61" s="4">
        <v>7100000</v>
      </c>
      <c r="E61" s="4"/>
      <c r="F61" s="4">
        <f t="shared" si="22"/>
        <v>7100000</v>
      </c>
      <c r="G61" s="19"/>
      <c r="H61" s="19"/>
      <c r="I61" s="19"/>
      <c r="J61" s="19"/>
      <c r="K61" s="4">
        <f>SUM(I61:J61)</f>
        <v>0</v>
      </c>
      <c r="L61" s="4">
        <f>K61+H61</f>
        <v>0</v>
      </c>
      <c r="M61" s="4">
        <f t="shared" si="21"/>
        <v>0</v>
      </c>
      <c r="N61" s="4">
        <v>7100000</v>
      </c>
      <c r="O61" s="4">
        <f>D61-L61-M61-N61</f>
        <v>0</v>
      </c>
      <c r="P61" s="4">
        <f>G61-L61</f>
        <v>0</v>
      </c>
      <c r="Q61" s="19"/>
      <c r="R61" s="19"/>
      <c r="S61" s="4">
        <f>SUM(Q61:R61)</f>
        <v>0</v>
      </c>
      <c r="T61" s="4">
        <f>P61-M61+S61</f>
        <v>0</v>
      </c>
      <c r="U61" s="4">
        <f t="shared" si="23"/>
        <v>7100000</v>
      </c>
      <c r="V61" s="4"/>
      <c r="W61" s="4">
        <f>U61-V61-AA61-Z61</f>
        <v>0</v>
      </c>
      <c r="X61" s="4"/>
      <c r="Y61" s="4"/>
      <c r="Z61" s="4">
        <v>7100000</v>
      </c>
      <c r="AA61" s="4"/>
      <c r="AB61" s="3" t="s">
        <v>1399</v>
      </c>
      <c r="AC61" s="3">
        <v>870000</v>
      </c>
      <c r="AD61" s="24"/>
      <c r="AE61" s="24"/>
    </row>
    <row r="62" spans="1:36" s="5" customFormat="1" ht="30" customHeight="1">
      <c r="A62" s="566">
        <f t="shared" si="10"/>
        <v>58</v>
      </c>
      <c r="B62" s="278">
        <v>2214</v>
      </c>
      <c r="C62" s="3" t="s">
        <v>1278</v>
      </c>
      <c r="D62" s="4">
        <v>200000</v>
      </c>
      <c r="E62" s="4"/>
      <c r="F62" s="4">
        <f t="shared" si="22"/>
        <v>200000</v>
      </c>
      <c r="G62" s="19"/>
      <c r="H62" s="19"/>
      <c r="I62" s="19"/>
      <c r="J62" s="19"/>
      <c r="K62" s="4">
        <f>SUM(I62:J62)</f>
        <v>0</v>
      </c>
      <c r="L62" s="4">
        <f>K62+H62</f>
        <v>0</v>
      </c>
      <c r="M62" s="4">
        <f t="shared" si="21"/>
        <v>0</v>
      </c>
      <c r="N62" s="4">
        <v>200000</v>
      </c>
      <c r="O62" s="4">
        <f>D62-L62-M62-N62</f>
        <v>0</v>
      </c>
      <c r="P62" s="4">
        <f>G62-L62</f>
        <v>0</v>
      </c>
      <c r="Q62" s="19"/>
      <c r="R62" s="19"/>
      <c r="S62" s="4">
        <f>SUM(Q62:R62)</f>
        <v>0</v>
      </c>
      <c r="T62" s="4">
        <f>P62-M62+S62</f>
        <v>0</v>
      </c>
      <c r="U62" s="4">
        <f t="shared" si="23"/>
        <v>200000</v>
      </c>
      <c r="V62" s="4"/>
      <c r="W62" s="4">
        <f>U62-V62-AA62</f>
        <v>200000</v>
      </c>
      <c r="X62" s="4"/>
      <c r="Y62" s="4"/>
      <c r="Z62" s="4"/>
      <c r="AA62" s="4"/>
      <c r="AB62" s="3" t="s">
        <v>1279</v>
      </c>
      <c r="AC62" s="3">
        <v>930000</v>
      </c>
      <c r="AD62" s="24"/>
      <c r="AE62" s="24"/>
    </row>
    <row r="63" spans="1:36" s="5" customFormat="1" ht="30" customHeight="1">
      <c r="A63" s="566">
        <f t="shared" si="10"/>
        <v>59</v>
      </c>
      <c r="B63" s="278">
        <v>2215</v>
      </c>
      <c r="C63" s="3" t="s">
        <v>1280</v>
      </c>
      <c r="D63" s="4">
        <v>420000</v>
      </c>
      <c r="E63" s="4"/>
      <c r="F63" s="4">
        <f t="shared" si="22"/>
        <v>420000</v>
      </c>
      <c r="G63" s="19"/>
      <c r="H63" s="19"/>
      <c r="I63" s="19"/>
      <c r="J63" s="19"/>
      <c r="K63" s="4">
        <f>SUM(I63:J63)</f>
        <v>0</v>
      </c>
      <c r="L63" s="4">
        <f>K63+H63</f>
        <v>0</v>
      </c>
      <c r="M63" s="4">
        <f t="shared" si="21"/>
        <v>0</v>
      </c>
      <c r="N63" s="4">
        <v>420000</v>
      </c>
      <c r="O63" s="4">
        <f>D63-L63-M63-N63</f>
        <v>0</v>
      </c>
      <c r="P63" s="4">
        <f>G63-L63</f>
        <v>0</v>
      </c>
      <c r="Q63" s="19"/>
      <c r="R63" s="19"/>
      <c r="S63" s="4">
        <f>SUM(Q63:R63)</f>
        <v>0</v>
      </c>
      <c r="T63" s="4">
        <f>P63-M63+S63</f>
        <v>0</v>
      </c>
      <c r="U63" s="4">
        <f t="shared" si="23"/>
        <v>420000</v>
      </c>
      <c r="V63" s="4"/>
      <c r="W63" s="4">
        <f>U63-V63-AA63</f>
        <v>0</v>
      </c>
      <c r="X63" s="4"/>
      <c r="Y63" s="4"/>
      <c r="Z63" s="4"/>
      <c r="AA63" s="4">
        <v>420000</v>
      </c>
      <c r="AB63" s="3" t="s">
        <v>1281</v>
      </c>
      <c r="AC63" s="3">
        <v>810000</v>
      </c>
      <c r="AD63" s="24"/>
      <c r="AE63" s="24"/>
    </row>
    <row r="64" spans="1:36" s="5" customFormat="1" ht="30" customHeight="1">
      <c r="A64" s="566">
        <f t="shared" si="10"/>
        <v>60</v>
      </c>
      <c r="B64" s="31">
        <v>2216</v>
      </c>
      <c r="C64" s="3" t="s">
        <v>1287</v>
      </c>
      <c r="D64" s="4">
        <v>2600000</v>
      </c>
      <c r="E64" s="4"/>
      <c r="F64" s="4">
        <f t="shared" si="22"/>
        <v>2600000</v>
      </c>
      <c r="G64" s="4">
        <v>0</v>
      </c>
      <c r="H64" s="4">
        <v>0</v>
      </c>
      <c r="I64" s="4">
        <v>0</v>
      </c>
      <c r="J64" s="4">
        <v>0</v>
      </c>
      <c r="K64" s="4">
        <f>SUM(I64:J64)</f>
        <v>0</v>
      </c>
      <c r="L64" s="4">
        <f>H64+K64</f>
        <v>0</v>
      </c>
      <c r="M64" s="4">
        <f t="shared" si="21"/>
        <v>0</v>
      </c>
      <c r="N64" s="4">
        <f>1000000-300000</f>
        <v>700000</v>
      </c>
      <c r="O64" s="4">
        <f>D64-L64-M64-N64</f>
        <v>1900000</v>
      </c>
      <c r="P64" s="4">
        <f>G64-L64</f>
        <v>0</v>
      </c>
      <c r="Q64" s="4"/>
      <c r="R64" s="4"/>
      <c r="S64" s="4">
        <f>SUM(Q64:R64)</f>
        <v>0</v>
      </c>
      <c r="T64" s="4">
        <f>P64-M64+S64</f>
        <v>0</v>
      </c>
      <c r="U64" s="4">
        <f t="shared" si="23"/>
        <v>700000</v>
      </c>
      <c r="V64" s="4">
        <f>U64-AA64-W64-Z64</f>
        <v>0</v>
      </c>
      <c r="W64" s="4">
        <v>700000</v>
      </c>
      <c r="X64" s="4"/>
      <c r="Y64" s="4"/>
      <c r="Z64" s="4"/>
      <c r="AA64" s="4"/>
      <c r="AB64" s="3" t="s">
        <v>1288</v>
      </c>
      <c r="AC64" s="3">
        <v>810000</v>
      </c>
      <c r="AD64" s="6"/>
    </row>
    <row r="65" spans="1:36" s="426" customFormat="1" ht="30" customHeight="1">
      <c r="A65" s="568">
        <f>A64</f>
        <v>60</v>
      </c>
      <c r="B65" s="346"/>
      <c r="C65" s="33" t="s">
        <v>961</v>
      </c>
      <c r="D65" s="425">
        <f>SUM(D5:D64)</f>
        <v>449596201</v>
      </c>
      <c r="E65" s="425">
        <f t="shared" ref="E65:AA65" si="24">SUM(E5:E64)</f>
        <v>410399105</v>
      </c>
      <c r="F65" s="425">
        <f t="shared" si="24"/>
        <v>39197096</v>
      </c>
      <c r="G65" s="425">
        <f t="shared" si="24"/>
        <v>271815901</v>
      </c>
      <c r="H65" s="425">
        <f t="shared" si="24"/>
        <v>208629485</v>
      </c>
      <c r="I65" s="425">
        <f t="shared" si="24"/>
        <v>12784862</v>
      </c>
      <c r="J65" s="425">
        <f t="shared" si="24"/>
        <v>33564893</v>
      </c>
      <c r="K65" s="425">
        <f t="shared" si="24"/>
        <v>46349755</v>
      </c>
      <c r="L65" s="425">
        <f t="shared" si="24"/>
        <v>254979240</v>
      </c>
      <c r="M65" s="425">
        <f t="shared" si="24"/>
        <v>15956661</v>
      </c>
      <c r="N65" s="425">
        <f t="shared" si="24"/>
        <v>68461300</v>
      </c>
      <c r="O65" s="425">
        <f t="shared" si="24"/>
        <v>110199000</v>
      </c>
      <c r="P65" s="425">
        <f t="shared" si="24"/>
        <v>16836661</v>
      </c>
      <c r="Q65" s="425">
        <f t="shared" si="24"/>
        <v>0</v>
      </c>
      <c r="R65" s="425">
        <f t="shared" si="24"/>
        <v>0</v>
      </c>
      <c r="S65" s="425">
        <f t="shared" si="24"/>
        <v>0</v>
      </c>
      <c r="T65" s="425">
        <f t="shared" si="24"/>
        <v>880000</v>
      </c>
      <c r="U65" s="425">
        <f t="shared" si="24"/>
        <v>67581300</v>
      </c>
      <c r="V65" s="425">
        <f t="shared" si="24"/>
        <v>22191300</v>
      </c>
      <c r="W65" s="425">
        <f t="shared" si="24"/>
        <v>24724113</v>
      </c>
      <c r="X65" s="425">
        <f t="shared" si="24"/>
        <v>0</v>
      </c>
      <c r="Y65" s="425">
        <f t="shared" si="24"/>
        <v>0</v>
      </c>
      <c r="Z65" s="425">
        <f t="shared" si="24"/>
        <v>7100000</v>
      </c>
      <c r="AA65" s="425">
        <f t="shared" si="24"/>
        <v>13565887</v>
      </c>
      <c r="AB65" s="425"/>
      <c r="AC65" s="346"/>
      <c r="AD65" s="24"/>
      <c r="AE65" s="24"/>
    </row>
    <row r="66" spans="1:36" hidden="1">
      <c r="A66" s="12"/>
      <c r="D66" s="12"/>
      <c r="E66" s="12"/>
      <c r="F66" s="12"/>
      <c r="G66" s="12"/>
      <c r="H66" s="12"/>
      <c r="I66" s="12"/>
      <c r="J66" s="12"/>
      <c r="K66" s="12"/>
      <c r="L66" s="14">
        <f>K65+H65</f>
        <v>254979240</v>
      </c>
      <c r="M66" s="14">
        <f>P65+S65-T65</f>
        <v>15956661</v>
      </c>
      <c r="N66" s="21"/>
      <c r="O66" s="21"/>
      <c r="P66" s="21"/>
      <c r="Q66" s="21"/>
      <c r="R66" s="21"/>
      <c r="S66" s="21"/>
      <c r="T66" s="21"/>
      <c r="U66" s="17"/>
    </row>
    <row r="67" spans="1:36">
      <c r="A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21"/>
      <c r="O67" s="21"/>
      <c r="P67" s="21"/>
      <c r="Q67" s="21"/>
      <c r="R67" s="21"/>
      <c r="S67" s="21"/>
      <c r="T67" s="21"/>
      <c r="U67" s="17"/>
    </row>
    <row r="68" spans="1:36">
      <c r="A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21"/>
      <c r="O68" s="21"/>
      <c r="P68" s="21"/>
      <c r="Q68" s="21"/>
      <c r="R68" s="21"/>
      <c r="S68" s="21"/>
      <c r="T68" s="21"/>
      <c r="U68" s="17"/>
    </row>
    <row r="70" spans="1:36">
      <c r="A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S70" s="34"/>
    </row>
    <row r="71" spans="1:36">
      <c r="A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S71" s="34"/>
    </row>
    <row r="72" spans="1:36">
      <c r="A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S72" s="34"/>
    </row>
    <row r="73" spans="1:36">
      <c r="A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S73" s="34"/>
      <c r="AJ73" s="21"/>
    </row>
    <row r="74" spans="1:36">
      <c r="A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S74" s="34"/>
    </row>
    <row r="76" spans="1:36">
      <c r="A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S76" s="34"/>
    </row>
    <row r="77" spans="1:36">
      <c r="A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AJ77" s="21"/>
    </row>
    <row r="78" spans="1:36">
      <c r="A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T78" s="12"/>
      <c r="U78" s="14"/>
    </row>
    <row r="79" spans="1:36">
      <c r="A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4"/>
      <c r="AB79" s="12"/>
      <c r="AF79" s="12"/>
      <c r="AG79" s="12"/>
      <c r="AH79" s="12"/>
      <c r="AI79" s="12"/>
      <c r="AJ79" s="12"/>
    </row>
  </sheetData>
  <sheetProtection formatCells="0" formatColumns="0" formatRows="0" insertColumns="0" insertRows="0" insertHyperlinks="0" deleteColumns="0" deleteRows="0" sort="0" autoFilter="0" pivotTables="0"/>
  <sortState ref="A5:AR58">
    <sortCondition ref="B5:B58"/>
  </sortState>
  <conditionalFormatting sqref="AB4">
    <cfRule type="cellIs" dxfId="234" priority="4" operator="equal">
      <formula>0</formula>
    </cfRule>
  </conditionalFormatting>
  <conditionalFormatting sqref="AD64">
    <cfRule type="cellIs" dxfId="23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6"/>
  <sheetViews>
    <sheetView showZeros="0" rightToLeft="1" topLeftCell="A20" zoomScaleNormal="100" workbookViewId="0">
      <selection activeCell="U40" sqref="U40"/>
    </sheetView>
  </sheetViews>
  <sheetFormatPr defaultColWidth="9.08984375" defaultRowHeight="14"/>
  <cols>
    <col min="1" max="2" width="4.08984375" style="96" customWidth="1"/>
    <col min="3" max="3" width="56.90625" style="96" customWidth="1"/>
    <col min="4" max="4" width="9.08984375" style="96"/>
    <col min="5" max="5" width="15.6328125" style="96" customWidth="1"/>
    <col min="6" max="8" width="9.08984375" style="96"/>
    <col min="9" max="9" width="7.90625" style="96" customWidth="1"/>
    <col min="10" max="16384" width="9.08984375" style="96"/>
  </cols>
  <sheetData>
    <row r="3" spans="1:16" ht="20.5">
      <c r="C3" s="97"/>
    </row>
    <row r="4" spans="1:16" ht="15.5">
      <c r="A4" s="98" t="s">
        <v>214</v>
      </c>
      <c r="B4" s="98" t="s">
        <v>214</v>
      </c>
      <c r="C4" s="99" t="s">
        <v>215</v>
      </c>
    </row>
    <row r="5" spans="1:16" ht="15.5">
      <c r="A5" s="98"/>
      <c r="B5" s="98"/>
      <c r="C5" s="99"/>
    </row>
    <row r="6" spans="1:16" ht="15.5">
      <c r="A6" s="98">
        <v>1.1000000000000001</v>
      </c>
      <c r="B6" s="98"/>
      <c r="C6" s="100" t="s">
        <v>216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ht="15.5">
      <c r="A7" s="98"/>
      <c r="B7" s="98"/>
      <c r="C7" s="98" t="s">
        <v>217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ht="15.5">
      <c r="A8" s="98"/>
      <c r="B8" s="98"/>
      <c r="C8" s="98" t="s">
        <v>930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15.5">
      <c r="A9" s="98"/>
      <c r="B9" s="98"/>
      <c r="C9" s="98" t="s">
        <v>929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ht="15.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ht="15.5">
      <c r="A11" s="98"/>
      <c r="B11" s="98"/>
      <c r="C11" s="98" t="s">
        <v>218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5.5">
      <c r="A12" s="101"/>
      <c r="B12" s="101" t="s">
        <v>187</v>
      </c>
      <c r="C12" s="98" t="s">
        <v>219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ht="15.5">
      <c r="A13" s="98"/>
      <c r="B13" s="101" t="s">
        <v>187</v>
      </c>
      <c r="C13" s="98" t="s">
        <v>1670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ht="15.5">
      <c r="A14" s="98"/>
      <c r="B14" s="101" t="s">
        <v>187</v>
      </c>
      <c r="C14" s="98" t="s">
        <v>220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6" ht="15.5">
      <c r="A15" s="98"/>
      <c r="B15" s="98"/>
      <c r="C15" s="98" t="s">
        <v>221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spans="1:16" ht="15.5">
      <c r="A16" s="98"/>
      <c r="B16" s="101" t="s">
        <v>187</v>
      </c>
      <c r="C16" s="98" t="s">
        <v>222</v>
      </c>
      <c r="D16" s="98"/>
      <c r="E16" s="98"/>
      <c r="F16" s="98"/>
      <c r="G16" s="98"/>
      <c r="H16" s="98"/>
      <c r="I16" s="98"/>
      <c r="J16" s="100"/>
      <c r="K16" s="98"/>
      <c r="L16" s="98"/>
      <c r="M16" s="98"/>
      <c r="N16" s="98"/>
      <c r="O16" s="98"/>
      <c r="P16" s="98"/>
    </row>
    <row r="17" spans="1:16" ht="15.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ht="15.5">
      <c r="A18" s="98">
        <v>1.2</v>
      </c>
      <c r="B18" s="98"/>
      <c r="C18" s="100" t="s">
        <v>223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15.5">
      <c r="A19" s="98"/>
      <c r="B19" s="98"/>
      <c r="C19" s="98" t="s">
        <v>224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1:16" ht="15.5">
      <c r="A20" s="98"/>
      <c r="B20" s="98"/>
      <c r="C20" s="98" t="s">
        <v>927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spans="1:16" ht="15.5">
      <c r="A21" s="98"/>
      <c r="B21" s="98"/>
      <c r="C21" s="98" t="s">
        <v>928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ht="15.5">
      <c r="A22" s="98"/>
      <c r="B22" s="98"/>
      <c r="C22" s="98" t="s">
        <v>225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ht="15.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ht="15.5">
      <c r="A24" s="98">
        <v>1.3</v>
      </c>
      <c r="B24" s="98"/>
      <c r="C24" s="100" t="s">
        <v>226</v>
      </c>
      <c r="D24" s="98"/>
      <c r="E24" s="99" t="s">
        <v>227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16" ht="15.5">
      <c r="A25" s="98"/>
      <c r="B25" s="98"/>
      <c r="C25" s="100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6" thickBo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ht="16" thickBot="1">
      <c r="A27" s="98"/>
      <c r="B27" s="101" t="s">
        <v>187</v>
      </c>
      <c r="C27" s="98" t="s">
        <v>1241</v>
      </c>
      <c r="E27" s="102">
        <f>'ריכוז אגפים'!S19/1000</f>
        <v>455886.071</v>
      </c>
      <c r="K27" s="98"/>
      <c r="L27" s="98"/>
      <c r="M27" s="98"/>
      <c r="N27" s="98"/>
      <c r="O27" s="98"/>
      <c r="P27" s="98"/>
    </row>
    <row r="28" spans="1:16" ht="16" hidden="1" thickBo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spans="1:16" ht="16" thickBot="1">
      <c r="A29" s="98"/>
      <c r="B29" s="101" t="s">
        <v>187</v>
      </c>
      <c r="C29" s="98" t="s">
        <v>1242</v>
      </c>
      <c r="E29" s="102">
        <f>'ריכוז אגפים'!L19/1000</f>
        <v>533765.64300000004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0" spans="1:16" ht="16" hidden="1" thickBot="1">
      <c r="A30" s="98"/>
      <c r="B30" s="98"/>
      <c r="C30" s="98"/>
      <c r="D30" s="103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</row>
    <row r="31" spans="1:16" ht="16" thickBot="1">
      <c r="A31" s="98"/>
      <c r="B31" s="101" t="s">
        <v>187</v>
      </c>
      <c r="C31" s="98" t="s">
        <v>228</v>
      </c>
      <c r="E31" s="102">
        <f>'ריכוז אגפים'!B19/1000</f>
        <v>4758575.0460000001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1:16" ht="15.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 ht="15.5">
      <c r="A33" s="98"/>
      <c r="B33" s="104"/>
      <c r="C33" s="104"/>
      <c r="D33" s="104"/>
      <c r="E33" s="104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ht="15.5">
      <c r="A34" s="98"/>
      <c r="B34" s="101" t="s">
        <v>187</v>
      </c>
      <c r="C34" s="98" t="s">
        <v>1671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1:16" ht="15.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1:16" ht="15.5">
      <c r="A36" s="98"/>
      <c r="B36" s="101" t="s">
        <v>187</v>
      </c>
      <c r="C36" s="98" t="s">
        <v>1680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1:16" ht="15.5">
      <c r="A37" s="98"/>
      <c r="B37" s="98"/>
      <c r="C37" s="98" t="s">
        <v>1681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</row>
    <row r="38" spans="1:16" ht="15.5">
      <c r="A38" s="105"/>
      <c r="B38" s="105"/>
      <c r="C38" s="98" t="s">
        <v>1682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39" spans="1:16" ht="15.5">
      <c r="A39" s="105"/>
      <c r="B39" s="105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  <row r="40" spans="1:16" ht="15.5">
      <c r="A40" s="105"/>
      <c r="B40" s="105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15.5">
      <c r="A41" s="105"/>
      <c r="B41" s="105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15.5">
      <c r="A42" s="105"/>
      <c r="B42" s="105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</row>
    <row r="43" spans="1:16" ht="15.5">
      <c r="A43" s="105"/>
      <c r="B43" s="105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</row>
    <row r="44" spans="1:16" ht="15.5">
      <c r="A44" s="105"/>
      <c r="B44" s="105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</row>
    <row r="45" spans="1:16" ht="15.5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</row>
    <row r="46" spans="1:16" ht="15.5"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9"/>
  <sheetViews>
    <sheetView showZeros="0" rightToLeft="1" zoomScaleNormal="100" workbookViewId="0">
      <pane xSplit="5" ySplit="4" topLeftCell="L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1796875" defaultRowHeight="14"/>
  <cols>
    <col min="1" max="1" width="3.81640625" style="29" customWidth="1"/>
    <col min="2" max="2" width="4.81640625" style="12" customWidth="1"/>
    <col min="3" max="3" width="20.6328125" style="12" customWidth="1"/>
    <col min="4" max="4" width="10.81640625" style="14" customWidth="1"/>
    <col min="5" max="11" width="10.81640625" style="14" hidden="1" customWidth="1"/>
    <col min="12" max="15" width="10.81640625" style="14" customWidth="1"/>
    <col min="16" max="19" width="10.81640625" style="14" hidden="1" customWidth="1"/>
    <col min="20" max="20" width="9.6328125" style="14" customWidth="1"/>
    <col min="21" max="23" width="9.81640625" style="12" customWidth="1"/>
    <col min="24" max="25" width="9.81640625" style="12" hidden="1" customWidth="1"/>
    <col min="26" max="27" width="9.81640625" style="12" customWidth="1"/>
    <col min="28" max="28" width="30.453125" style="18" customWidth="1"/>
    <col min="29" max="29" width="7.81640625" style="12" hidden="1" customWidth="1"/>
    <col min="30" max="30" width="10.1796875" style="24" customWidth="1"/>
    <col min="31" max="31" width="9.1796875" style="24" customWidth="1"/>
    <col min="32" max="33" width="9.1796875" style="17" customWidth="1"/>
    <col min="34" max="34" width="2.1796875" style="17" customWidth="1"/>
    <col min="35" max="35" width="9.1796875" style="17" customWidth="1"/>
    <col min="36" max="36" width="10.1796875" style="17" customWidth="1"/>
    <col min="37" max="37" width="10.1796875" style="12" customWidth="1"/>
    <col min="38" max="16384" width="9.1796875" style="12"/>
  </cols>
  <sheetData>
    <row r="1" spans="1:41" s="284" customFormat="1" ht="18">
      <c r="A1" s="282"/>
      <c r="B1" s="562"/>
      <c r="C1" s="56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D1" s="24"/>
      <c r="AE1" s="24"/>
    </row>
    <row r="2" spans="1:41" s="166" customFormat="1" ht="18">
      <c r="A2" s="282" t="s">
        <v>189</v>
      </c>
      <c r="B2" s="562"/>
      <c r="C2" s="56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D2" s="24"/>
      <c r="AE2" s="24"/>
    </row>
    <row r="3" spans="1:41" ht="21.65" customHeight="1">
      <c r="B3" s="563"/>
      <c r="C3" s="563"/>
    </row>
    <row r="4" spans="1:41" s="24" customFormat="1" ht="70">
      <c r="A4" s="564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565" t="s">
        <v>344</v>
      </c>
      <c r="AC4" s="16" t="s">
        <v>16</v>
      </c>
    </row>
    <row r="5" spans="1:41" s="5" customFormat="1" ht="25" customHeight="1">
      <c r="A5" s="566">
        <v>1</v>
      </c>
      <c r="B5" s="3">
        <f>'תקציב אגף ת.ב.ל 2021  '!B5</f>
        <v>1247</v>
      </c>
      <c r="C5" s="280" t="str">
        <f>'תקציב אגף ת.ב.ל 2021  '!C5</f>
        <v>תכנון ייעוץ הנדסי "סל"</v>
      </c>
      <c r="D5" s="4">
        <f>'תקציב אגף ת.ב.ל 2021  '!D5</f>
        <v>9500000</v>
      </c>
      <c r="E5" s="4">
        <f>'תקציב אגף ת.ב.ל 2021  '!E5</f>
        <v>9500000</v>
      </c>
      <c r="F5" s="4">
        <f>'תקציב אגף ת.ב.ל 2021  '!F5</f>
        <v>0</v>
      </c>
      <c r="G5" s="4">
        <f>'תקציב אגף ת.ב.ל 2021  '!G5</f>
        <v>9050000</v>
      </c>
      <c r="H5" s="4">
        <f>'תקציב אגף ת.ב.ל 2021  '!H5</f>
        <v>8420262</v>
      </c>
      <c r="I5" s="4">
        <f>'תקציב אגף ת.ב.ל 2021  '!I5</f>
        <v>0</v>
      </c>
      <c r="J5" s="4">
        <f>'תקציב אגף ת.ב.ל 2021  '!J5</f>
        <v>528321</v>
      </c>
      <c r="K5" s="4">
        <f>'תקציב אגף ת.ב.ל 2021  '!K5</f>
        <v>528321</v>
      </c>
      <c r="L5" s="4">
        <f>'תקציב אגף ת.ב.ל 2021  '!L5</f>
        <v>8948583</v>
      </c>
      <c r="M5" s="4">
        <f>'תקציב אגף ת.ב.ל 2021  '!M5</f>
        <v>101417</v>
      </c>
      <c r="N5" s="4">
        <f>'תקציב אגף ת.ב.ל 2021  '!N5</f>
        <v>200000</v>
      </c>
      <c r="O5" s="4">
        <f>'תקציב אגף ת.ב.ל 2021  '!O5</f>
        <v>250000</v>
      </c>
      <c r="P5" s="4">
        <f>'תקציב אגף ת.ב.ל 2021  '!P5</f>
        <v>101417</v>
      </c>
      <c r="Q5" s="4">
        <f>'תקציב אגף ת.ב.ל 2021  '!Q5</f>
        <v>0</v>
      </c>
      <c r="R5" s="4">
        <f>'תקציב אגף ת.ב.ל 2021  '!R5</f>
        <v>0</v>
      </c>
      <c r="S5" s="4">
        <f>'תקציב אגף ת.ב.ל 2021  '!S5</f>
        <v>0</v>
      </c>
      <c r="T5" s="4">
        <f>'תקציב אגף ת.ב.ל 2021  '!T5</f>
        <v>0</v>
      </c>
      <c r="U5" s="4">
        <f>'תקציב אגף ת.ב.ל 2021  '!U5</f>
        <v>200000</v>
      </c>
      <c r="V5" s="4">
        <f>'תקציב אגף ת.ב.ל 2021  '!V5</f>
        <v>0</v>
      </c>
      <c r="W5" s="4">
        <f>'תקציב אגף ת.ב.ל 2021  '!W5</f>
        <v>200000</v>
      </c>
      <c r="X5" s="4">
        <f>'תקציב אגף ת.ב.ל 2021  '!X5</f>
        <v>0</v>
      </c>
      <c r="Y5" s="4">
        <f>'תקציב אגף ת.ב.ל 2021  '!Y5</f>
        <v>0</v>
      </c>
      <c r="Z5" s="4">
        <f>'תקציב אגף ת.ב.ל 2021  '!Z5</f>
        <v>0</v>
      </c>
      <c r="AA5" s="4">
        <f>'תקציב אגף ת.ב.ל 2021  '!AA5</f>
        <v>0</v>
      </c>
      <c r="AB5" s="280" t="str">
        <f>'תקציב אגף ת.ב.ל 2021  '!AB5</f>
        <v xml:space="preserve">סל לייעוץ ותכנון הנדסי. </v>
      </c>
      <c r="AC5" s="280">
        <f>'תקציב אגף ת.ב.ל 2021  '!AC5</f>
        <v>732000</v>
      </c>
      <c r="AD5" s="24"/>
      <c r="AE5" s="24"/>
      <c r="AF5" s="23"/>
      <c r="AG5" s="23"/>
      <c r="AH5" s="23"/>
      <c r="AI5" s="23"/>
      <c r="AJ5" s="22"/>
    </row>
    <row r="6" spans="1:41" s="567" customFormat="1" ht="30" customHeight="1">
      <c r="A6" s="566">
        <f>A5+1</f>
        <v>2</v>
      </c>
      <c r="B6" s="3">
        <f>'תקציב אגף ת.ב.ל 2021  '!B6</f>
        <v>1253</v>
      </c>
      <c r="C6" s="280" t="str">
        <f>'תקציב אגף ת.ב.ל 2021  '!C6</f>
        <v>שיפוץ מבני דת ציבוריים</v>
      </c>
      <c r="D6" s="4">
        <f>'תקציב אגף ת.ב.ל 2021  '!D6</f>
        <v>5200000</v>
      </c>
      <c r="E6" s="4">
        <f>'תקציב אגף ת.ב.ל 2021  '!E6</f>
        <v>5200000</v>
      </c>
      <c r="F6" s="4">
        <f>'תקציב אגף ת.ב.ל 2021  '!F6</f>
        <v>0</v>
      </c>
      <c r="G6" s="4">
        <f>'תקציב אגף ת.ב.ל 2021  '!G6</f>
        <v>4600000</v>
      </c>
      <c r="H6" s="4">
        <f>'תקציב אגף ת.ב.ל 2021  '!H6</f>
        <v>4516607</v>
      </c>
      <c r="I6" s="4">
        <f>'תקציב אגף ת.ב.ל 2021  '!I6</f>
        <v>0</v>
      </c>
      <c r="J6" s="4">
        <f>'תקציב אגף ת.ב.ל 2021  '!J6</f>
        <v>18424</v>
      </c>
      <c r="K6" s="4">
        <f>'תקציב אגף ת.ב.ל 2021  '!K6</f>
        <v>18424</v>
      </c>
      <c r="L6" s="4">
        <f>'תקציב אגף ת.ב.ל 2021  '!L6</f>
        <v>4535031</v>
      </c>
      <c r="M6" s="4">
        <f>'תקציב אגף ת.ב.ל 2021  '!M6</f>
        <v>64969</v>
      </c>
      <c r="N6" s="4">
        <f>'תקציב אגף ת.ב.ל 2021  '!N6</f>
        <v>500000</v>
      </c>
      <c r="O6" s="4">
        <f>'תקציב אגף ת.ב.ל 2021  '!O6</f>
        <v>100000</v>
      </c>
      <c r="P6" s="4">
        <f>'תקציב אגף ת.ב.ל 2021  '!P6</f>
        <v>64969</v>
      </c>
      <c r="Q6" s="4">
        <f>'תקציב אגף ת.ב.ל 2021  '!Q6</f>
        <v>0</v>
      </c>
      <c r="R6" s="4">
        <f>'תקציב אגף ת.ב.ל 2021  '!R6</f>
        <v>0</v>
      </c>
      <c r="S6" s="4">
        <f>'תקציב אגף ת.ב.ל 2021  '!S6</f>
        <v>0</v>
      </c>
      <c r="T6" s="4">
        <f>'תקציב אגף ת.ב.ל 2021  '!T6</f>
        <v>0</v>
      </c>
      <c r="U6" s="4">
        <f>'תקציב אגף ת.ב.ל 2021  '!U6</f>
        <v>500000</v>
      </c>
      <c r="V6" s="4">
        <f>'תקציב אגף ת.ב.ל 2021  '!V6</f>
        <v>0</v>
      </c>
      <c r="W6" s="4">
        <f>'תקציב אגף ת.ב.ל 2021  '!W6</f>
        <v>500000</v>
      </c>
      <c r="X6" s="4">
        <f>'תקציב אגף ת.ב.ל 2021  '!X6</f>
        <v>0</v>
      </c>
      <c r="Y6" s="4">
        <f>'תקציב אגף ת.ב.ל 2021  '!Y6</f>
        <v>0</v>
      </c>
      <c r="Z6" s="4">
        <f>'תקציב אגף ת.ב.ל 2021  '!Z6</f>
        <v>0</v>
      </c>
      <c r="AA6" s="4">
        <f>'תקציב אגף ת.ב.ל 2021  '!AA6</f>
        <v>0</v>
      </c>
      <c r="AB6" s="280" t="str">
        <f>'תקציב אגף ת.ב.ל 2021  '!AB6</f>
        <v>סל לשיפוץ בתי כנסת ע"פ תוכנית שתוגש במהלך השנה.</v>
      </c>
      <c r="AC6" s="280">
        <f>'תקציב אגף ת.ב.ל 2021  '!AC6</f>
        <v>850000</v>
      </c>
      <c r="AD6" s="24"/>
      <c r="AE6" s="24"/>
      <c r="AF6" s="23"/>
      <c r="AG6" s="23"/>
      <c r="AH6" s="23"/>
      <c r="AI6" s="23"/>
      <c r="AJ6" s="22"/>
      <c r="AK6" s="70"/>
      <c r="AL6" s="70"/>
      <c r="AM6" s="70"/>
      <c r="AN6" s="70"/>
      <c r="AO6" s="70"/>
    </row>
    <row r="7" spans="1:41" s="5" customFormat="1" ht="42">
      <c r="A7" s="566">
        <f t="shared" ref="A7:A64" si="0">A6+1</f>
        <v>3</v>
      </c>
      <c r="B7" s="3">
        <f>'תקציב אגף ת.ב.ל 2021  '!B7</f>
        <v>1415</v>
      </c>
      <c r="C7" s="280" t="str">
        <f>'תקציב אגף ת.ב.ל 2021  '!C7</f>
        <v>התקנה שדרוג מזגנים במוס"ח  במוסדות ועיריה (*) עדכון שם</v>
      </c>
      <c r="D7" s="4">
        <f>'תקציב אגף ת.ב.ל 2021  '!D7</f>
        <v>1400000</v>
      </c>
      <c r="E7" s="4">
        <f>'תקציב אגף ת.ב.ל 2021  '!E7</f>
        <v>1200000</v>
      </c>
      <c r="F7" s="4">
        <f>'תקציב אגף ת.ב.ל 2021  '!F7</f>
        <v>200000</v>
      </c>
      <c r="G7" s="4">
        <f>'תקציב אגף ת.ב.ל 2021  '!G7</f>
        <v>1200000</v>
      </c>
      <c r="H7" s="4">
        <f>'תקציב אגף ת.ב.ל 2021  '!H7</f>
        <v>1062219</v>
      </c>
      <c r="I7" s="4">
        <f>'תקציב אגף ת.ב.ל 2021  '!I7</f>
        <v>0</v>
      </c>
      <c r="J7" s="4">
        <f>'תקציב אגף ת.ב.ל 2021  '!J7</f>
        <v>82178</v>
      </c>
      <c r="K7" s="4">
        <f>'תקציב אגף ת.ב.ל 2021  '!K7</f>
        <v>82178</v>
      </c>
      <c r="L7" s="4">
        <f>'תקציב אגף ת.ב.ל 2021  '!L7</f>
        <v>1144397</v>
      </c>
      <c r="M7" s="4">
        <f>'תקציב אגף ת.ב.ל 2021  '!M7</f>
        <v>55603</v>
      </c>
      <c r="N7" s="4">
        <f>'תקציב אגף ת.ב.ל 2021  '!N7</f>
        <v>200000</v>
      </c>
      <c r="O7" s="4">
        <f>'תקציב אגף ת.ב.ל 2021  '!O7</f>
        <v>0</v>
      </c>
      <c r="P7" s="4">
        <f>'תקציב אגף ת.ב.ל 2021  '!P7</f>
        <v>55603</v>
      </c>
      <c r="Q7" s="4">
        <f>'תקציב אגף ת.ב.ל 2021  '!Q7</f>
        <v>0</v>
      </c>
      <c r="R7" s="4">
        <f>'תקציב אגף ת.ב.ל 2021  '!R7</f>
        <v>0</v>
      </c>
      <c r="S7" s="4">
        <f>'תקציב אגף ת.ב.ל 2021  '!S7</f>
        <v>0</v>
      </c>
      <c r="T7" s="4">
        <f>'תקציב אגף ת.ב.ל 2021  '!T7</f>
        <v>0</v>
      </c>
      <c r="U7" s="4">
        <f>'תקציב אגף ת.ב.ל 2021  '!U7</f>
        <v>200000</v>
      </c>
      <c r="V7" s="4">
        <f>'תקציב אגף ת.ב.ל 2021  '!V7</f>
        <v>0</v>
      </c>
      <c r="W7" s="4">
        <f>'תקציב אגף ת.ב.ל 2021  '!W7</f>
        <v>200000</v>
      </c>
      <c r="X7" s="4">
        <f>'תקציב אגף ת.ב.ל 2021  '!X7</f>
        <v>0</v>
      </c>
      <c r="Y7" s="4">
        <f>'תקציב אגף ת.ב.ל 2021  '!Y7</f>
        <v>0</v>
      </c>
      <c r="Z7" s="4">
        <f>'תקציב אגף ת.ב.ל 2021  '!Z7</f>
        <v>0</v>
      </c>
      <c r="AA7" s="4">
        <f>'תקציב אגף ת.ב.ל 2021  '!AA7</f>
        <v>0</v>
      </c>
      <c r="AB7" s="280" t="str">
        <f>'תקציב אגף ת.ב.ל 2021  '!AB7</f>
        <v>סל להחלפה ושדרוג מזגנים במוסדות חינוך ועירייה. איחוד עם תב"ר 1472.</v>
      </c>
      <c r="AC7" s="280">
        <f>'תקציב אגף ת.ב.ל 2021  '!AC7</f>
        <v>930000</v>
      </c>
      <c r="AD7" s="24"/>
      <c r="AE7" s="24"/>
      <c r="AF7" s="23"/>
      <c r="AG7" s="23"/>
      <c r="AH7" s="23"/>
      <c r="AI7" s="23"/>
      <c r="AJ7" s="22"/>
      <c r="AK7" s="567"/>
      <c r="AL7" s="567"/>
      <c r="AM7" s="567"/>
      <c r="AN7" s="567"/>
      <c r="AO7" s="567"/>
    </row>
    <row r="8" spans="1:41" s="5" customFormat="1" ht="30" customHeight="1">
      <c r="A8" s="566">
        <f t="shared" si="0"/>
        <v>4</v>
      </c>
      <c r="B8" s="3">
        <f>'תקציב אגף ת.ב.ל 2021  '!B8</f>
        <v>1416</v>
      </c>
      <c r="C8" s="280" t="str">
        <f>'תקציב אגף ת.ב.ל 2021  '!C8</f>
        <v>שיפוץ ובינוי נכסים עירוניים כולל תשתיות</v>
      </c>
      <c r="D8" s="4">
        <f>'תקציב אגף ת.ב.ל 2021  '!D8</f>
        <v>2100000</v>
      </c>
      <c r="E8" s="4">
        <f>'תקציב אגף ת.ב.ל 2021  '!E8</f>
        <v>1800000</v>
      </c>
      <c r="F8" s="4">
        <f>'תקציב אגף ת.ב.ל 2021  '!F8</f>
        <v>300000</v>
      </c>
      <c r="G8" s="4">
        <f>'תקציב אגף ת.ב.ל 2021  '!G8</f>
        <v>1800000</v>
      </c>
      <c r="H8" s="4">
        <f>'תקציב אגף ת.ב.ל 2021  '!H8</f>
        <v>1677529</v>
      </c>
      <c r="I8" s="4">
        <f>'תקציב אגף ת.ב.ל 2021  '!I8</f>
        <v>0</v>
      </c>
      <c r="J8" s="4">
        <f>'תקציב אגף ת.ב.ל 2021  '!J8</f>
        <v>108908</v>
      </c>
      <c r="K8" s="4">
        <f>'תקציב אגף ת.ב.ל 2021  '!K8</f>
        <v>108908</v>
      </c>
      <c r="L8" s="4">
        <f>'תקציב אגף ת.ב.ל 2021  '!L8</f>
        <v>1786437</v>
      </c>
      <c r="M8" s="4">
        <f>'תקציב אגף ת.ב.ל 2021  '!M8</f>
        <v>13563</v>
      </c>
      <c r="N8" s="4">
        <f>'תקציב אגף ת.ב.ל 2021  '!N8</f>
        <v>300000</v>
      </c>
      <c r="O8" s="4">
        <f>'תקציב אגף ת.ב.ל 2021  '!O8</f>
        <v>0</v>
      </c>
      <c r="P8" s="4">
        <f>'תקציב אגף ת.ב.ל 2021  '!P8</f>
        <v>13563</v>
      </c>
      <c r="Q8" s="4">
        <f>'תקציב אגף ת.ב.ל 2021  '!Q8</f>
        <v>0</v>
      </c>
      <c r="R8" s="4">
        <f>'תקציב אגף ת.ב.ל 2021  '!R8</f>
        <v>0</v>
      </c>
      <c r="S8" s="4">
        <f>'תקציב אגף ת.ב.ל 2021  '!S8</f>
        <v>0</v>
      </c>
      <c r="T8" s="4">
        <f>'תקציב אגף ת.ב.ל 2021  '!T8</f>
        <v>0</v>
      </c>
      <c r="U8" s="4">
        <f>'תקציב אגף ת.ב.ל 2021  '!U8</f>
        <v>300000</v>
      </c>
      <c r="V8" s="4">
        <f>'תקציב אגף ת.ב.ל 2021  '!V8</f>
        <v>0</v>
      </c>
      <c r="W8" s="4">
        <f>'תקציב אגף ת.ב.ל 2021  '!W8</f>
        <v>300000</v>
      </c>
      <c r="X8" s="4">
        <f>'תקציב אגף ת.ב.ל 2021  '!X8</f>
        <v>0</v>
      </c>
      <c r="Y8" s="4">
        <f>'תקציב אגף ת.ב.ל 2021  '!Y8</f>
        <v>0</v>
      </c>
      <c r="Z8" s="4">
        <f>'תקציב אגף ת.ב.ל 2021  '!Z8</f>
        <v>0</v>
      </c>
      <c r="AA8" s="4">
        <f>'תקציב אגף ת.ב.ל 2021  '!AA8</f>
        <v>0</v>
      </c>
      <c r="AB8" s="280" t="str">
        <f>'תקציב אגף ת.ב.ל 2021  '!AB8</f>
        <v>סל לשיפוץ ובינוי נכסים עירוניים.</v>
      </c>
      <c r="AC8" s="280">
        <f>'תקציב אגף ת.ב.ל 2021  '!AC8</f>
        <v>930000</v>
      </c>
      <c r="AD8" s="24"/>
      <c r="AE8" s="24"/>
      <c r="AF8" s="23"/>
      <c r="AG8" s="23"/>
      <c r="AH8" s="23"/>
      <c r="AI8" s="23"/>
      <c r="AJ8" s="22"/>
    </row>
    <row r="9" spans="1:41" s="5" customFormat="1" ht="30" customHeight="1">
      <c r="A9" s="566">
        <f t="shared" si="0"/>
        <v>5</v>
      </c>
      <c r="B9" s="3">
        <f>'תקציב אגף ת.ב.ל 2021  '!B9</f>
        <v>1472</v>
      </c>
      <c r="C9" s="280" t="str">
        <f>'תקציב אגף ת.ב.ל 2021  '!C9</f>
        <v>מיזוג אוויר במוס"ח</v>
      </c>
      <c r="D9" s="4">
        <f>'תקציב אגף ת.ב.ל 2021  '!D9</f>
        <v>11306096</v>
      </c>
      <c r="E9" s="4">
        <f>'תקציב אגף ת.ב.ל 2021  '!E9</f>
        <v>11350000</v>
      </c>
      <c r="F9" s="4">
        <f>'תקציב אגף ת.ב.ל 2021  '!F9</f>
        <v>-43904</v>
      </c>
      <c r="G9" s="4">
        <f>'תקציב אגף ת.ב.ל 2021  '!G9</f>
        <v>11306096</v>
      </c>
      <c r="H9" s="4">
        <f>'תקציב אגף ת.ב.ל 2021  '!H9</f>
        <v>11206752</v>
      </c>
      <c r="I9" s="4">
        <f>'תקציב אגף ת.ב.ל 2021  '!I9</f>
        <v>0</v>
      </c>
      <c r="J9" s="4">
        <f>'תקציב אגף ת.ב.ל 2021  '!J9</f>
        <v>83622</v>
      </c>
      <c r="K9" s="4">
        <f>'תקציב אגף ת.ב.ל 2021  '!K9</f>
        <v>83622</v>
      </c>
      <c r="L9" s="4">
        <f>'תקציב אגף ת.ב.ל 2021  '!L9</f>
        <v>11290374</v>
      </c>
      <c r="M9" s="4">
        <f>'תקציב אגף ת.ב.ל 2021  '!M9</f>
        <v>15722</v>
      </c>
      <c r="N9" s="4">
        <f>'תקציב אגף ת.ב.ל 2021  '!N9</f>
        <v>0</v>
      </c>
      <c r="O9" s="4">
        <f>'תקציב אגף ת.ב.ל 2021  '!O9</f>
        <v>0</v>
      </c>
      <c r="P9" s="4">
        <f>'תקציב אגף ת.ב.ל 2021  '!P9</f>
        <v>15722</v>
      </c>
      <c r="Q9" s="4">
        <f>'תקציב אגף ת.ב.ל 2021  '!Q9</f>
        <v>0</v>
      </c>
      <c r="R9" s="4">
        <f>'תקציב אגף ת.ב.ל 2021  '!R9</f>
        <v>0</v>
      </c>
      <c r="S9" s="4">
        <f>'תקציב אגף ת.ב.ל 2021  '!S9</f>
        <v>0</v>
      </c>
      <c r="T9" s="4">
        <f>'תקציב אגף ת.ב.ל 2021  '!T9</f>
        <v>0</v>
      </c>
      <c r="U9" s="4">
        <f>'תקציב אגף ת.ב.ל 2021  '!U9</f>
        <v>0</v>
      </c>
      <c r="V9" s="4">
        <f>'תקציב אגף ת.ב.ל 2021  '!V9</f>
        <v>0</v>
      </c>
      <c r="W9" s="4">
        <f>'תקציב אגף ת.ב.ל 2021  '!W9</f>
        <v>0</v>
      </c>
      <c r="X9" s="4">
        <f>'תקציב אגף ת.ב.ל 2021  '!X9</f>
        <v>0</v>
      </c>
      <c r="Y9" s="4">
        <f>'תקציב אגף ת.ב.ל 2021  '!Y9</f>
        <v>0</v>
      </c>
      <c r="Z9" s="4">
        <f>'תקציב אגף ת.ב.ל 2021  '!Z9</f>
        <v>0</v>
      </c>
      <c r="AA9" s="4">
        <f>'תקציב אגף ת.ב.ל 2021  '!AA9</f>
        <v>0</v>
      </c>
      <c r="AB9" s="280" t="str">
        <f>'תקציב אגף ת.ב.ל 2021  '!AB9</f>
        <v xml:space="preserve">סל להחלפה ושדרוג מזגנים במוסדות חינוך. התב"ר לסגירה. ראה תב"ר 1415. </v>
      </c>
      <c r="AC9" s="280">
        <f>'תקציב אגף ת.ב.ל 2021  '!AC9</f>
        <v>810000</v>
      </c>
      <c r="AD9" s="24"/>
      <c r="AE9" s="24"/>
      <c r="AF9" s="23"/>
      <c r="AG9" s="23"/>
      <c r="AH9" s="23"/>
      <c r="AI9" s="23"/>
      <c r="AJ9" s="22"/>
    </row>
    <row r="10" spans="1:41" s="5" customFormat="1" ht="42">
      <c r="A10" s="566">
        <f t="shared" si="0"/>
        <v>6</v>
      </c>
      <c r="B10" s="3">
        <f>'תקציב אגף ת.ב.ל 2021  '!B10</f>
        <v>1477</v>
      </c>
      <c r="C10" s="280" t="str">
        <f>'תקציב אגף ת.ב.ל 2021  '!C10</f>
        <v xml:space="preserve">הצללות בי"ס וגנ"י  ומתנס"ים </v>
      </c>
      <c r="D10" s="4">
        <f>'תקציב אגף ת.ב.ל 2021  '!D10</f>
        <v>9350000</v>
      </c>
      <c r="E10" s="4">
        <f>'תקציב אגף ת.ב.ל 2021  '!E10</f>
        <v>9350000</v>
      </c>
      <c r="F10" s="4">
        <f>'תקציב אגף ת.ב.ל 2021  '!F10</f>
        <v>0</v>
      </c>
      <c r="G10" s="4">
        <f>'תקציב אגף ת.ב.ל 2021  '!G10</f>
        <v>4450000</v>
      </c>
      <c r="H10" s="4">
        <f>'תקציב אגף ת.ב.ל 2021  '!H10</f>
        <v>2466895</v>
      </c>
      <c r="I10" s="4">
        <f>'תקציב אגף ת.ב.ל 2021  '!I10</f>
        <v>1346368</v>
      </c>
      <c r="J10" s="4">
        <f>'תקציב אגף ת.ב.ל 2021  '!J10</f>
        <v>96937</v>
      </c>
      <c r="K10" s="4">
        <f>'תקציב אגף ת.ב.ל 2021  '!K10</f>
        <v>1443305</v>
      </c>
      <c r="L10" s="4">
        <f>'תקציב אגף ת.ב.ל 2021  '!L10</f>
        <v>3910200</v>
      </c>
      <c r="M10" s="4">
        <f>'תקציב אגף ת.ב.ל 2021  '!M10</f>
        <v>539800</v>
      </c>
      <c r="N10" s="4">
        <f>'תקציב אגף ת.ב.ל 2021  '!N10</f>
        <v>1200000</v>
      </c>
      <c r="O10" s="4">
        <f>'תקציב אגף ת.ב.ל 2021  '!O10</f>
        <v>3700000</v>
      </c>
      <c r="P10" s="4">
        <f>'תקציב אגף ת.ב.ל 2021  '!P10</f>
        <v>539800</v>
      </c>
      <c r="Q10" s="4">
        <f>'תקציב אגף ת.ב.ל 2021  '!Q10</f>
        <v>0</v>
      </c>
      <c r="R10" s="4">
        <f>'תקציב אגף ת.ב.ל 2021  '!R10</f>
        <v>0</v>
      </c>
      <c r="S10" s="4">
        <f>'תקציב אגף ת.ב.ל 2021  '!S10</f>
        <v>0</v>
      </c>
      <c r="T10" s="4">
        <f>'תקציב אגף ת.ב.ל 2021  '!T10</f>
        <v>0</v>
      </c>
      <c r="U10" s="4">
        <f>'תקציב אגף ת.ב.ל 2021  '!U10</f>
        <v>1200000</v>
      </c>
      <c r="V10" s="4">
        <f>'תקציב אגף ת.ב.ל 2021  '!V10</f>
        <v>0</v>
      </c>
      <c r="W10" s="4">
        <f>'תקציב אגף ת.ב.ל 2021  '!W10</f>
        <v>1200000</v>
      </c>
      <c r="X10" s="4">
        <f>'תקציב אגף ת.ב.ל 2021  '!X10</f>
        <v>0</v>
      </c>
      <c r="Y10" s="4">
        <f>'תקציב אגף ת.ב.ל 2021  '!Y10</f>
        <v>0</v>
      </c>
      <c r="Z10" s="4">
        <f>'תקציב אגף ת.ב.ל 2021  '!Z10</f>
        <v>0</v>
      </c>
      <c r="AA10" s="4">
        <f>'תקציב אגף ת.ב.ל 2021  '!AA10</f>
        <v>0</v>
      </c>
      <c r="AB10" s="280" t="str">
        <f>'תקציב אגף ת.ב.ל 2021  '!AB10</f>
        <v>הצללות קבועות מעל מגרשי ספורט  עפ"י תוכנית רב שנתית. 5 הצללות ב - 2021: היובל,זאב,וולפסון,בן צבי,יבור.</v>
      </c>
      <c r="AC10" s="280">
        <f>'תקציב אגף ת.ב.ל 2021  '!AC10</f>
        <v>810000</v>
      </c>
      <c r="AD10" s="24"/>
      <c r="AE10" s="24"/>
      <c r="AF10" s="23"/>
      <c r="AG10" s="23"/>
      <c r="AH10" s="23"/>
      <c r="AI10" s="23"/>
      <c r="AJ10" s="22"/>
    </row>
    <row r="11" spans="1:41" s="5" customFormat="1" ht="30" customHeight="1">
      <c r="A11" s="566">
        <f t="shared" si="0"/>
        <v>7</v>
      </c>
      <c r="B11" s="3">
        <f>'תקציב אגף ת.ב.ל 2021  '!B11</f>
        <v>1483</v>
      </c>
      <c r="C11" s="280" t="str">
        <f>'תקציב אגף ת.ב.ל 2021  '!C11</f>
        <v>ריהוט גנ"י</v>
      </c>
      <c r="D11" s="4">
        <f>'תקציב אגף ת.ב.ל 2021  '!D11</f>
        <v>2100000</v>
      </c>
      <c r="E11" s="4">
        <f>'תקציב אגף ת.ב.ל 2021  '!E11</f>
        <v>2700000</v>
      </c>
      <c r="F11" s="4">
        <f>'תקציב אגף ת.ב.ל 2021  '!F11</f>
        <v>-600000</v>
      </c>
      <c r="G11" s="4">
        <f>'תקציב אגף ת.ב.ל 2021  '!G11</f>
        <v>2100000</v>
      </c>
      <c r="H11" s="4">
        <f>'תקציב אגף ת.ב.ל 2021  '!H11</f>
        <v>2039800</v>
      </c>
      <c r="I11" s="4">
        <f>'תקציב אגף ת.ב.ל 2021  '!I11</f>
        <v>0</v>
      </c>
      <c r="J11" s="4">
        <f>'תקציב אגף ת.ב.ל 2021  '!J11</f>
        <v>59675</v>
      </c>
      <c r="K11" s="4">
        <f>'תקציב אגף ת.ב.ל 2021  '!K11</f>
        <v>59675</v>
      </c>
      <c r="L11" s="4">
        <f>'תקציב אגף ת.ב.ל 2021  '!L11</f>
        <v>2099475</v>
      </c>
      <c r="M11" s="4">
        <f>'תקציב אגף ת.ב.ל 2021  '!M11</f>
        <v>525</v>
      </c>
      <c r="N11" s="4">
        <f>'תקציב אגף ת.ב.ל 2021  '!N11</f>
        <v>0</v>
      </c>
      <c r="O11" s="4">
        <f>'תקציב אגף ת.ב.ל 2021  '!O11</f>
        <v>0</v>
      </c>
      <c r="P11" s="4">
        <f>'תקציב אגף ת.ב.ל 2021  '!P11</f>
        <v>525</v>
      </c>
      <c r="Q11" s="4">
        <f>'תקציב אגף ת.ב.ל 2021  '!Q11</f>
        <v>0</v>
      </c>
      <c r="R11" s="4">
        <f>'תקציב אגף ת.ב.ל 2021  '!R11</f>
        <v>0</v>
      </c>
      <c r="S11" s="4">
        <f>'תקציב אגף ת.ב.ל 2021  '!S11</f>
        <v>0</v>
      </c>
      <c r="T11" s="4">
        <f>'תקציב אגף ת.ב.ל 2021  '!T11</f>
        <v>0</v>
      </c>
      <c r="U11" s="4">
        <f>'תקציב אגף ת.ב.ל 2021  '!U11</f>
        <v>0</v>
      </c>
      <c r="V11" s="4">
        <f>'תקציב אגף ת.ב.ל 2021  '!V11</f>
        <v>0</v>
      </c>
      <c r="W11" s="4">
        <f>'תקציב אגף ת.ב.ל 2021  '!W11</f>
        <v>0</v>
      </c>
      <c r="X11" s="4">
        <f>'תקציב אגף ת.ב.ל 2021  '!X11</f>
        <v>0</v>
      </c>
      <c r="Y11" s="4">
        <f>'תקציב אגף ת.ב.ל 2021  '!Y11</f>
        <v>0</v>
      </c>
      <c r="Z11" s="4">
        <f>'תקציב אגף ת.ב.ל 2021  '!Z11</f>
        <v>0</v>
      </c>
      <c r="AA11" s="4">
        <f>'תקציב אגף ת.ב.ל 2021  '!AA11</f>
        <v>0</v>
      </c>
      <c r="AB11" s="280" t="str">
        <f>'תקציב אגף ת.ב.ל 2021  '!AB11</f>
        <v>סל לשדרוג ריהוט בגני ילדים.התב"ר לסגירה.</v>
      </c>
      <c r="AC11" s="280">
        <f>'תקציב אגף ת.ב.ל 2021  '!AC11</f>
        <v>812000</v>
      </c>
      <c r="AD11" s="24"/>
      <c r="AE11" s="24"/>
      <c r="AF11" s="23"/>
      <c r="AG11" s="23"/>
      <c r="AH11" s="23"/>
      <c r="AI11" s="23"/>
      <c r="AJ11" s="22"/>
    </row>
    <row r="12" spans="1:41" s="5" customFormat="1" ht="56">
      <c r="A12" s="566">
        <f t="shared" si="0"/>
        <v>8</v>
      </c>
      <c r="B12" s="3">
        <f>'תקציב אגף ת.ב.ל 2021  '!B12</f>
        <v>1489</v>
      </c>
      <c r="C12" s="280" t="str">
        <f>'תקציב אגף ת.ב.ל 2021  '!C12</f>
        <v>שדרוג כבישים מדרכות תשתיות</v>
      </c>
      <c r="D12" s="4">
        <f>'תקציב אגף ת.ב.ל 2021  '!D12</f>
        <v>54000000</v>
      </c>
      <c r="E12" s="4">
        <f>'תקציב אגף ת.ב.ל 2021  '!E12</f>
        <v>48500000</v>
      </c>
      <c r="F12" s="4">
        <f>'תקציב אגף ת.ב.ל 2021  '!F12</f>
        <v>5500000</v>
      </c>
      <c r="G12" s="4">
        <f>'תקציב אגף ת.ב.ל 2021  '!G12</f>
        <v>48000000</v>
      </c>
      <c r="H12" s="4">
        <f>'תקציב אגף ת.ב.ל 2021  '!H12</f>
        <v>41835968</v>
      </c>
      <c r="I12" s="4">
        <f>'תקציב אגף ת.ב.ל 2021  '!I12</f>
        <v>0</v>
      </c>
      <c r="J12" s="4">
        <f>'תקציב אגף ת.ב.ל 2021  '!J12</f>
        <v>5340608</v>
      </c>
      <c r="K12" s="4">
        <f>'תקציב אגף ת.ב.ל 2021  '!K12</f>
        <v>5340608</v>
      </c>
      <c r="L12" s="4">
        <f>'תקציב אגף ת.ב.ל 2021  '!L12</f>
        <v>47176576</v>
      </c>
      <c r="M12" s="4">
        <f>'תקציב אגף ת.ב.ל 2021  '!M12</f>
        <v>823424</v>
      </c>
      <c r="N12" s="4">
        <f>'תקציב אגף ת.ב.ל 2021  '!N12</f>
        <v>3500000</v>
      </c>
      <c r="O12" s="4">
        <f>'תקציב אגף ת.ב.ל 2021  '!O12</f>
        <v>2500000</v>
      </c>
      <c r="P12" s="4">
        <f>'תקציב אגף ת.ב.ל 2021  '!P12</f>
        <v>823424</v>
      </c>
      <c r="Q12" s="4">
        <f>'תקציב אגף ת.ב.ל 2021  '!Q12</f>
        <v>0</v>
      </c>
      <c r="R12" s="4">
        <f>'תקציב אגף ת.ב.ל 2021  '!R12</f>
        <v>0</v>
      </c>
      <c r="S12" s="4">
        <f>'תקציב אגף ת.ב.ל 2021  '!S12</f>
        <v>0</v>
      </c>
      <c r="T12" s="4">
        <f>'תקציב אגף ת.ב.ל 2021  '!T12</f>
        <v>0</v>
      </c>
      <c r="U12" s="4">
        <f>'תקציב אגף ת.ב.ל 2021  '!U12</f>
        <v>3500000</v>
      </c>
      <c r="V12" s="4">
        <f>'תקציב אגף ת.ב.ל 2021  '!V12</f>
        <v>0</v>
      </c>
      <c r="W12" s="4">
        <f>'תקציב אגף ת.ב.ל 2021  '!W12</f>
        <v>3500000</v>
      </c>
      <c r="X12" s="4">
        <f>'תקציב אגף ת.ב.ל 2021  '!X12</f>
        <v>0</v>
      </c>
      <c r="Y12" s="4">
        <f>'תקציב אגף ת.ב.ל 2021  '!Y12</f>
        <v>0</v>
      </c>
      <c r="Z12" s="4">
        <f>'תקציב אגף ת.ב.ל 2021  '!Z12</f>
        <v>0</v>
      </c>
      <c r="AA12" s="4">
        <f>'תקציב אגף ת.ב.ל 2021  '!AA12</f>
        <v>0</v>
      </c>
      <c r="AB12" s="280" t="str">
        <f>'תקציב אגף ת.ב.ל 2021  '!AB12</f>
        <v xml:space="preserve">סל לשדרוג כבישים במקביל לעבודת תאגיד המים ומדרכות ברחבי העיר עפ"י תוכנית עבודה שתאושר ע"י הנהלת העיר. </v>
      </c>
      <c r="AC12" s="280">
        <f>'תקציב אגף ת.ב.ל 2021  '!AC12</f>
        <v>742000</v>
      </c>
      <c r="AD12" s="24"/>
      <c r="AE12" s="24"/>
      <c r="AF12" s="23"/>
      <c r="AG12" s="23"/>
      <c r="AH12" s="23"/>
      <c r="AI12" s="23"/>
      <c r="AJ12" s="22"/>
    </row>
    <row r="13" spans="1:41" s="5" customFormat="1" ht="42">
      <c r="A13" s="566">
        <f t="shared" si="0"/>
        <v>9</v>
      </c>
      <c r="B13" s="3">
        <f>'תקציב אגף ת.ב.ל 2021  '!B13</f>
        <v>1560</v>
      </c>
      <c r="C13" s="280" t="str">
        <f>'תקציב אגף ת.ב.ל 2021  '!C13</f>
        <v>עבודות שונות בפארק הרצליה</v>
      </c>
      <c r="D13" s="4">
        <f>'תקציב אגף ת.ב.ל 2021  '!D13</f>
        <v>6410000</v>
      </c>
      <c r="E13" s="4">
        <f>'תקציב אגף ת.ב.ל 2021  '!E13</f>
        <v>5510000</v>
      </c>
      <c r="F13" s="4">
        <f>'תקציב אגף ת.ב.ל 2021  '!F13</f>
        <v>900000</v>
      </c>
      <c r="G13" s="4">
        <f>'תקציב אגף ת.ב.ל 2021  '!G13</f>
        <v>5510000</v>
      </c>
      <c r="H13" s="4">
        <f>'תקציב אגף ת.ב.ל 2021  '!H13</f>
        <v>4777462</v>
      </c>
      <c r="I13" s="4">
        <f>'תקציב אגף ת.ב.ל 2021  '!I13</f>
        <v>0</v>
      </c>
      <c r="J13" s="4">
        <f>'תקציב אגף ת.ב.ל 2021  '!J13</f>
        <v>730909</v>
      </c>
      <c r="K13" s="4">
        <f>'תקציב אגף ת.ב.ל 2021  '!K13</f>
        <v>730909</v>
      </c>
      <c r="L13" s="4">
        <f>'תקציב אגף ת.ב.ל 2021  '!L13</f>
        <v>5508371</v>
      </c>
      <c r="M13" s="4">
        <f>'תקציב אגף ת.ב.ל 2021  '!M13</f>
        <v>1629</v>
      </c>
      <c r="N13" s="4">
        <f>'תקציב אגף ת.ב.ל 2021  '!N13</f>
        <v>500000</v>
      </c>
      <c r="O13" s="4">
        <f>'תקציב אגף ת.ב.ל 2021  '!O13</f>
        <v>400000</v>
      </c>
      <c r="P13" s="4">
        <f>'תקציב אגף ת.ב.ל 2021  '!P13</f>
        <v>1629</v>
      </c>
      <c r="Q13" s="4">
        <f>'תקציב אגף ת.ב.ל 2021  '!Q13</f>
        <v>0</v>
      </c>
      <c r="R13" s="4">
        <f>'תקציב אגף ת.ב.ל 2021  '!R13</f>
        <v>0</v>
      </c>
      <c r="S13" s="4">
        <f>'תקציב אגף ת.ב.ל 2021  '!S13</f>
        <v>0</v>
      </c>
      <c r="T13" s="4">
        <f>'תקציב אגף ת.ב.ל 2021  '!T13</f>
        <v>0</v>
      </c>
      <c r="U13" s="4">
        <f>'תקציב אגף ת.ב.ל 2021  '!U13</f>
        <v>500000</v>
      </c>
      <c r="V13" s="4">
        <f>'תקציב אגף ת.ב.ל 2021  '!V13</f>
        <v>0</v>
      </c>
      <c r="W13" s="4">
        <f>'תקציב אגף ת.ב.ל 2021  '!W13</f>
        <v>500000</v>
      </c>
      <c r="X13" s="4">
        <f>'תקציב אגף ת.ב.ל 2021  '!X13</f>
        <v>0</v>
      </c>
      <c r="Y13" s="4">
        <f>'תקציב אגף ת.ב.ל 2021  '!Y13</f>
        <v>0</v>
      </c>
      <c r="Z13" s="4">
        <f>'תקציב אגף ת.ב.ל 2021  '!Z13</f>
        <v>0</v>
      </c>
      <c r="AA13" s="4">
        <f>'תקציב אגף ת.ב.ל 2021  '!AA13</f>
        <v>0</v>
      </c>
      <c r="AB13" s="280" t="str">
        <f>'תקציב אגף ת.ב.ל 2021  '!AB13</f>
        <v>עבודות שונות בפארק כולל תוספת קווי ביוב,שיפוץ שרותים המשך עבודות חידוש מסלול.</v>
      </c>
      <c r="AC13" s="280">
        <f>'תקציב אגף ת.ב.ל 2021  '!AC13</f>
        <v>746000</v>
      </c>
      <c r="AD13" s="24"/>
      <c r="AE13" s="24"/>
      <c r="AF13" s="23"/>
      <c r="AG13" s="23"/>
      <c r="AH13" s="23"/>
      <c r="AI13" s="23"/>
      <c r="AJ13" s="22"/>
    </row>
    <row r="14" spans="1:41" s="5" customFormat="1" ht="42">
      <c r="A14" s="566">
        <f t="shared" si="0"/>
        <v>10</v>
      </c>
      <c r="B14" s="3">
        <f>'תקציב אגף ת.ב.ל 2021  '!B14</f>
        <v>1662</v>
      </c>
      <c r="C14" s="280" t="str">
        <f>'תקציב אגף ת.ב.ל 2021  '!C14</f>
        <v>החלפת תאורה באולמות ספורט</v>
      </c>
      <c r="D14" s="4">
        <f>'תקציב אגף ת.ב.ל 2021  '!D14</f>
        <v>1815000</v>
      </c>
      <c r="E14" s="4">
        <f>'תקציב אגף ת.ב.ל 2021  '!E14</f>
        <v>815000</v>
      </c>
      <c r="F14" s="4">
        <f>'תקציב אגף ת.ב.ל 2021  '!F14</f>
        <v>1000000</v>
      </c>
      <c r="G14" s="4">
        <f>'תקציב אגף ת.ב.ל 2021  '!G14</f>
        <v>675000</v>
      </c>
      <c r="H14" s="4">
        <f>'תקציב אגף ת.ב.ל 2021  '!H14</f>
        <v>671205</v>
      </c>
      <c r="I14" s="4">
        <f>'תקציב אגף ת.ב.ל 2021  '!I14</f>
        <v>0</v>
      </c>
      <c r="J14" s="4">
        <f>'תקציב אגף ת.ב.ל 2021  '!J14</f>
        <v>0</v>
      </c>
      <c r="K14" s="4">
        <f>'תקציב אגף ת.ב.ל 2021  '!K14</f>
        <v>0</v>
      </c>
      <c r="L14" s="4">
        <f>'תקציב אגף ת.ב.ל 2021  '!L14</f>
        <v>671205</v>
      </c>
      <c r="M14" s="4">
        <f>'תקציב אגף ת.ב.ל 2021  '!M14</f>
        <v>3795</v>
      </c>
      <c r="N14" s="4">
        <f>'תקציב אגף ת.ב.ל 2021  '!N14</f>
        <v>0</v>
      </c>
      <c r="O14" s="4">
        <f>'תקציב אגף ת.ב.ל 2021  '!O14</f>
        <v>1140000</v>
      </c>
      <c r="P14" s="4">
        <f>'תקציב אגף ת.ב.ל 2021  '!P14</f>
        <v>3795</v>
      </c>
      <c r="Q14" s="4">
        <f>'תקציב אגף ת.ב.ל 2021  '!Q14</f>
        <v>0</v>
      </c>
      <c r="R14" s="4">
        <f>'תקציב אגף ת.ב.ל 2021  '!R14</f>
        <v>0</v>
      </c>
      <c r="S14" s="4">
        <f>'תקציב אגף ת.ב.ל 2021  '!S14</f>
        <v>0</v>
      </c>
      <c r="T14" s="4">
        <f>'תקציב אגף ת.ב.ל 2021  '!T14</f>
        <v>0</v>
      </c>
      <c r="U14" s="4">
        <f>'תקציב אגף ת.ב.ל 2021  '!U14</f>
        <v>0</v>
      </c>
      <c r="V14" s="4">
        <f>'תקציב אגף ת.ב.ל 2021  '!V14</f>
        <v>0</v>
      </c>
      <c r="W14" s="4">
        <f>'תקציב אגף ת.ב.ל 2021  '!W14</f>
        <v>0</v>
      </c>
      <c r="X14" s="4">
        <f>'תקציב אגף ת.ב.ל 2021  '!X14</f>
        <v>0</v>
      </c>
      <c r="Y14" s="4">
        <f>'תקציב אגף ת.ב.ל 2021  '!Y14</f>
        <v>0</v>
      </c>
      <c r="Z14" s="4">
        <f>'תקציב אגף ת.ב.ל 2021  '!Z14</f>
        <v>0</v>
      </c>
      <c r="AA14" s="4">
        <f>'תקציב אגף ת.ב.ל 2021  '!AA14</f>
        <v>0</v>
      </c>
      <c r="AB14" s="280" t="str">
        <f>'תקציב אגף ת.ב.ל 2021  '!AB14</f>
        <v xml:space="preserve">החלפת תאורת לדים 10 אולמות ספורט עפ"י רשימה. יוגש קול קורא התייעלות מימון מ. הכלכלה והתעשיה. </v>
      </c>
      <c r="AC14" s="280">
        <f>'תקציב אגף ת.ב.ל 2021  '!AC14</f>
        <v>870000</v>
      </c>
      <c r="AD14" s="24"/>
      <c r="AE14" s="24"/>
      <c r="AF14" s="23"/>
      <c r="AG14" s="23"/>
      <c r="AH14" s="23"/>
      <c r="AI14" s="23"/>
      <c r="AJ14" s="22"/>
    </row>
    <row r="15" spans="1:41" s="5" customFormat="1" ht="30" customHeight="1">
      <c r="A15" s="566">
        <f t="shared" si="0"/>
        <v>11</v>
      </c>
      <c r="B15" s="3">
        <f>'תקציב אגף ת.ב.ל 2021  '!B15</f>
        <v>1691</v>
      </c>
      <c r="C15" s="280" t="str">
        <f>'תקציב אגף ת.ב.ל 2021  '!C15</f>
        <v>נגישות ליקויי שמיעה (מ.החינוך)</v>
      </c>
      <c r="D15" s="4">
        <f>'תקציב אגף ת.ב.ל 2021  '!D15</f>
        <v>210000</v>
      </c>
      <c r="E15" s="4">
        <f>'תקציב אגף ת.ב.ל 2021  '!E15</f>
        <v>210000</v>
      </c>
      <c r="F15" s="4">
        <f>'תקציב אגף ת.ב.ל 2021  '!F15</f>
        <v>0</v>
      </c>
      <c r="G15" s="4">
        <f>'תקציב אגף ת.ב.ל 2021  '!G15</f>
        <v>210000</v>
      </c>
      <c r="H15" s="4">
        <f>'תקציב אגף ת.ב.ל 2021  '!H15</f>
        <v>184254</v>
      </c>
      <c r="I15" s="4">
        <f>'תקציב אגף ת.ב.ל 2021  '!I15</f>
        <v>0</v>
      </c>
      <c r="J15" s="4">
        <f>'תקציב אגף ת.ב.ל 2021  '!J15</f>
        <v>0</v>
      </c>
      <c r="K15" s="4">
        <f>'תקציב אגף ת.ב.ל 2021  '!K15</f>
        <v>0</v>
      </c>
      <c r="L15" s="4">
        <f>'תקציב אגף ת.ב.ל 2021  '!L15</f>
        <v>184254</v>
      </c>
      <c r="M15" s="4">
        <f>'תקציב אגף ת.ב.ל 2021  '!M15</f>
        <v>25746</v>
      </c>
      <c r="N15" s="4">
        <f>'תקציב אגף ת.ב.ל 2021  '!N15</f>
        <v>0</v>
      </c>
      <c r="O15" s="4">
        <f>'תקציב אגף ת.ב.ל 2021  '!O15</f>
        <v>0</v>
      </c>
      <c r="P15" s="4">
        <f>'תקציב אגף ת.ב.ל 2021  '!P15</f>
        <v>25746</v>
      </c>
      <c r="Q15" s="4">
        <f>'תקציב אגף ת.ב.ל 2021  '!Q15</f>
        <v>0</v>
      </c>
      <c r="R15" s="4">
        <f>'תקציב אגף ת.ב.ל 2021  '!R15</f>
        <v>0</v>
      </c>
      <c r="S15" s="4">
        <f>'תקציב אגף ת.ב.ל 2021  '!S15</f>
        <v>0</v>
      </c>
      <c r="T15" s="4">
        <f>'תקציב אגף ת.ב.ל 2021  '!T15</f>
        <v>0</v>
      </c>
      <c r="U15" s="4">
        <f>'תקציב אגף ת.ב.ל 2021  '!U15</f>
        <v>0</v>
      </c>
      <c r="V15" s="4">
        <f>'תקציב אגף ת.ב.ל 2021  '!V15</f>
        <v>0</v>
      </c>
      <c r="W15" s="4">
        <f>'תקציב אגף ת.ב.ל 2021  '!W15</f>
        <v>0</v>
      </c>
      <c r="X15" s="4">
        <f>'תקציב אגף ת.ב.ל 2021  '!X15</f>
        <v>0</v>
      </c>
      <c r="Y15" s="4">
        <f>'תקציב אגף ת.ב.ל 2021  '!Y15</f>
        <v>0</v>
      </c>
      <c r="Z15" s="4">
        <f>'תקציב אגף ת.ב.ל 2021  '!Z15</f>
        <v>0</v>
      </c>
      <c r="AA15" s="4">
        <f>'תקציב אגף ת.ב.ל 2021  '!AA15</f>
        <v>0</v>
      </c>
      <c r="AB15" s="280" t="str">
        <f>'תקציב אגף ת.ב.ל 2021  '!AB15</f>
        <v>מימון מ. החינוך. ממתין לתקבול סופי.</v>
      </c>
      <c r="AC15" s="280">
        <f>'תקציב אגף ת.ב.ל 2021  '!AC15</f>
        <v>810000</v>
      </c>
      <c r="AD15" s="24"/>
      <c r="AE15" s="24"/>
      <c r="AF15" s="23"/>
      <c r="AG15" s="23"/>
      <c r="AH15" s="23"/>
      <c r="AI15" s="23"/>
      <c r="AJ15" s="22"/>
      <c r="AK15" s="70"/>
      <c r="AL15" s="70"/>
      <c r="AM15" s="70"/>
      <c r="AN15" s="70"/>
      <c r="AO15" s="70"/>
    </row>
    <row r="16" spans="1:41" s="5" customFormat="1" ht="30" customHeight="1">
      <c r="A16" s="566">
        <f t="shared" si="0"/>
        <v>12</v>
      </c>
      <c r="B16" s="3">
        <f>'תקציב אגף ת.ב.ל 2021  '!B16</f>
        <v>1770</v>
      </c>
      <c r="C16" s="280" t="str">
        <f>'תקציב אגף ת.ב.ל 2021  '!C16</f>
        <v>שיפוצי מוסדות חינוך שונים  (לב טוב ,גורדון)</v>
      </c>
      <c r="D16" s="4">
        <f>'תקציב אגף ת.ב.ל 2021  '!D16</f>
        <v>29752105</v>
      </c>
      <c r="E16" s="4">
        <f>'תקציב אגף ת.ב.ל 2021  '!E16</f>
        <v>29752105</v>
      </c>
      <c r="F16" s="4">
        <f>'תקציב אגף ת.ב.ל 2021  '!F16</f>
        <v>0</v>
      </c>
      <c r="G16" s="4">
        <f>'תקציב אגף ת.ב.ל 2021  '!G16</f>
        <v>29752105</v>
      </c>
      <c r="H16" s="4">
        <f>'תקציב אגף ת.ב.ל 2021  '!H16</f>
        <v>29200037</v>
      </c>
      <c r="I16" s="4">
        <f>'תקציב אגף ת.ב.ל 2021  '!I16</f>
        <v>0</v>
      </c>
      <c r="J16" s="4">
        <f>'תקציב אגף ת.ב.ל 2021  '!J16</f>
        <v>550659</v>
      </c>
      <c r="K16" s="4">
        <f>'תקציב אגף ת.ב.ל 2021  '!K16</f>
        <v>550659</v>
      </c>
      <c r="L16" s="4">
        <f>'תקציב אגף ת.ב.ל 2021  '!L16</f>
        <v>29750696</v>
      </c>
      <c r="M16" s="4">
        <f>'תקציב אגף ת.ב.ל 2021  '!M16</f>
        <v>1409</v>
      </c>
      <c r="N16" s="4">
        <f>'תקציב אגף ת.ב.ל 2021  '!N16</f>
        <v>0</v>
      </c>
      <c r="O16" s="4">
        <f>'תקציב אגף ת.ב.ל 2021  '!O16</f>
        <v>0</v>
      </c>
      <c r="P16" s="4">
        <f>'תקציב אגף ת.ב.ל 2021  '!P16</f>
        <v>1409</v>
      </c>
      <c r="Q16" s="4">
        <f>'תקציב אגף ת.ב.ל 2021  '!Q16</f>
        <v>0</v>
      </c>
      <c r="R16" s="4">
        <f>'תקציב אגף ת.ב.ל 2021  '!R16</f>
        <v>0</v>
      </c>
      <c r="S16" s="4">
        <f>'תקציב אגף ת.ב.ל 2021  '!S16</f>
        <v>0</v>
      </c>
      <c r="T16" s="4">
        <f>'תקציב אגף ת.ב.ל 2021  '!T16</f>
        <v>0</v>
      </c>
      <c r="U16" s="4">
        <f>'תקציב אגף ת.ב.ל 2021  '!U16</f>
        <v>0</v>
      </c>
      <c r="V16" s="4">
        <f>'תקציב אגף ת.ב.ל 2021  '!V16</f>
        <v>0</v>
      </c>
      <c r="W16" s="4">
        <f>'תקציב אגף ת.ב.ל 2021  '!W16</f>
        <v>0</v>
      </c>
      <c r="X16" s="4">
        <f>'תקציב אגף ת.ב.ל 2021  '!X16</f>
        <v>0</v>
      </c>
      <c r="Y16" s="4">
        <f>'תקציב אגף ת.ב.ל 2021  '!Y16</f>
        <v>0</v>
      </c>
      <c r="Z16" s="4">
        <f>'תקציב אגף ת.ב.ל 2021  '!Z16</f>
        <v>0</v>
      </c>
      <c r="AA16" s="4">
        <f>'תקציב אגף ת.ב.ל 2021  '!AA16</f>
        <v>0</v>
      </c>
      <c r="AB16" s="280" t="str">
        <f>'תקציב אגף ת.ב.ל 2021  '!AB16</f>
        <v>מימון מ. החינוך. ממתין לתקבול סופי.</v>
      </c>
      <c r="AC16" s="280">
        <f>'תקציב אגף ת.ב.ל 2021  '!AC16</f>
        <v>810000</v>
      </c>
      <c r="AD16" s="24"/>
      <c r="AE16" s="24"/>
      <c r="AF16" s="23"/>
      <c r="AG16" s="23"/>
      <c r="AH16" s="23"/>
      <c r="AI16" s="23"/>
      <c r="AJ16" s="22"/>
    </row>
    <row r="17" spans="1:41" s="5" customFormat="1" ht="30" customHeight="1">
      <c r="A17" s="566">
        <f t="shared" si="0"/>
        <v>13</v>
      </c>
      <c r="B17" s="3">
        <f>'תקציב אגף ת.ב.ל 2021  '!B17</f>
        <v>1773</v>
      </c>
      <c r="C17" s="280" t="str">
        <f>'תקציב אגף ת.ב.ל 2021  '!C17</f>
        <v>שיקום האגם בפארק</v>
      </c>
      <c r="D17" s="4">
        <f>'תקציב אגף ת.ב.ל 2021  '!D17</f>
        <v>1500000</v>
      </c>
      <c r="E17" s="4">
        <f>'תקציב אגף ת.ב.ל 2021  '!E17</f>
        <v>1500000</v>
      </c>
      <c r="F17" s="4">
        <f>'תקציב אגף ת.ב.ל 2021  '!F17</f>
        <v>0</v>
      </c>
      <c r="G17" s="4">
        <f>'תקציב אגף ת.ב.ל 2021  '!G17</f>
        <v>1500000</v>
      </c>
      <c r="H17" s="4">
        <f>'תקציב אגף ת.ב.ל 2021  '!H17</f>
        <v>212004</v>
      </c>
      <c r="I17" s="4">
        <f>'תקציב אגף ת.ב.ל 2021  '!I17</f>
        <v>17401</v>
      </c>
      <c r="J17" s="4">
        <f>'תקציב אגף ת.ב.ל 2021  '!J17</f>
        <v>3510</v>
      </c>
      <c r="K17" s="4">
        <f>'תקציב אגף ת.ב.ל 2021  '!K17</f>
        <v>20911</v>
      </c>
      <c r="L17" s="4">
        <f>'תקציב אגף ת.ב.ל 2021  '!L17</f>
        <v>232915</v>
      </c>
      <c r="M17" s="4">
        <f>'תקציב אגף ת.ב.ל 2021  '!M17</f>
        <v>1267085</v>
      </c>
      <c r="N17" s="4">
        <f>'תקציב אגף ת.ב.ל 2021  '!N17</f>
        <v>0</v>
      </c>
      <c r="O17" s="4">
        <f>'תקציב אגף ת.ב.ל 2021  '!O17</f>
        <v>0</v>
      </c>
      <c r="P17" s="4">
        <f>'תקציב אגף ת.ב.ל 2021  '!P17</f>
        <v>1267085</v>
      </c>
      <c r="Q17" s="4">
        <f>'תקציב אגף ת.ב.ל 2021  '!Q17</f>
        <v>0</v>
      </c>
      <c r="R17" s="4">
        <f>'תקציב אגף ת.ב.ל 2021  '!R17</f>
        <v>0</v>
      </c>
      <c r="S17" s="4">
        <f>'תקציב אגף ת.ב.ל 2021  '!S17</f>
        <v>0</v>
      </c>
      <c r="T17" s="4">
        <f>'תקציב אגף ת.ב.ל 2021  '!T17</f>
        <v>0</v>
      </c>
      <c r="U17" s="4">
        <f>'תקציב אגף ת.ב.ל 2021  '!U17</f>
        <v>0</v>
      </c>
      <c r="V17" s="4">
        <f>'תקציב אגף ת.ב.ל 2021  '!V17</f>
        <v>0</v>
      </c>
      <c r="W17" s="4">
        <f>'תקציב אגף ת.ב.ל 2021  '!W17</f>
        <v>0</v>
      </c>
      <c r="X17" s="4">
        <f>'תקציב אגף ת.ב.ל 2021  '!X17</f>
        <v>0</v>
      </c>
      <c r="Y17" s="4">
        <f>'תקציב אגף ת.ב.ל 2021  '!Y17</f>
        <v>0</v>
      </c>
      <c r="Z17" s="4">
        <f>'תקציב אגף ת.ב.ל 2021  '!Z17</f>
        <v>0</v>
      </c>
      <c r="AA17" s="4">
        <f>'תקציב אגף ת.ב.ל 2021  '!AA17</f>
        <v>0</v>
      </c>
      <c r="AB17" s="280" t="str">
        <f>'תקציב אגף ת.ב.ל 2021  '!AB17</f>
        <v>עבודות שיקום לשיפור איכות ומראה המים באגם.</v>
      </c>
      <c r="AC17" s="280">
        <f>'תקציב אגף ת.ב.ל 2021  '!AC17</f>
        <v>746000</v>
      </c>
      <c r="AD17" s="24"/>
      <c r="AE17" s="24"/>
      <c r="AF17" s="23"/>
      <c r="AG17" s="23"/>
      <c r="AH17" s="23"/>
      <c r="AI17" s="23"/>
      <c r="AJ17" s="22"/>
    </row>
    <row r="18" spans="1:41" s="5" customFormat="1" ht="30" customHeight="1">
      <c r="A18" s="566">
        <f t="shared" si="0"/>
        <v>14</v>
      </c>
      <c r="B18" s="3">
        <f>'תקציב אגף ת.ב.ל 2021  '!B18</f>
        <v>1794</v>
      </c>
      <c r="C18" s="280" t="str">
        <f>'תקציב אגף ת.ב.ל 2021  '!C18</f>
        <v>שיפוץ המקווה העירוני</v>
      </c>
      <c r="D18" s="4">
        <f>'תקציב אגף ת.ב.ל 2021  '!D18</f>
        <v>970000</v>
      </c>
      <c r="E18" s="4">
        <f>'תקציב אגף ת.ב.ל 2021  '!E18</f>
        <v>1100000</v>
      </c>
      <c r="F18" s="4">
        <f>'תקציב אגף ת.ב.ל 2021  '!F18</f>
        <v>-130000</v>
      </c>
      <c r="G18" s="4">
        <f>'תקציב אגף ת.ב.ל 2021  '!G18</f>
        <v>970000</v>
      </c>
      <c r="H18" s="4">
        <f>'תקציב אגף ת.ב.ל 2021  '!H18</f>
        <v>949009</v>
      </c>
      <c r="I18" s="4">
        <f>'תקציב אגף ת.ב.ל 2021  '!I18</f>
        <v>20093</v>
      </c>
      <c r="J18" s="4">
        <f>'תקציב אגף ת.ב.ל 2021  '!J18</f>
        <v>0</v>
      </c>
      <c r="K18" s="4">
        <f>'תקציב אגף ת.ב.ל 2021  '!K18</f>
        <v>20093</v>
      </c>
      <c r="L18" s="4">
        <f>'תקציב אגף ת.ב.ל 2021  '!L18</f>
        <v>969102</v>
      </c>
      <c r="M18" s="4">
        <f>'תקציב אגף ת.ב.ל 2021  '!M18</f>
        <v>898</v>
      </c>
      <c r="N18" s="4">
        <f>'תקציב אגף ת.ב.ל 2021  '!N18</f>
        <v>0</v>
      </c>
      <c r="O18" s="4">
        <f>'תקציב אגף ת.ב.ל 2021  '!O18</f>
        <v>0</v>
      </c>
      <c r="P18" s="4">
        <f>'תקציב אגף ת.ב.ל 2021  '!P18</f>
        <v>898</v>
      </c>
      <c r="Q18" s="4">
        <f>'תקציב אגף ת.ב.ל 2021  '!Q18</f>
        <v>0</v>
      </c>
      <c r="R18" s="4">
        <f>'תקציב אגף ת.ב.ל 2021  '!R18</f>
        <v>0</v>
      </c>
      <c r="S18" s="4">
        <f>'תקציב אגף ת.ב.ל 2021  '!S18</f>
        <v>0</v>
      </c>
      <c r="T18" s="4">
        <f>'תקציב אגף ת.ב.ל 2021  '!T18</f>
        <v>0</v>
      </c>
      <c r="U18" s="4">
        <f>'תקציב אגף ת.ב.ל 2021  '!U18</f>
        <v>0</v>
      </c>
      <c r="V18" s="4">
        <f>'תקציב אגף ת.ב.ל 2021  '!V18</f>
        <v>0</v>
      </c>
      <c r="W18" s="4">
        <f>'תקציב אגף ת.ב.ל 2021  '!W18</f>
        <v>0</v>
      </c>
      <c r="X18" s="4">
        <f>'תקציב אגף ת.ב.ל 2021  '!X18</f>
        <v>0</v>
      </c>
      <c r="Y18" s="4">
        <f>'תקציב אגף ת.ב.ל 2021  '!Y18</f>
        <v>0</v>
      </c>
      <c r="Z18" s="4">
        <f>'תקציב אגף ת.ב.ל 2021  '!Z18</f>
        <v>0</v>
      </c>
      <c r="AA18" s="4">
        <f>'תקציב אגף ת.ב.ל 2021  '!AA18</f>
        <v>0</v>
      </c>
      <c r="AB18" s="280" t="str">
        <f>'תקציב אגף ת.ב.ל 2021  '!AB18</f>
        <v>עבודות שיקום חזיתות המקווה. ח-ן סופיים.</v>
      </c>
      <c r="AC18" s="280">
        <f>'תקציב אגף ת.ב.ל 2021  '!AC18</f>
        <v>850000</v>
      </c>
      <c r="AD18" s="24"/>
      <c r="AE18" s="24"/>
      <c r="AF18" s="23"/>
      <c r="AG18" s="23"/>
      <c r="AH18" s="23"/>
      <c r="AI18" s="23"/>
      <c r="AJ18" s="22"/>
    </row>
    <row r="19" spans="1:41" s="5" customFormat="1" ht="30" customHeight="1">
      <c r="A19" s="566">
        <f t="shared" si="0"/>
        <v>15</v>
      </c>
      <c r="B19" s="3">
        <f>'תקציב אגף ת.ב.ל 2021  '!B19</f>
        <v>1804</v>
      </c>
      <c r="C19" s="280" t="str">
        <f>'תקציב אגף ת.ב.ל 2021  '!C19</f>
        <v>פית' מדרגות קיר תומך פנחס רוזן</v>
      </c>
      <c r="D19" s="4">
        <f>'תקציב אגף ת.ב.ל 2021  '!D19</f>
        <v>200000</v>
      </c>
      <c r="E19" s="4">
        <f>'תקציב אגף ת.ב.ל 2021  '!E19</f>
        <v>200000</v>
      </c>
      <c r="F19" s="4">
        <f>'תקציב אגף ת.ב.ל 2021  '!F19</f>
        <v>0</v>
      </c>
      <c r="G19" s="4">
        <f>'תקציב אגף ת.ב.ל 2021  '!G19</f>
        <v>200000</v>
      </c>
      <c r="H19" s="4">
        <f>'תקציב אגף ת.ב.ל 2021  '!H19</f>
        <v>171384</v>
      </c>
      <c r="I19" s="4">
        <f>'תקציב אגף ת.ב.ל 2021  '!I19</f>
        <v>0</v>
      </c>
      <c r="J19" s="4">
        <f>'תקציב אגף ת.ב.ל 2021  '!J19</f>
        <v>10264</v>
      </c>
      <c r="K19" s="4">
        <f>'תקציב אגף ת.ב.ל 2021  '!K19</f>
        <v>10264</v>
      </c>
      <c r="L19" s="4">
        <f>'תקציב אגף ת.ב.ל 2021  '!L19</f>
        <v>181648</v>
      </c>
      <c r="M19" s="4">
        <f>'תקציב אגף ת.ב.ל 2021  '!M19</f>
        <v>18352</v>
      </c>
      <c r="N19" s="4">
        <f>'תקציב אגף ת.ב.ל 2021  '!N19</f>
        <v>0</v>
      </c>
      <c r="O19" s="4">
        <f>'תקציב אגף ת.ב.ל 2021  '!O19</f>
        <v>0</v>
      </c>
      <c r="P19" s="4">
        <f>'תקציב אגף ת.ב.ל 2021  '!P19</f>
        <v>18352</v>
      </c>
      <c r="Q19" s="4">
        <f>'תקציב אגף ת.ב.ל 2021  '!Q19</f>
        <v>0</v>
      </c>
      <c r="R19" s="4">
        <f>'תקציב אגף ת.ב.ל 2021  '!R19</f>
        <v>0</v>
      </c>
      <c r="S19" s="4">
        <f>'תקציב אגף ת.ב.ל 2021  '!S19</f>
        <v>0</v>
      </c>
      <c r="T19" s="4">
        <f>'תקציב אגף ת.ב.ל 2021  '!T19</f>
        <v>0</v>
      </c>
      <c r="U19" s="4">
        <f>'תקציב אגף ת.ב.ל 2021  '!U19</f>
        <v>0</v>
      </c>
      <c r="V19" s="4">
        <f>'תקציב אגף ת.ב.ל 2021  '!V19</f>
        <v>0</v>
      </c>
      <c r="W19" s="4">
        <f>'תקציב אגף ת.ב.ל 2021  '!W19</f>
        <v>0</v>
      </c>
      <c r="X19" s="4">
        <f>'תקציב אגף ת.ב.ל 2021  '!X19</f>
        <v>0</v>
      </c>
      <c r="Y19" s="4">
        <f>'תקציב אגף ת.ב.ל 2021  '!Y19</f>
        <v>0</v>
      </c>
      <c r="Z19" s="4">
        <f>'תקציב אגף ת.ב.ל 2021  '!Z19</f>
        <v>0</v>
      </c>
      <c r="AA19" s="4">
        <f>'תקציב אגף ת.ב.ל 2021  '!AA19</f>
        <v>0</v>
      </c>
      <c r="AB19" s="280">
        <f>'תקציב אגף ת.ב.ל 2021  '!AB19</f>
        <v>0</v>
      </c>
      <c r="AC19" s="280">
        <f>'תקציב אגף ת.ב.ל 2021  '!AC19</f>
        <v>742000</v>
      </c>
      <c r="AD19" s="24"/>
      <c r="AE19" s="24"/>
      <c r="AK19" s="567"/>
      <c r="AL19" s="567"/>
      <c r="AM19" s="567"/>
      <c r="AN19" s="567"/>
      <c r="AO19" s="567"/>
    </row>
    <row r="20" spans="1:41" s="5" customFormat="1" ht="30" customHeight="1">
      <c r="A20" s="566">
        <f t="shared" si="0"/>
        <v>16</v>
      </c>
      <c r="B20" s="3">
        <f>'תקציב אגף ת.ב.ל 2021  '!B20</f>
        <v>1848</v>
      </c>
      <c r="C20" s="280" t="str">
        <f>'תקציב אגף ת.ב.ל 2021  '!C20</f>
        <v>פרויקטים קטנים רזרבה אגפית</v>
      </c>
      <c r="D20" s="4">
        <f>'תקציב אגף ת.ב.ל 2021  '!D20</f>
        <v>1300000</v>
      </c>
      <c r="E20" s="4">
        <f>'תקציב אגף ת.ב.ל 2021  '!E20</f>
        <v>1200000</v>
      </c>
      <c r="F20" s="4">
        <f>'תקציב אגף ת.ב.ל 2021  '!F20</f>
        <v>100000</v>
      </c>
      <c r="G20" s="4">
        <f>'תקציב אגף ת.ב.ל 2021  '!G20</f>
        <v>1000000</v>
      </c>
      <c r="H20" s="4">
        <f>'תקציב אגף ת.ב.ל 2021  '!H20</f>
        <v>708293</v>
      </c>
      <c r="I20" s="4">
        <f>'תקציב אגף ת.ב.ל 2021  '!I20</f>
        <v>0</v>
      </c>
      <c r="J20" s="4">
        <f>'תקציב אגף ת.ב.ל 2021  '!J20</f>
        <v>33173</v>
      </c>
      <c r="K20" s="4">
        <f>'תקציב אגף ת.ב.ל 2021  '!K20</f>
        <v>33173</v>
      </c>
      <c r="L20" s="4">
        <f>'תקציב אגף ת.ב.ל 2021  '!L20</f>
        <v>741466</v>
      </c>
      <c r="M20" s="4">
        <f>'תקציב אגף ת.ב.ל 2021  '!M20</f>
        <v>258534</v>
      </c>
      <c r="N20" s="4">
        <f>'תקציב אגף ת.ב.ל 2021  '!N20</f>
        <v>300000</v>
      </c>
      <c r="O20" s="4">
        <f>'תקציב אגף ת.ב.ל 2021  '!O20</f>
        <v>0</v>
      </c>
      <c r="P20" s="4">
        <f>'תקציב אגף ת.ב.ל 2021  '!P20</f>
        <v>258534</v>
      </c>
      <c r="Q20" s="4">
        <f>'תקציב אגף ת.ב.ל 2021  '!Q20</f>
        <v>0</v>
      </c>
      <c r="R20" s="4">
        <f>'תקציב אגף ת.ב.ל 2021  '!R20</f>
        <v>0</v>
      </c>
      <c r="S20" s="4">
        <f>'תקציב אגף ת.ב.ל 2021  '!S20</f>
        <v>0</v>
      </c>
      <c r="T20" s="4">
        <f>'תקציב אגף ת.ב.ל 2021  '!T20</f>
        <v>0</v>
      </c>
      <c r="U20" s="4">
        <f>'תקציב אגף ת.ב.ל 2021  '!U20</f>
        <v>300000</v>
      </c>
      <c r="V20" s="4">
        <f>'תקציב אגף ת.ב.ל 2021  '!V20</f>
        <v>0</v>
      </c>
      <c r="W20" s="4">
        <f>'תקציב אגף ת.ב.ל 2021  '!W20</f>
        <v>300000</v>
      </c>
      <c r="X20" s="4">
        <f>'תקציב אגף ת.ב.ל 2021  '!X20</f>
        <v>0</v>
      </c>
      <c r="Y20" s="4">
        <f>'תקציב אגף ת.ב.ל 2021  '!Y20</f>
        <v>0</v>
      </c>
      <c r="Z20" s="4">
        <f>'תקציב אגף ת.ב.ל 2021  '!Z20</f>
        <v>0</v>
      </c>
      <c r="AA20" s="4">
        <f>'תקציב אגף ת.ב.ל 2021  '!AA20</f>
        <v>0</v>
      </c>
      <c r="AB20" s="280" t="str">
        <f>'תקציב אגף ת.ב.ל 2021  '!AB20</f>
        <v>סל לביצוע עבודות פרויקטים קטנים הנדרשים ע"י האגף מעת לעת.</v>
      </c>
      <c r="AC20" s="280">
        <f>'תקציב אגף ת.ב.ל 2021  '!AC20</f>
        <v>742000</v>
      </c>
      <c r="AD20" s="24"/>
      <c r="AE20" s="24"/>
      <c r="AF20" s="23"/>
      <c r="AG20" s="23"/>
      <c r="AH20" s="23"/>
      <c r="AI20" s="23"/>
      <c r="AJ20" s="22"/>
    </row>
    <row r="21" spans="1:41" s="5" customFormat="1" ht="56">
      <c r="A21" s="566">
        <f t="shared" si="0"/>
        <v>17</v>
      </c>
      <c r="B21" s="3">
        <f>'תקציב אגף ת.ב.ל 2021  '!B21</f>
        <v>1849</v>
      </c>
      <c r="C21" s="280" t="str">
        <f>'תקציב אגף ת.ב.ל 2021  '!C21</f>
        <v xml:space="preserve"> התקנת גופי תאורה בטכנולוגיה מתקדמת במגרשי הספורט</v>
      </c>
      <c r="D21" s="4">
        <f>'תקציב אגף ת.ב.ל 2021  '!D21</f>
        <v>2150000</v>
      </c>
      <c r="E21" s="4">
        <f>'תקציב אגף ת.ב.ל 2021  '!E21</f>
        <v>1400000</v>
      </c>
      <c r="F21" s="4">
        <f>'תקציב אגף ת.ב.ל 2021  '!F21</f>
        <v>750000</v>
      </c>
      <c r="G21" s="4">
        <f>'תקציב אגף ת.ב.ל 2021  '!G21</f>
        <v>1100000</v>
      </c>
      <c r="H21" s="4">
        <f>'תקציב אגף ת.ב.ל 2021  '!H21</f>
        <v>945869</v>
      </c>
      <c r="I21" s="4">
        <f>'תקציב אגף ת.ב.ל 2021  '!I21</f>
        <v>0</v>
      </c>
      <c r="J21" s="4">
        <f>'תקציב אגף ת.ב.ל 2021  '!J21</f>
        <v>150796</v>
      </c>
      <c r="K21" s="4">
        <f>'תקציב אגף ת.ב.ל 2021  '!K21</f>
        <v>150796</v>
      </c>
      <c r="L21" s="4">
        <f>'תקציב אגף ת.ב.ל 2021  '!L21</f>
        <v>1096665</v>
      </c>
      <c r="M21" s="4">
        <f>'תקציב אגף ת.ב.ל 2021  '!M21</f>
        <v>3335</v>
      </c>
      <c r="N21" s="4">
        <f>'תקציב אגף ת.ב.ל 2021  '!N21</f>
        <v>0</v>
      </c>
      <c r="O21" s="4">
        <f>'תקציב אגף ת.ב.ל 2021  '!O21</f>
        <v>1050000</v>
      </c>
      <c r="P21" s="4">
        <f>'תקציב אגף ת.ב.ל 2021  '!P21</f>
        <v>3335</v>
      </c>
      <c r="Q21" s="4">
        <f>'תקציב אגף ת.ב.ל 2021  '!Q21</f>
        <v>0</v>
      </c>
      <c r="R21" s="4">
        <f>'תקציב אגף ת.ב.ל 2021  '!R21</f>
        <v>0</v>
      </c>
      <c r="S21" s="4">
        <f>'תקציב אגף ת.ב.ל 2021  '!S21</f>
        <v>0</v>
      </c>
      <c r="T21" s="4">
        <f>'תקציב אגף ת.ב.ל 2021  '!T21</f>
        <v>0</v>
      </c>
      <c r="U21" s="4">
        <f>'תקציב אגף ת.ב.ל 2021  '!U21</f>
        <v>0</v>
      </c>
      <c r="V21" s="4">
        <f>'תקציב אגף ת.ב.ל 2021  '!V21</f>
        <v>0</v>
      </c>
      <c r="W21" s="4">
        <f>'תקציב אגף ת.ב.ל 2021  '!W21</f>
        <v>0</v>
      </c>
      <c r="X21" s="4">
        <f>'תקציב אגף ת.ב.ל 2021  '!X21</f>
        <v>0</v>
      </c>
      <c r="Y21" s="4">
        <f>'תקציב אגף ת.ב.ל 2021  '!Y21</f>
        <v>0</v>
      </c>
      <c r="Z21" s="4">
        <f>'תקציב אגף ת.ב.ל 2021  '!Z21</f>
        <v>0</v>
      </c>
      <c r="AA21" s="4">
        <f>'תקציב אגף ת.ב.ל 2021  '!AA21</f>
        <v>0</v>
      </c>
      <c r="AB21" s="280" t="str">
        <f>'תקציב אגף ת.ב.ל 2021  '!AB21</f>
        <v xml:space="preserve">התקנת גופי תאורה בטכנולוגיה מתקדמת במגרשי ספורט. יוגש קול קורא התייעלות מימון מ. הכלכלה והתעשיה. </v>
      </c>
      <c r="AC21" s="280">
        <f>'תקציב אגף ת.ב.ל 2021  '!AC21</f>
        <v>743000</v>
      </c>
      <c r="AD21" s="24"/>
      <c r="AE21" s="24"/>
      <c r="AF21" s="23"/>
      <c r="AG21" s="23"/>
      <c r="AH21" s="22"/>
      <c r="AI21" s="22"/>
      <c r="AJ21" s="22"/>
    </row>
    <row r="22" spans="1:41" s="5" customFormat="1" ht="30" customHeight="1">
      <c r="A22" s="566">
        <f t="shared" si="0"/>
        <v>18</v>
      </c>
      <c r="B22" s="3">
        <f>'תקציב אגף ת.ב.ל 2021  '!B22</f>
        <v>1850</v>
      </c>
      <c r="C22" s="280" t="str">
        <f>'תקציב אגף ת.ב.ל 2021  '!C22</f>
        <v>תיקון ליקויים סקר כיבוי אש מוס"ח  ועיריה</v>
      </c>
      <c r="D22" s="4">
        <f>'תקציב אגף ת.ב.ל 2021  '!D22</f>
        <v>14600000</v>
      </c>
      <c r="E22" s="4">
        <f>'תקציב אגף ת.ב.ל 2021  '!E22</f>
        <v>14600000</v>
      </c>
      <c r="F22" s="4">
        <f>'תקציב אגף ת.ב.ל 2021  '!F22</f>
        <v>0</v>
      </c>
      <c r="G22" s="4">
        <f>'תקציב אגף ת.ב.ל 2021  '!G22</f>
        <v>4630000</v>
      </c>
      <c r="H22" s="4">
        <f>'תקציב אגף ת.ב.ל 2021  '!H22</f>
        <v>3986709</v>
      </c>
      <c r="I22" s="4">
        <f>'תקציב אגף ת.ב.ל 2021  '!I22</f>
        <v>0</v>
      </c>
      <c r="J22" s="4">
        <f>'תקציב אגף ת.ב.ל 2021  '!J22</f>
        <v>290432</v>
      </c>
      <c r="K22" s="4">
        <f>'תקציב אגף ת.ב.ל 2021  '!K22</f>
        <v>290432</v>
      </c>
      <c r="L22" s="4">
        <f>'תקציב אגף ת.ב.ל 2021  '!L22</f>
        <v>4277141</v>
      </c>
      <c r="M22" s="4">
        <f>'תקציב אגף ת.ב.ל 2021  '!M22</f>
        <v>352859</v>
      </c>
      <c r="N22" s="4">
        <f>'תקציב אגף ת.ב.ל 2021  '!N22</f>
        <v>500000</v>
      </c>
      <c r="O22" s="4">
        <f>'תקציב אגף ת.ב.ל 2021  '!O22</f>
        <v>9470000</v>
      </c>
      <c r="P22" s="4">
        <f>'תקציב אגף ת.ב.ל 2021  '!P22</f>
        <v>352859</v>
      </c>
      <c r="Q22" s="4">
        <f>'תקציב אגף ת.ב.ל 2021  '!Q22</f>
        <v>0</v>
      </c>
      <c r="R22" s="4">
        <f>'תקציב אגף ת.ב.ל 2021  '!R22</f>
        <v>0</v>
      </c>
      <c r="S22" s="4">
        <f>'תקציב אגף ת.ב.ל 2021  '!S22</f>
        <v>0</v>
      </c>
      <c r="T22" s="4">
        <f>'תקציב אגף ת.ב.ל 2021  '!T22</f>
        <v>0</v>
      </c>
      <c r="U22" s="4">
        <f>'תקציב אגף ת.ב.ל 2021  '!U22</f>
        <v>500000</v>
      </c>
      <c r="V22" s="4">
        <f>'תקציב אגף ת.ב.ל 2021  '!V22</f>
        <v>0</v>
      </c>
      <c r="W22" s="4">
        <f>'תקציב אגף ת.ב.ל 2021  '!W22</f>
        <v>500000</v>
      </c>
      <c r="X22" s="4">
        <f>'תקציב אגף ת.ב.ל 2021  '!X22</f>
        <v>0</v>
      </c>
      <c r="Y22" s="4">
        <f>'תקציב אגף ת.ב.ל 2021  '!Y22</f>
        <v>0</v>
      </c>
      <c r="Z22" s="4">
        <f>'תקציב אגף ת.ב.ל 2021  '!Z22</f>
        <v>0</v>
      </c>
      <c r="AA22" s="4">
        <f>'תקציב אגף ת.ב.ל 2021  '!AA22</f>
        <v>0</v>
      </c>
      <c r="AB22" s="280" t="str">
        <f>'תקציב אגף ת.ב.ל 2021  '!AB22</f>
        <v>סל לעבודות הסדרת ליקויים כיבוי אש במוס"ח ובמוסדות עיריה  לפי סקר.</v>
      </c>
      <c r="AC22" s="280">
        <f>'תקציב אגף ת.ב.ל 2021  '!AC22</f>
        <v>810000</v>
      </c>
      <c r="AD22" s="24"/>
      <c r="AE22" s="24"/>
      <c r="AF22" s="23"/>
      <c r="AG22" s="23"/>
      <c r="AH22" s="22"/>
      <c r="AI22" s="22"/>
      <c r="AJ22" s="22"/>
    </row>
    <row r="23" spans="1:41" s="5" customFormat="1" ht="30" customHeight="1">
      <c r="A23" s="566">
        <f t="shared" si="0"/>
        <v>19</v>
      </c>
      <c r="B23" s="3">
        <f>'תקציב אגף ת.ב.ל 2021  '!B23</f>
        <v>1883</v>
      </c>
      <c r="C23" s="280" t="str">
        <f>'תקציב אגף ת.ב.ל 2021  '!C23</f>
        <v>שיפוץ ותוספת בניה בי"ס בר אילן</v>
      </c>
      <c r="D23" s="4">
        <f>'תקציב אגף ת.ב.ל 2021  '!D23</f>
        <v>27245000</v>
      </c>
      <c r="E23" s="4">
        <f>'תקציב אגף ת.ב.ל 2021  '!E23</f>
        <v>26215000</v>
      </c>
      <c r="F23" s="4">
        <f>'תקציב אגף ת.ב.ל 2021  '!F23</f>
        <v>1030000</v>
      </c>
      <c r="G23" s="4">
        <f>'תקציב אגף ת.ב.ל 2021  '!G23</f>
        <v>26215000</v>
      </c>
      <c r="H23" s="4">
        <f>'תקציב אגף ת.ב.ל 2021  '!H23</f>
        <v>26184042</v>
      </c>
      <c r="I23" s="4">
        <f>'תקציב אגף ת.ב.ל 2021  '!I23</f>
        <v>0</v>
      </c>
      <c r="J23" s="4">
        <f>'תקציב אגף ת.ב.ל 2021  '!J23</f>
        <v>12752</v>
      </c>
      <c r="K23" s="4">
        <f>'תקציב אגף ת.ב.ל 2021  '!K23</f>
        <v>12752</v>
      </c>
      <c r="L23" s="4">
        <f>'תקציב אגף ת.ב.ל 2021  '!L23</f>
        <v>26196794</v>
      </c>
      <c r="M23" s="4">
        <f>'תקציב אגף ת.ב.ל 2021  '!M23</f>
        <v>18206</v>
      </c>
      <c r="N23" s="4">
        <f>'תקציב אגף ת.ב.ל 2021  '!N23</f>
        <v>0</v>
      </c>
      <c r="O23" s="4">
        <f>'תקציב אגף ת.ב.ל 2021  '!O23</f>
        <v>1030000</v>
      </c>
      <c r="P23" s="4">
        <f>'תקציב אגף ת.ב.ל 2021  '!P23</f>
        <v>18206</v>
      </c>
      <c r="Q23" s="4">
        <f>'תקציב אגף ת.ב.ל 2021  '!Q23</f>
        <v>0</v>
      </c>
      <c r="R23" s="4">
        <f>'תקציב אגף ת.ב.ל 2021  '!R23</f>
        <v>0</v>
      </c>
      <c r="S23" s="4">
        <f>'תקציב אגף ת.ב.ל 2021  '!S23</f>
        <v>0</v>
      </c>
      <c r="T23" s="4">
        <f>'תקציב אגף ת.ב.ל 2021  '!T23</f>
        <v>0</v>
      </c>
      <c r="U23" s="4">
        <f>'תקציב אגף ת.ב.ל 2021  '!U23</f>
        <v>0</v>
      </c>
      <c r="V23" s="4">
        <f>'תקציב אגף ת.ב.ל 2021  '!V23</f>
        <v>0</v>
      </c>
      <c r="W23" s="4">
        <f>'תקציב אגף ת.ב.ל 2021  '!W23</f>
        <v>0</v>
      </c>
      <c r="X23" s="4">
        <f>'תקציב אגף ת.ב.ל 2021  '!X23</f>
        <v>0</v>
      </c>
      <c r="Y23" s="4">
        <f>'תקציב אגף ת.ב.ל 2021  '!Y23</f>
        <v>0</v>
      </c>
      <c r="Z23" s="4">
        <f>'תקציב אגף ת.ב.ל 2021  '!Z23</f>
        <v>0</v>
      </c>
      <c r="AA23" s="4">
        <f>'תקציב אגף ת.ב.ל 2021  '!AA23</f>
        <v>0</v>
      </c>
      <c r="AB23" s="280" t="str">
        <f>'תקציב אגף ת.ב.ל 2021  '!AB23</f>
        <v>משטחי בטיחות, מתקני חצר,גינון, דשא סינטטי.</v>
      </c>
      <c r="AC23" s="280">
        <f>'תקציב אגף ת.ב.ל 2021  '!AC23</f>
        <v>810000</v>
      </c>
      <c r="AD23" s="24"/>
      <c r="AE23" s="24"/>
      <c r="AF23" s="23"/>
      <c r="AG23" s="23"/>
      <c r="AH23" s="22"/>
      <c r="AI23" s="22"/>
      <c r="AJ23" s="22"/>
    </row>
    <row r="24" spans="1:41" s="70" customFormat="1" ht="42">
      <c r="A24" s="566">
        <f t="shared" si="0"/>
        <v>20</v>
      </c>
      <c r="B24" s="3">
        <f>'תקציב אגף ת.ב.ל 2021  '!B24</f>
        <v>1887</v>
      </c>
      <c r="C24" s="280" t="str">
        <f>'תקציב אגף ת.ב.ל 2021  '!C24</f>
        <v>שיפוץ בי"ס מפתן ארז</v>
      </c>
      <c r="D24" s="4">
        <f>'תקציב אגף ת.ב.ל 2021  '!D24</f>
        <v>5200000</v>
      </c>
      <c r="E24" s="4">
        <f>'תקציב אגף ת.ב.ל 2021  '!E24</f>
        <v>5200000</v>
      </c>
      <c r="F24" s="4">
        <f>'תקציב אגף ת.ב.ל 2021  '!F24</f>
        <v>0</v>
      </c>
      <c r="G24" s="4">
        <f>'תקציב אגף ת.ב.ל 2021  '!G24</f>
        <v>1760000</v>
      </c>
      <c r="H24" s="4">
        <f>'תקציב אגף ת.ב.ל 2021  '!H24</f>
        <v>1363742</v>
      </c>
      <c r="I24" s="4">
        <f>'תקציב אגף ת.ב.ל 2021  '!I24</f>
        <v>332775</v>
      </c>
      <c r="J24" s="4">
        <f>'תקציב אגף ת.ב.ל 2021  '!J24</f>
        <v>0</v>
      </c>
      <c r="K24" s="4">
        <f>'תקציב אגף ת.ב.ל 2021  '!K24</f>
        <v>332775</v>
      </c>
      <c r="L24" s="4">
        <f>'תקציב אגף ת.ב.ל 2021  '!L24</f>
        <v>1696517</v>
      </c>
      <c r="M24" s="4">
        <f>'תקציב אגף ת.ב.ל 2021  '!M24</f>
        <v>63483</v>
      </c>
      <c r="N24" s="4">
        <f>'תקציב אגף ת.ב.ל 2021  '!N24</f>
        <v>0</v>
      </c>
      <c r="O24" s="4">
        <f>'תקציב אגף ת.ב.ל 2021  '!O24</f>
        <v>3440000</v>
      </c>
      <c r="P24" s="4">
        <f>'תקציב אגף ת.ב.ל 2021  '!P24</f>
        <v>63483</v>
      </c>
      <c r="Q24" s="4">
        <f>'תקציב אגף ת.ב.ל 2021  '!Q24</f>
        <v>0</v>
      </c>
      <c r="R24" s="4">
        <f>'תקציב אגף ת.ב.ל 2021  '!R24</f>
        <v>0</v>
      </c>
      <c r="S24" s="4">
        <f>'תקציב אגף ת.ב.ל 2021  '!S24</f>
        <v>0</v>
      </c>
      <c r="T24" s="4">
        <f>'תקציב אגף ת.ב.ל 2021  '!T24</f>
        <v>0</v>
      </c>
      <c r="U24" s="4">
        <f>'תקציב אגף ת.ב.ל 2021  '!U24</f>
        <v>0</v>
      </c>
      <c r="V24" s="4">
        <f>'תקציב אגף ת.ב.ל 2021  '!V24</f>
        <v>0</v>
      </c>
      <c r="W24" s="4">
        <f>'תקציב אגף ת.ב.ל 2021  '!W24</f>
        <v>0</v>
      </c>
      <c r="X24" s="4">
        <f>'תקציב אגף ת.ב.ל 2021  '!X24</f>
        <v>0</v>
      </c>
      <c r="Y24" s="4">
        <f>'תקציב אגף ת.ב.ל 2021  '!Y24</f>
        <v>0</v>
      </c>
      <c r="Z24" s="4">
        <f>'תקציב אגף ת.ב.ל 2021  '!Z24</f>
        <v>0</v>
      </c>
      <c r="AA24" s="4">
        <f>'תקציב אגף ת.ב.ל 2021  '!AA24</f>
        <v>0</v>
      </c>
      <c r="AB24" s="280" t="str">
        <f>'תקציב אגף ת.ב.ל 2021  '!AB24</f>
        <v>שלב ב' של עבודות שיפוצים יסודיים הרחבות בקומת הקרקע, מטבח, חזיתות. עיכוב בהיתר.</v>
      </c>
      <c r="AC24" s="280">
        <f>'תקציב אגף ת.ב.ל 2021  '!AC24</f>
        <v>810000</v>
      </c>
      <c r="AD24" s="24"/>
      <c r="AE24" s="24"/>
      <c r="AF24" s="23"/>
      <c r="AG24" s="23"/>
      <c r="AH24" s="22"/>
      <c r="AI24" s="22"/>
      <c r="AJ24" s="22"/>
      <c r="AK24" s="5"/>
      <c r="AL24" s="5"/>
      <c r="AM24" s="5"/>
      <c r="AN24" s="5"/>
      <c r="AO24" s="5"/>
    </row>
    <row r="25" spans="1:41" s="5" customFormat="1" ht="30" customHeight="1">
      <c r="A25" s="566">
        <f t="shared" si="0"/>
        <v>21</v>
      </c>
      <c r="B25" s="3">
        <f>'תקציב אגף ת.ב.ל 2021  '!B25</f>
        <v>1900</v>
      </c>
      <c r="C25" s="280" t="str">
        <f>'תקציב אגף ת.ב.ל 2021  '!C25</f>
        <v>התקנת מעלית בי"ס שז"ר</v>
      </c>
      <c r="D25" s="4">
        <f>'תקציב אגף ת.ב.ל 2021  '!D25</f>
        <v>600000</v>
      </c>
      <c r="E25" s="4">
        <f>'תקציב אגף ת.ב.ל 2021  '!E25</f>
        <v>700000</v>
      </c>
      <c r="F25" s="4">
        <f>'תקציב אגף ת.ב.ל 2021  '!F25</f>
        <v>-100000</v>
      </c>
      <c r="G25" s="4">
        <f>'תקציב אגף ת.ב.ל 2021  '!G25</f>
        <v>700000</v>
      </c>
      <c r="H25" s="4">
        <f>'תקציב אגף ת.ב.ל 2021  '!H25</f>
        <v>482010</v>
      </c>
      <c r="I25" s="4">
        <f>'תקציב אגף ת.ב.ל 2021  '!I25</f>
        <v>40401</v>
      </c>
      <c r="J25" s="4">
        <f>'תקציב אגף ת.ב.ל 2021  '!J25</f>
        <v>0</v>
      </c>
      <c r="K25" s="4">
        <f>'תקציב אגף ת.ב.ל 2021  '!K25</f>
        <v>40401</v>
      </c>
      <c r="L25" s="4">
        <f>'תקציב אגף ת.ב.ל 2021  '!L25</f>
        <v>522411</v>
      </c>
      <c r="M25" s="4">
        <f>'תקציב אגף ת.ב.ל 2021  '!M25</f>
        <v>77589</v>
      </c>
      <c r="N25" s="4">
        <f>'תקציב אגף ת.ב.ל 2021  '!N25</f>
        <v>0</v>
      </c>
      <c r="O25" s="4">
        <f>'תקציב אגף ת.ב.ל 2021  '!O25</f>
        <v>0</v>
      </c>
      <c r="P25" s="4">
        <f>'תקציב אגף ת.ב.ל 2021  '!P25</f>
        <v>177589</v>
      </c>
      <c r="Q25" s="4">
        <f>'תקציב אגף ת.ב.ל 2021  '!Q25</f>
        <v>0</v>
      </c>
      <c r="R25" s="4">
        <f>'תקציב אגף ת.ב.ל 2021  '!R25</f>
        <v>0</v>
      </c>
      <c r="S25" s="4">
        <f>'תקציב אגף ת.ב.ל 2021  '!S25</f>
        <v>0</v>
      </c>
      <c r="T25" s="4">
        <f>'תקציב אגף ת.ב.ל 2021  '!T25</f>
        <v>100000</v>
      </c>
      <c r="U25" s="4">
        <f>'תקציב אגף ת.ב.ל 2021  '!U25</f>
        <v>-100000</v>
      </c>
      <c r="V25" s="4">
        <f>'תקציב אגף ת.ב.ל 2021  '!V25</f>
        <v>-100000</v>
      </c>
      <c r="W25" s="4">
        <f>'תקציב אגף ת.ב.ל 2021  '!W25</f>
        <v>0</v>
      </c>
      <c r="X25" s="4">
        <f>'תקציב אגף ת.ב.ל 2021  '!X25</f>
        <v>0</v>
      </c>
      <c r="Y25" s="4">
        <f>'תקציב אגף ת.ב.ל 2021  '!Y25</f>
        <v>0</v>
      </c>
      <c r="Z25" s="4">
        <f>'תקציב אגף ת.ב.ל 2021  '!Z25</f>
        <v>0</v>
      </c>
      <c r="AA25" s="4">
        <f>'תקציב אגף ת.ב.ל 2021  '!AA25</f>
        <v>0</v>
      </c>
      <c r="AB25" s="280" t="str">
        <f>'תקציב אגף ת.ב.ל 2021  '!AB25</f>
        <v>התקנת מעלית במימון חלקי של משרד החינוך.</v>
      </c>
      <c r="AC25" s="280">
        <f>'תקציב אגף ת.ב.ל 2021  '!AC25</f>
        <v>810000</v>
      </c>
      <c r="AD25" s="24"/>
      <c r="AE25" s="24"/>
      <c r="AF25" s="23"/>
      <c r="AG25" s="23"/>
      <c r="AH25" s="23"/>
      <c r="AI25" s="23"/>
      <c r="AJ25" s="22"/>
    </row>
    <row r="26" spans="1:41" s="5" customFormat="1" ht="56">
      <c r="A26" s="566">
        <f t="shared" si="0"/>
        <v>22</v>
      </c>
      <c r="B26" s="3">
        <f>'תקציב אגף ת.ב.ל 2021  '!B26</f>
        <v>1917</v>
      </c>
      <c r="C26" s="280" t="str">
        <f>'תקציב אגף ת.ב.ל 2021  '!C26</f>
        <v>מע. תאורה LED ברחבי העיר</v>
      </c>
      <c r="D26" s="4">
        <f>'תקציב אגף ת.ב.ל 2021  '!D26</f>
        <v>76800000</v>
      </c>
      <c r="E26" s="4">
        <f>'תקציב אגף ת.ב.ל 2021  '!E26</f>
        <v>76800000</v>
      </c>
      <c r="F26" s="4">
        <f>'תקציב אגף ת.ב.ל 2021  '!F26</f>
        <v>0</v>
      </c>
      <c r="G26" s="4">
        <f>'תקציב אגף ת.ב.ל 2021  '!G26</f>
        <v>33001000</v>
      </c>
      <c r="H26" s="4">
        <f>'תקציב אגף ת.ב.ל 2021  '!H26</f>
        <v>22567518</v>
      </c>
      <c r="I26" s="4">
        <f>'תקציב אגף ת.ב.ל 2021  '!I26</f>
        <v>0</v>
      </c>
      <c r="J26" s="4">
        <f>'תקציב אגף ת.ב.ל 2021  '!J26</f>
        <v>10100791</v>
      </c>
      <c r="K26" s="4">
        <f>'תקציב אגף ת.ב.ל 2021  '!K26</f>
        <v>10100791</v>
      </c>
      <c r="L26" s="4">
        <f>'תקציב אגף ת.ב.ל 2021  '!L26</f>
        <v>32668309</v>
      </c>
      <c r="M26" s="4">
        <f>'תקציב אגף ת.ב.ל 2021  '!M26</f>
        <v>332691</v>
      </c>
      <c r="N26" s="4">
        <f>'תקציב אגף ת.ב.ל 2021  '!N26</f>
        <v>700000</v>
      </c>
      <c r="O26" s="4">
        <f>'תקציב אגף ת.ב.ל 2021  '!O26</f>
        <v>43099000</v>
      </c>
      <c r="P26" s="4">
        <f>'תקציב אגף ת.ב.ל 2021  '!P26</f>
        <v>332691</v>
      </c>
      <c r="Q26" s="4">
        <f>'תקציב אגף ת.ב.ל 2021  '!Q26</f>
        <v>0</v>
      </c>
      <c r="R26" s="4">
        <f>'תקציב אגף ת.ב.ל 2021  '!R26</f>
        <v>0</v>
      </c>
      <c r="S26" s="4">
        <f>'תקציב אגף ת.ב.ל 2021  '!S26</f>
        <v>0</v>
      </c>
      <c r="T26" s="4">
        <f>'תקציב אגף ת.ב.ל 2021  '!T26</f>
        <v>0</v>
      </c>
      <c r="U26" s="4">
        <f>'תקציב אגף ת.ב.ל 2021  '!U26</f>
        <v>700000</v>
      </c>
      <c r="V26" s="4">
        <f>'תקציב אגף ת.ב.ל 2021  '!V26</f>
        <v>700000</v>
      </c>
      <c r="W26" s="4">
        <f>'תקציב אגף ת.ב.ל 2021  '!W26</f>
        <v>0</v>
      </c>
      <c r="X26" s="4">
        <f>'תקציב אגף ת.ב.ל 2021  '!X26</f>
        <v>0</v>
      </c>
      <c r="Y26" s="4">
        <f>'תקציב אגף ת.ב.ל 2021  '!Y26</f>
        <v>0</v>
      </c>
      <c r="Z26" s="4">
        <f>'תקציב אגף ת.ב.ל 2021  '!Z26</f>
        <v>0</v>
      </c>
      <c r="AA26" s="4">
        <f>'תקציב אגף ת.ב.ל 2021  '!AA26</f>
        <v>0</v>
      </c>
      <c r="AB26" s="280" t="str">
        <f>'תקציב אגף ת.ב.ל 2021  '!AB26</f>
        <v>סל להקמת ושדרוג תשתיות כולל עמודי תאורה והתקנת גופי תאורה בטכנולוגיה מתקדמת עפ"י תוכנית רב שנתית. מימון מ. הכלכלה והתעשיה.</v>
      </c>
      <c r="AC26" s="280">
        <f>'תקציב אגף ת.ב.ל 2021  '!AC26</f>
        <v>743000</v>
      </c>
      <c r="AD26" s="24"/>
      <c r="AE26" s="24"/>
      <c r="AF26" s="23"/>
      <c r="AG26" s="23"/>
      <c r="AH26" s="22"/>
      <c r="AI26" s="22"/>
      <c r="AJ26" s="22"/>
    </row>
    <row r="27" spans="1:41" s="5" customFormat="1" ht="30" customHeight="1">
      <c r="A27" s="566">
        <f t="shared" si="0"/>
        <v>23</v>
      </c>
      <c r="B27" s="3">
        <f>'תקציב אגף ת.ב.ל 2021  '!B27</f>
        <v>1933</v>
      </c>
      <c r="C27" s="280" t="str">
        <f>'תקציב אגף ת.ב.ל 2021  '!C27</f>
        <v>שיפוצים ובטיחות אש מוזיאון</v>
      </c>
      <c r="D27" s="4">
        <f>'תקציב אגף ת.ב.ל 2021  '!D27</f>
        <v>1370000</v>
      </c>
      <c r="E27" s="4">
        <f>'תקציב אגף ת.ב.ל 2021  '!E27</f>
        <v>1420000</v>
      </c>
      <c r="F27" s="4">
        <f>'תקציב אגף ת.ב.ל 2021  '!F27</f>
        <v>-50000</v>
      </c>
      <c r="G27" s="4">
        <f>'תקציב אגף ת.ב.ל 2021  '!G27</f>
        <v>1370000</v>
      </c>
      <c r="H27" s="4">
        <f>'תקציב אגף ת.ב.ל 2021  '!H27</f>
        <v>1196722</v>
      </c>
      <c r="I27" s="4">
        <f>'תקציב אגף ת.ב.ל 2021  '!I27</f>
        <v>144734</v>
      </c>
      <c r="J27" s="4">
        <f>'תקציב אגף ת.ב.ל 2021  '!J27</f>
        <v>18454</v>
      </c>
      <c r="K27" s="4">
        <f>'תקציב אגף ת.ב.ל 2021  '!K27</f>
        <v>163188</v>
      </c>
      <c r="L27" s="4">
        <f>'תקציב אגף ת.ב.ל 2021  '!L27</f>
        <v>1359910</v>
      </c>
      <c r="M27" s="4">
        <f>'תקציב אגף ת.ב.ל 2021  '!M27</f>
        <v>10090</v>
      </c>
      <c r="N27" s="4">
        <f>'תקציב אגף ת.ב.ל 2021  '!N27</f>
        <v>0</v>
      </c>
      <c r="O27" s="4">
        <f>'תקציב אגף ת.ב.ל 2021  '!O27</f>
        <v>0</v>
      </c>
      <c r="P27" s="4">
        <f>'תקציב אגף ת.ב.ל 2021  '!P27</f>
        <v>10090</v>
      </c>
      <c r="Q27" s="4">
        <f>'תקציב אגף ת.ב.ל 2021  '!Q27</f>
        <v>0</v>
      </c>
      <c r="R27" s="4">
        <f>'תקציב אגף ת.ב.ל 2021  '!R27</f>
        <v>0</v>
      </c>
      <c r="S27" s="4">
        <f>'תקציב אגף ת.ב.ל 2021  '!S27</f>
        <v>0</v>
      </c>
      <c r="T27" s="4">
        <f>'תקציב אגף ת.ב.ל 2021  '!T27</f>
        <v>0</v>
      </c>
      <c r="U27" s="4">
        <f>'תקציב אגף ת.ב.ל 2021  '!U27</f>
        <v>0</v>
      </c>
      <c r="V27" s="4">
        <f>'תקציב אגף ת.ב.ל 2021  '!V27</f>
        <v>0</v>
      </c>
      <c r="W27" s="4">
        <f>'תקציב אגף ת.ב.ל 2021  '!W27</f>
        <v>0</v>
      </c>
      <c r="X27" s="4">
        <f>'תקציב אגף ת.ב.ל 2021  '!X27</f>
        <v>0</v>
      </c>
      <c r="Y27" s="4">
        <f>'תקציב אגף ת.ב.ל 2021  '!Y27</f>
        <v>0</v>
      </c>
      <c r="Z27" s="4">
        <f>'תקציב אגף ת.ב.ל 2021  '!Z27</f>
        <v>0</v>
      </c>
      <c r="AA27" s="4">
        <f>'תקציב אגף ת.ב.ל 2021  '!AA27</f>
        <v>0</v>
      </c>
      <c r="AB27" s="280" t="str">
        <f>'תקציב אגף ת.ב.ל 2021  '!AB27</f>
        <v xml:space="preserve">עבודות במסגרת מערכות כיבוי אש והמשך שדרוג מערכת מיזוג במוזיאון. </v>
      </c>
      <c r="AC27" s="280">
        <f>'תקציב אגף ת.ב.ל 2021  '!AC27</f>
        <v>826000</v>
      </c>
      <c r="AD27" s="24"/>
      <c r="AE27" s="24"/>
      <c r="AF27" s="23"/>
      <c r="AG27" s="23"/>
      <c r="AH27" s="23"/>
      <c r="AI27" s="23"/>
      <c r="AJ27" s="22"/>
    </row>
    <row r="28" spans="1:41" s="5" customFormat="1" ht="56">
      <c r="A28" s="566">
        <f t="shared" si="0"/>
        <v>24</v>
      </c>
      <c r="B28" s="3">
        <f>'תקציב אגף ת.ב.ל 2021  '!B28</f>
        <v>1947</v>
      </c>
      <c r="C28" s="280" t="str">
        <f>'תקציב אגף ת.ב.ל 2021  '!C28</f>
        <v xml:space="preserve">פיר מעלית ומעלית בנין המועצה הדתית </v>
      </c>
      <c r="D28" s="4">
        <f>'תקציב אגף ת.ב.ל 2021  '!D28</f>
        <v>2500000</v>
      </c>
      <c r="E28" s="4">
        <f>'תקציב אגף ת.ב.ל 2021  '!E28</f>
        <v>2500000</v>
      </c>
      <c r="F28" s="4">
        <f>'תקציב אגף ת.ב.ל 2021  '!F28</f>
        <v>0</v>
      </c>
      <c r="G28" s="4">
        <f>'תקציב אגף ת.ב.ל 2021  '!G28</f>
        <v>950000</v>
      </c>
      <c r="H28" s="4">
        <f>'תקציב אגף ת.ב.ל 2021  '!H28</f>
        <v>19881</v>
      </c>
      <c r="I28" s="4">
        <f>'תקציב אגף ת.ב.ל 2021  '!I28</f>
        <v>204750</v>
      </c>
      <c r="J28" s="4">
        <f>'תקציב אגף ת.ב.ל 2021  '!J28</f>
        <v>0</v>
      </c>
      <c r="K28" s="4">
        <f>'תקציב אגף ת.ב.ל 2021  '!K28</f>
        <v>204750</v>
      </c>
      <c r="L28" s="4">
        <f>'תקציב אגף ת.ב.ל 2021  '!L28</f>
        <v>224631</v>
      </c>
      <c r="M28" s="4">
        <f>'תקציב אגף ת.ב.ל 2021  '!M28</f>
        <v>725369</v>
      </c>
      <c r="N28" s="4">
        <f>'תקציב אגף ת.ב.ל 2021  '!N28</f>
        <v>1550000</v>
      </c>
      <c r="O28" s="4">
        <f>'תקציב אגף ת.ב.ל 2021  '!O28</f>
        <v>0</v>
      </c>
      <c r="P28" s="4">
        <f>'תקציב אגף ת.ב.ל 2021  '!P28</f>
        <v>725369</v>
      </c>
      <c r="Q28" s="4">
        <f>'תקציב אגף ת.ב.ל 2021  '!Q28</f>
        <v>0</v>
      </c>
      <c r="R28" s="4">
        <f>'תקציב אגף ת.ב.ל 2021  '!R28</f>
        <v>0</v>
      </c>
      <c r="S28" s="4">
        <f>'תקציב אגף ת.ב.ל 2021  '!S28</f>
        <v>0</v>
      </c>
      <c r="T28" s="4">
        <f>'תקציב אגף ת.ב.ל 2021  '!T28</f>
        <v>0</v>
      </c>
      <c r="U28" s="4">
        <f>'תקציב אגף ת.ב.ל 2021  '!U28</f>
        <v>1550000</v>
      </c>
      <c r="V28" s="4">
        <f>'תקציב אגף ת.ב.ל 2021  '!V28</f>
        <v>1550000</v>
      </c>
      <c r="W28" s="4">
        <f>'תקציב אגף ת.ב.ל 2021  '!W28</f>
        <v>0</v>
      </c>
      <c r="X28" s="4">
        <f>'תקציב אגף ת.ב.ל 2021  '!X28</f>
        <v>0</v>
      </c>
      <c r="Y28" s="4">
        <f>'תקציב אגף ת.ב.ל 2021  '!Y28</f>
        <v>0</v>
      </c>
      <c r="Z28" s="4">
        <f>'תקציב אגף ת.ב.ל 2021  '!Z28</f>
        <v>0</v>
      </c>
      <c r="AA28" s="4">
        <f>'תקציב אגף ת.ב.ל 2021  '!AA28</f>
        <v>0</v>
      </c>
      <c r="AB28" s="280" t="str">
        <f>'תקציב אגף ת.ב.ל 2021  '!AB28</f>
        <v>בנית פיר מעלית חיצוני בעקבות ביקורת של יועץ נגישות וקושי הנדסי לבנות את הפיר בתוך המבנה. ממומן מ. הדתות. ההיתר בשלבים מתקדמים.</v>
      </c>
      <c r="AC28" s="280">
        <f>'תקציב אגף ת.ב.ל 2021  '!AC28</f>
        <v>850000</v>
      </c>
      <c r="AD28" s="24"/>
      <c r="AE28" s="24"/>
      <c r="AF28" s="23"/>
      <c r="AG28" s="23"/>
      <c r="AH28" s="23"/>
      <c r="AI28" s="23"/>
      <c r="AJ28" s="22"/>
    </row>
    <row r="29" spans="1:41" s="5" customFormat="1" ht="42">
      <c r="A29" s="566">
        <f t="shared" si="0"/>
        <v>25</v>
      </c>
      <c r="B29" s="3">
        <f>'תקציב אגף ת.ב.ל 2021  '!B29</f>
        <v>1966</v>
      </c>
      <c r="C29" s="280" t="str">
        <f>'תקציב אגף ת.ב.ל 2021  '!C29</f>
        <v>החלפת צילרים אולמות ספורט נ. ישראל,סמדר ,נוף ים</v>
      </c>
      <c r="D29" s="4">
        <f>'תקציב אגף ת.ב.ל 2021  '!D29</f>
        <v>1700000</v>
      </c>
      <c r="E29" s="4">
        <f>'תקציב אגף ת.ב.ל 2021  '!E29</f>
        <v>1700000</v>
      </c>
      <c r="F29" s="4">
        <f>'תקציב אגף ת.ב.ל 2021  '!F29</f>
        <v>0</v>
      </c>
      <c r="G29" s="4">
        <f>'תקציב אגף ת.ב.ל 2021  '!G29</f>
        <v>1700000</v>
      </c>
      <c r="H29" s="4">
        <f>'תקציב אגף ת.ב.ל 2021  '!H29</f>
        <v>0</v>
      </c>
      <c r="I29" s="4">
        <f>'תקציב אגף ת.ב.ל 2021  '!I29</f>
        <v>1699999</v>
      </c>
      <c r="J29" s="4">
        <f>'תקציב אגף ת.ב.ל 2021  '!J29</f>
        <v>0</v>
      </c>
      <c r="K29" s="4">
        <f>'תקציב אגף ת.ב.ל 2021  '!K29</f>
        <v>1699999</v>
      </c>
      <c r="L29" s="4">
        <f>'תקציב אגף ת.ב.ל 2021  '!L29</f>
        <v>1699999</v>
      </c>
      <c r="M29" s="4">
        <f>'תקציב אגף ת.ב.ל 2021  '!M29</f>
        <v>1</v>
      </c>
      <c r="N29" s="4">
        <f>'תקציב אגף ת.ב.ל 2021  '!N29</f>
        <v>0</v>
      </c>
      <c r="O29" s="4">
        <f>'תקציב אגף ת.ב.ל 2021  '!O29</f>
        <v>0</v>
      </c>
      <c r="P29" s="4">
        <f>'תקציב אגף ת.ב.ל 2021  '!P29</f>
        <v>1</v>
      </c>
      <c r="Q29" s="4">
        <f>'תקציב אגף ת.ב.ל 2021  '!Q29</f>
        <v>0</v>
      </c>
      <c r="R29" s="4">
        <f>'תקציב אגף ת.ב.ל 2021  '!R29</f>
        <v>0</v>
      </c>
      <c r="S29" s="4">
        <f>'תקציב אגף ת.ב.ל 2021  '!S29</f>
        <v>0</v>
      </c>
      <c r="T29" s="4">
        <f>'תקציב אגף ת.ב.ל 2021  '!T29</f>
        <v>0</v>
      </c>
      <c r="U29" s="4">
        <f>'תקציב אגף ת.ב.ל 2021  '!U29</f>
        <v>0</v>
      </c>
      <c r="V29" s="4">
        <f>'תקציב אגף ת.ב.ל 2021  '!V29</f>
        <v>0</v>
      </c>
      <c r="W29" s="4">
        <f>'תקציב אגף ת.ב.ל 2021  '!W29</f>
        <v>0</v>
      </c>
      <c r="X29" s="4">
        <f>'תקציב אגף ת.ב.ל 2021  '!X29</f>
        <v>0</v>
      </c>
      <c r="Y29" s="4">
        <f>'תקציב אגף ת.ב.ל 2021  '!Y29</f>
        <v>0</v>
      </c>
      <c r="Z29" s="4">
        <f>'תקציב אגף ת.ב.ל 2021  '!Z29</f>
        <v>0</v>
      </c>
      <c r="AA29" s="4">
        <f>'תקציב אגף ת.ב.ל 2021  '!AA29</f>
        <v>0</v>
      </c>
      <c r="AB29" s="280" t="str">
        <f>'תקציב אגף ת.ב.ל 2021  '!AB29</f>
        <v xml:space="preserve">החלפת מערכות צ'לרים באולמות הספורט מימון מ. הכלכלה והתעשיה. </v>
      </c>
      <c r="AC29" s="280">
        <f>'תקציב אגף ת.ב.ל 2021  '!AC29</f>
        <v>870000</v>
      </c>
      <c r="AD29" s="24"/>
      <c r="AE29" s="24"/>
      <c r="AF29" s="23"/>
      <c r="AG29" s="23"/>
      <c r="AH29" s="22"/>
      <c r="AI29" s="22"/>
      <c r="AJ29" s="22"/>
    </row>
    <row r="30" spans="1:41" s="5" customFormat="1" ht="30" customHeight="1">
      <c r="A30" s="566">
        <f t="shared" si="0"/>
        <v>26</v>
      </c>
      <c r="B30" s="3">
        <f>'תקציב אגף ת.ב.ל 2021  '!B30</f>
        <v>1967</v>
      </c>
      <c r="C30" s="280" t="str">
        <f>'תקציב אגף ת.ב.ל 2021  '!C30</f>
        <v>התאמות נגישות מוסדות חינוך</v>
      </c>
      <c r="D30" s="4">
        <f>'תקציב אגף ת.ב.ל 2021  '!D30</f>
        <v>12929000</v>
      </c>
      <c r="E30" s="4">
        <f>'תקציב אגף ת.ב.ל 2021  '!E30</f>
        <v>12929000</v>
      </c>
      <c r="F30" s="4">
        <f>'תקציב אגף ת.ב.ל 2021  '!F30</f>
        <v>0</v>
      </c>
      <c r="G30" s="4">
        <f>'תקציב אגף ת.ב.ל 2021  '!G30</f>
        <v>10819000</v>
      </c>
      <c r="H30" s="4">
        <f>'תקציב אגף ת.ב.ל 2021  '!H30</f>
        <v>2105132</v>
      </c>
      <c r="I30" s="4">
        <f>'תקציב אגף ת.ב.ל 2021  '!I30</f>
        <v>202825</v>
      </c>
      <c r="J30" s="4">
        <f>'תקציב אגף ת.ב.ל 2021  '!J30</f>
        <v>8508972</v>
      </c>
      <c r="K30" s="4">
        <f>'תקציב אגף ת.ב.ל 2021  '!K30</f>
        <v>8711797</v>
      </c>
      <c r="L30" s="4">
        <f>'תקציב אגף ת.ב.ל 2021  '!L30</f>
        <v>10816929</v>
      </c>
      <c r="M30" s="4">
        <f>'תקציב אגף ת.ב.ל 2021  '!M30</f>
        <v>2071</v>
      </c>
      <c r="N30" s="4">
        <f>'תקציב אגף ת.ב.ל 2021  '!N30</f>
        <v>1810000</v>
      </c>
      <c r="O30" s="4">
        <f>'תקציב אגף ת.ב.ל 2021  '!O30</f>
        <v>300000</v>
      </c>
      <c r="P30" s="4">
        <f>'תקציב אגף ת.ב.ל 2021  '!P30</f>
        <v>2071</v>
      </c>
      <c r="Q30" s="4">
        <f>'תקציב אגף ת.ב.ל 2021  '!Q30</f>
        <v>0</v>
      </c>
      <c r="R30" s="4">
        <f>'תקציב אגף ת.ב.ל 2021  '!R30</f>
        <v>0</v>
      </c>
      <c r="S30" s="4">
        <f>'תקציב אגף ת.ב.ל 2021  '!S30</f>
        <v>0</v>
      </c>
      <c r="T30" s="4">
        <f>'תקציב אגף ת.ב.ל 2021  '!T30</f>
        <v>0</v>
      </c>
      <c r="U30" s="4">
        <f>'תקציב אגף ת.ב.ל 2021  '!U30</f>
        <v>1810000</v>
      </c>
      <c r="V30" s="4">
        <f>'תקציב אגף ת.ב.ל 2021  '!V30</f>
        <v>0</v>
      </c>
      <c r="W30" s="4">
        <f>'תקציב אגף ת.ב.ל 2021  '!W30</f>
        <v>1810000</v>
      </c>
      <c r="X30" s="4">
        <f>'תקציב אגף ת.ב.ל 2021  '!X30</f>
        <v>0</v>
      </c>
      <c r="Y30" s="4">
        <f>'תקציב אגף ת.ב.ל 2021  '!Y30</f>
        <v>0</v>
      </c>
      <c r="Z30" s="4">
        <f>'תקציב אגף ת.ב.ל 2021  '!Z30</f>
        <v>0</v>
      </c>
      <c r="AA30" s="4">
        <f>'תקציב אגף ת.ב.ל 2021  '!AA30</f>
        <v>0</v>
      </c>
      <c r="AB30" s="280" t="str">
        <f>'תקציב אגף ת.ב.ל 2021  '!AB30</f>
        <v xml:space="preserve">התקנת מעליות, שרותים ,רמפות בבי"ס עפ"י תוכנית רב שנתית. מימון מ. החינוך. </v>
      </c>
      <c r="AC30" s="280">
        <f>'תקציב אגף ת.ב.ל 2021  '!AC30</f>
        <v>810000</v>
      </c>
      <c r="AD30" s="24"/>
      <c r="AE30" s="24"/>
      <c r="AF30" s="23"/>
      <c r="AG30" s="23"/>
      <c r="AH30" s="23"/>
      <c r="AI30" s="23"/>
      <c r="AJ30" s="22"/>
    </row>
    <row r="31" spans="1:41" s="5" customFormat="1" ht="25" customHeight="1">
      <c r="A31" s="566">
        <f t="shared" si="0"/>
        <v>27</v>
      </c>
      <c r="B31" s="3">
        <f>'תקציב אגף ת.ב.ל 2021  '!B31</f>
        <v>1968</v>
      </c>
      <c r="C31" s="280" t="str">
        <f>'תקציב אגף ת.ב.ל 2021  '!C31</f>
        <v>שדרוג המרחב הציבורי</v>
      </c>
      <c r="D31" s="4">
        <f>'תקציב אגף ת.ב.ל 2021  '!D31</f>
        <v>2070000</v>
      </c>
      <c r="E31" s="4">
        <f>'תקציב אגף ת.ב.ל 2021  '!E31</f>
        <v>1950000</v>
      </c>
      <c r="F31" s="4">
        <f>'תקציב אגף ת.ב.ל 2021  '!F31</f>
        <v>120000</v>
      </c>
      <c r="G31" s="4">
        <f>'תקציב אגף ת.ב.ל 2021  '!G31</f>
        <v>1770000</v>
      </c>
      <c r="H31" s="4">
        <f>'תקציב אגף ת.ב.ל 2021  '!H31</f>
        <v>1591436</v>
      </c>
      <c r="I31" s="4">
        <f>'תקציב אגף ת.ב.ל 2021  '!I31</f>
        <v>0</v>
      </c>
      <c r="J31" s="4">
        <f>'תקציב אגף ת.ב.ל 2021  '!J31</f>
        <v>164011</v>
      </c>
      <c r="K31" s="4">
        <f>'תקציב אגף ת.ב.ל 2021  '!K31</f>
        <v>164011</v>
      </c>
      <c r="L31" s="4">
        <f>'תקציב אגף ת.ב.ל 2021  '!L31</f>
        <v>1755447</v>
      </c>
      <c r="M31" s="4">
        <f>'תקציב אגף ת.ב.ל 2021  '!M31</f>
        <v>14553</v>
      </c>
      <c r="N31" s="4">
        <f>'תקציב אגף ת.ב.ל 2021  '!N31</f>
        <v>100000</v>
      </c>
      <c r="O31" s="4">
        <f>'תקציב אגף ת.ב.ל 2021  '!O31</f>
        <v>200000</v>
      </c>
      <c r="P31" s="4">
        <f>'תקציב אגף ת.ב.ל 2021  '!P31</f>
        <v>14553</v>
      </c>
      <c r="Q31" s="4">
        <f>'תקציב אגף ת.ב.ל 2021  '!Q31</f>
        <v>0</v>
      </c>
      <c r="R31" s="4">
        <f>'תקציב אגף ת.ב.ל 2021  '!R31</f>
        <v>0</v>
      </c>
      <c r="S31" s="4">
        <f>'תקציב אגף ת.ב.ל 2021  '!S31</f>
        <v>0</v>
      </c>
      <c r="T31" s="4">
        <f>'תקציב אגף ת.ב.ל 2021  '!T31</f>
        <v>0</v>
      </c>
      <c r="U31" s="4">
        <f>'תקציב אגף ת.ב.ל 2021  '!U31</f>
        <v>100000</v>
      </c>
      <c r="V31" s="4">
        <f>'תקציב אגף ת.ב.ל 2021  '!V31</f>
        <v>0</v>
      </c>
      <c r="W31" s="4">
        <f>'תקציב אגף ת.ב.ל 2021  '!W31</f>
        <v>100000</v>
      </c>
      <c r="X31" s="4">
        <f>'תקציב אגף ת.ב.ל 2021  '!X31</f>
        <v>0</v>
      </c>
      <c r="Y31" s="4">
        <f>'תקציב אגף ת.ב.ל 2021  '!Y31</f>
        <v>0</v>
      </c>
      <c r="Z31" s="4">
        <f>'תקציב אגף ת.ב.ל 2021  '!Z31</f>
        <v>0</v>
      </c>
      <c r="AA31" s="4">
        <f>'תקציב אגף ת.ב.ל 2021  '!AA31</f>
        <v>0</v>
      </c>
      <c r="AB31" s="280" t="str">
        <f>'תקציב אגף ת.ב.ל 2021  '!AB31</f>
        <v>מסגרת עבודות במרחב הציבורי.</v>
      </c>
      <c r="AC31" s="280">
        <f>'תקציב אגף ת.ב.ל 2021  '!AC31</f>
        <v>848500</v>
      </c>
      <c r="AD31" s="24"/>
      <c r="AE31" s="24"/>
      <c r="AF31" s="23"/>
      <c r="AG31" s="23"/>
      <c r="AH31" s="23"/>
      <c r="AI31" s="23"/>
      <c r="AJ31" s="22"/>
    </row>
    <row r="32" spans="1:41" s="5" customFormat="1" ht="42">
      <c r="A32" s="566">
        <f t="shared" si="0"/>
        <v>28</v>
      </c>
      <c r="B32" s="3">
        <f>'תקציב אגף ת.ב.ל 2021  '!B32</f>
        <v>1970</v>
      </c>
      <c r="C32" s="280" t="str">
        <f>'תקציב אגף ת.ב.ל 2021  '!C32</f>
        <v xml:space="preserve">שיפוצים שונים מוס"ח </v>
      </c>
      <c r="D32" s="4">
        <f>'תקציב אגף ת.ב.ל 2021  '!D32</f>
        <v>32500000</v>
      </c>
      <c r="E32" s="4">
        <f>'תקציב אגף ת.ב.ל 2021  '!E32</f>
        <v>34200000</v>
      </c>
      <c r="F32" s="4">
        <f>'תקציב אגף ת.ב.ל 2021  '!F32</f>
        <v>-1700000</v>
      </c>
      <c r="G32" s="4">
        <f>'תקציב אגף ת.ב.ל 2021  '!G32</f>
        <v>32500000</v>
      </c>
      <c r="H32" s="4">
        <f>'תקציב אגף ת.ב.ל 2021  '!H32</f>
        <v>25742468</v>
      </c>
      <c r="I32" s="4">
        <f>'תקציב אגף ת.ב.ל 2021  '!I32</f>
        <v>362102</v>
      </c>
      <c r="J32" s="4">
        <f>'תקציב אגף ת.ב.ל 2021  '!J32</f>
        <v>4260442</v>
      </c>
      <c r="K32" s="4">
        <f>'תקציב אגף ת.ב.ל 2021  '!K32</f>
        <v>4622544</v>
      </c>
      <c r="L32" s="4">
        <f>'תקציב אגף ת.ב.ל 2021  '!L32</f>
        <v>30365012</v>
      </c>
      <c r="M32" s="4">
        <f>'תקציב אגף ת.ב.ל 2021  '!M32</f>
        <v>2134988</v>
      </c>
      <c r="N32" s="4">
        <f>'תקציב אגף ת.ב.ל 2021  '!N32</f>
        <v>0</v>
      </c>
      <c r="O32" s="4">
        <f>'תקציב אגף ת.ב.ל 2021  '!O32</f>
        <v>0</v>
      </c>
      <c r="P32" s="4">
        <f>'תקציב אגף ת.ב.ל 2021  '!P32</f>
        <v>2134988</v>
      </c>
      <c r="Q32" s="4">
        <f>'תקציב אגף ת.ב.ל 2021  '!Q32</f>
        <v>0</v>
      </c>
      <c r="R32" s="4">
        <f>'תקציב אגף ת.ב.ל 2021  '!R32</f>
        <v>0</v>
      </c>
      <c r="S32" s="4">
        <f>'תקציב אגף ת.ב.ל 2021  '!S32</f>
        <v>0</v>
      </c>
      <c r="T32" s="4">
        <f>'תקציב אגף ת.ב.ל 2021  '!T32</f>
        <v>0</v>
      </c>
      <c r="U32" s="4">
        <f>'תקציב אגף ת.ב.ל 2021  '!U32</f>
        <v>0</v>
      </c>
      <c r="V32" s="4">
        <f>'תקציב אגף ת.ב.ל 2021  '!V32</f>
        <v>0</v>
      </c>
      <c r="W32" s="4">
        <f>'תקציב אגף ת.ב.ל 2021  '!W32</f>
        <v>0</v>
      </c>
      <c r="X32" s="4">
        <f>'תקציב אגף ת.ב.ל 2021  '!X32</f>
        <v>0</v>
      </c>
      <c r="Y32" s="4">
        <f>'תקציב אגף ת.ב.ל 2021  '!Y32</f>
        <v>0</v>
      </c>
      <c r="Z32" s="4">
        <f>'תקציב אגף ת.ב.ל 2021  '!Z32</f>
        <v>0</v>
      </c>
      <c r="AA32" s="4">
        <f>'תקציב אגף ת.ב.ל 2021  '!AA32</f>
        <v>0</v>
      </c>
      <c r="AB32" s="280" t="str">
        <f>'תקציב אגף ת.ב.ל 2021  '!AB32</f>
        <v>סל עבודות שיפוצים שונות במוס"ח לרבות שיפוצים יסודיים והתאמת מבנים גנ"י.ראה תב"ר 2177.</v>
      </c>
      <c r="AC32" s="280">
        <f>'תקציב אגף ת.ב.ל 2021  '!AC32</f>
        <v>810000</v>
      </c>
      <c r="AD32" s="24"/>
      <c r="AE32" s="24"/>
      <c r="AF32" s="23"/>
      <c r="AG32" s="23"/>
      <c r="AH32" s="23"/>
      <c r="AI32" s="23"/>
      <c r="AJ32" s="22"/>
    </row>
    <row r="33" spans="1:41" s="5" customFormat="1" ht="30" customHeight="1">
      <c r="A33" s="566">
        <f t="shared" si="0"/>
        <v>29</v>
      </c>
      <c r="B33" s="3">
        <f>'תקציב אגף ת.ב.ל 2021  '!B33</f>
        <v>2001</v>
      </c>
      <c r="C33" s="280" t="str">
        <f>'תקציב אגף ת.ב.ל 2021  '!C33</f>
        <v>בניית בי"ס ברחוב משה (ירוק)</v>
      </c>
      <c r="D33" s="4">
        <f>'תקציב אגף ת.ב.ל 2021  '!D33</f>
        <v>18500000</v>
      </c>
      <c r="E33" s="4">
        <f>'תקציב אגף ת.ב.ל 2021  '!E33</f>
        <v>18500000</v>
      </c>
      <c r="F33" s="4">
        <f>'תקציב אגף ת.ב.ל 2021  '!F33</f>
        <v>0</v>
      </c>
      <c r="G33" s="4">
        <f>'תקציב אגף ת.ב.ל 2021  '!G33</f>
        <v>1398700</v>
      </c>
      <c r="H33" s="4">
        <f>'תקציב אגף ת.ב.ל 2021  '!H33</f>
        <v>445693</v>
      </c>
      <c r="I33" s="4">
        <f>'תקציב אגף ת.ב.ל 2021  '!I33</f>
        <v>626187</v>
      </c>
      <c r="J33" s="4">
        <f>'תקציב אגף ת.ב.ל 2021  '!J33</f>
        <v>43117</v>
      </c>
      <c r="K33" s="4">
        <f>'תקציב אגף ת.ב.ל 2021  '!K33</f>
        <v>669304</v>
      </c>
      <c r="L33" s="4">
        <f>'תקציב אגף ת.ב.ל 2021  '!L33</f>
        <v>1114997</v>
      </c>
      <c r="M33" s="4">
        <f>'תקציב אגף ת.ב.ל 2021  '!M33</f>
        <v>283703</v>
      </c>
      <c r="N33" s="4">
        <f>'תקציב אגף ת.ב.ל 2021  '!N33</f>
        <v>17101300</v>
      </c>
      <c r="O33" s="4">
        <f>'תקציב אגף ת.ב.ל 2021  '!O33</f>
        <v>0</v>
      </c>
      <c r="P33" s="4">
        <f>'תקציב אגף ת.ב.ל 2021  '!P33</f>
        <v>283703</v>
      </c>
      <c r="Q33" s="4">
        <f>'תקציב אגף ת.ב.ל 2021  '!Q33</f>
        <v>0</v>
      </c>
      <c r="R33" s="4">
        <f>'תקציב אגף ת.ב.ל 2021  '!R33</f>
        <v>0</v>
      </c>
      <c r="S33" s="4">
        <f>'תקציב אגף ת.ב.ל 2021  '!S33</f>
        <v>0</v>
      </c>
      <c r="T33" s="4">
        <f>'תקציב אגף ת.ב.ל 2021  '!T33</f>
        <v>0</v>
      </c>
      <c r="U33" s="4">
        <f>'תקציב אגף ת.ב.ל 2021  '!U33</f>
        <v>17101300</v>
      </c>
      <c r="V33" s="4">
        <f>'תקציב אגף ת.ב.ל 2021  '!V33</f>
        <v>7541300</v>
      </c>
      <c r="W33" s="4">
        <f>'תקציב אגף ת.ב.ל 2021  '!W33</f>
        <v>0</v>
      </c>
      <c r="X33" s="4">
        <f>'תקציב אגף ת.ב.ל 2021  '!X33</f>
        <v>0</v>
      </c>
      <c r="Y33" s="4">
        <f>'תקציב אגף ת.ב.ל 2021  '!Y33</f>
        <v>0</v>
      </c>
      <c r="Z33" s="4">
        <f>'תקציב אגף ת.ב.ל 2021  '!Z33</f>
        <v>0</v>
      </c>
      <c r="AA33" s="4">
        <f>'תקציב אגף ת.ב.ל 2021  '!AA33</f>
        <v>9560000</v>
      </c>
      <c r="AB33" s="280" t="str">
        <f>'תקציב אגף ת.ב.ל 2021  '!AB33</f>
        <v xml:space="preserve">בניית בית ספר ברח' משה-12 כתות. מימון מ. החינוך. היתר בשלב סופי. </v>
      </c>
      <c r="AC33" s="280">
        <f>'תקציב אגף ת.ב.ל 2021  '!AC33</f>
        <v>810000</v>
      </c>
      <c r="AD33" s="24"/>
      <c r="AE33" s="24"/>
      <c r="AF33" s="23"/>
      <c r="AG33" s="23"/>
      <c r="AH33" s="23"/>
      <c r="AI33" s="23"/>
      <c r="AJ33" s="22"/>
    </row>
    <row r="34" spans="1:41" s="5" customFormat="1" ht="30" customHeight="1">
      <c r="A34" s="566">
        <f t="shared" si="0"/>
        <v>30</v>
      </c>
      <c r="B34" s="3">
        <f>'תקציב אגף ת.ב.ל 2021  '!B34</f>
        <v>2027</v>
      </c>
      <c r="C34" s="280" t="str">
        <f>'תקציב אגף ת.ב.ל 2021  '!C34</f>
        <v>שיפוץ יסודי מעון בן סרוק כולל הצטיידות</v>
      </c>
      <c r="D34" s="4">
        <f>'תקציב אגף ת.ב.ל 2021  '!D34</f>
        <v>1901000</v>
      </c>
      <c r="E34" s="4">
        <f>'תקציב אגף ת.ב.ל 2021  '!E34</f>
        <v>1930000</v>
      </c>
      <c r="F34" s="4">
        <f>'תקציב אגף ת.ב.ל 2021  '!F34</f>
        <v>-29000</v>
      </c>
      <c r="G34" s="4">
        <f>'תקציב אגף ת.ב.ל 2021  '!G34</f>
        <v>1901000</v>
      </c>
      <c r="H34" s="4">
        <f>'תקציב אגף ת.ב.ל 2021  '!H34</f>
        <v>1878506</v>
      </c>
      <c r="I34" s="4">
        <f>'תקציב אגף ת.ב.ל 2021  '!I34</f>
        <v>0</v>
      </c>
      <c r="J34" s="4">
        <f>'תקציב אגף ת.ב.ל 2021  '!J34</f>
        <v>22392</v>
      </c>
      <c r="K34" s="4">
        <f>'תקציב אגף ת.ב.ל 2021  '!K34</f>
        <v>22392</v>
      </c>
      <c r="L34" s="4">
        <f>'תקציב אגף ת.ב.ל 2021  '!L34</f>
        <v>1900898</v>
      </c>
      <c r="M34" s="4">
        <f>'תקציב אגף ת.ב.ל 2021  '!M34</f>
        <v>102</v>
      </c>
      <c r="N34" s="4">
        <f>'תקציב אגף ת.ב.ל 2021  '!N34</f>
        <v>0</v>
      </c>
      <c r="O34" s="4">
        <f>'תקציב אגף ת.ב.ל 2021  '!O34</f>
        <v>0</v>
      </c>
      <c r="P34" s="4">
        <f>'תקציב אגף ת.ב.ל 2021  '!P34</f>
        <v>102</v>
      </c>
      <c r="Q34" s="4">
        <f>'תקציב אגף ת.ב.ל 2021  '!Q34</f>
        <v>0</v>
      </c>
      <c r="R34" s="4">
        <f>'תקציב אגף ת.ב.ל 2021  '!R34</f>
        <v>0</v>
      </c>
      <c r="S34" s="4">
        <f>'תקציב אגף ת.ב.ל 2021  '!S34</f>
        <v>0</v>
      </c>
      <c r="T34" s="4">
        <f>'תקציב אגף ת.ב.ל 2021  '!T34</f>
        <v>0</v>
      </c>
      <c r="U34" s="4">
        <f>'תקציב אגף ת.ב.ל 2021  '!U34</f>
        <v>0</v>
      </c>
      <c r="V34" s="4">
        <f>'תקציב אגף ת.ב.ל 2021  '!V34</f>
        <v>0</v>
      </c>
      <c r="W34" s="4">
        <f>'תקציב אגף ת.ב.ל 2021  '!W34</f>
        <v>0</v>
      </c>
      <c r="X34" s="4">
        <f>'תקציב אגף ת.ב.ל 2021  '!X34</f>
        <v>0</v>
      </c>
      <c r="Y34" s="4">
        <f>'תקציב אגף ת.ב.ל 2021  '!Y34</f>
        <v>0</v>
      </c>
      <c r="Z34" s="4">
        <f>'תקציב אגף ת.ב.ל 2021  '!Z34</f>
        <v>0</v>
      </c>
      <c r="AA34" s="4">
        <f>'תקציב אגף ת.ב.ל 2021  '!AA34</f>
        <v>0</v>
      </c>
      <c r="AB34" s="280">
        <f>'תקציב אגף ת.ב.ל 2021  '!AB34</f>
        <v>0</v>
      </c>
      <c r="AC34" s="280">
        <f>'תקציב אגף ת.ב.ל 2021  '!AC34</f>
        <v>810000</v>
      </c>
      <c r="AD34" s="24"/>
      <c r="AE34" s="24"/>
      <c r="AF34" s="23"/>
      <c r="AG34" s="23"/>
      <c r="AH34" s="23"/>
      <c r="AI34" s="23"/>
      <c r="AJ34" s="22"/>
      <c r="AK34" s="567"/>
      <c r="AL34" s="567"/>
      <c r="AM34" s="567"/>
      <c r="AN34" s="567"/>
      <c r="AO34" s="567"/>
    </row>
    <row r="35" spans="1:41" s="5" customFormat="1" ht="30" customHeight="1">
      <c r="A35" s="566">
        <f t="shared" si="0"/>
        <v>31</v>
      </c>
      <c r="B35" s="3">
        <f>'תקציב אגף ת.ב.ל 2021  '!B35</f>
        <v>2028</v>
      </c>
      <c r="C35" s="280" t="str">
        <f>'תקציב אגף ת.ב.ל 2021  '!C35</f>
        <v>שיפוץ מעבדת רובוטיקה בהנדסאים</v>
      </c>
      <c r="D35" s="4">
        <f>'תקציב אגף ת.ב.ל 2021  '!D35</f>
        <v>2435000</v>
      </c>
      <c r="E35" s="4">
        <f>'תקציב אגף ת.ב.ל 2021  '!E35</f>
        <v>2435000</v>
      </c>
      <c r="F35" s="4">
        <f>'תקציב אגף ת.ב.ל 2021  '!F35</f>
        <v>0</v>
      </c>
      <c r="G35" s="4">
        <f>'תקציב אגף ת.ב.ל 2021  '!G35</f>
        <v>2435000</v>
      </c>
      <c r="H35" s="4">
        <f>'תקציב אגף ת.ב.ל 2021  '!H35</f>
        <v>2070407</v>
      </c>
      <c r="I35" s="4">
        <f>'תקציב אגף ת.ב.ל 2021  '!I35</f>
        <v>22257</v>
      </c>
      <c r="J35" s="4">
        <f>'תקציב אגף ת.ב.ל 2021  '!J35</f>
        <v>3861</v>
      </c>
      <c r="K35" s="4">
        <f>'תקציב אגף ת.ב.ל 2021  '!K35</f>
        <v>26118</v>
      </c>
      <c r="L35" s="4">
        <f>'תקציב אגף ת.ב.ל 2021  '!L35</f>
        <v>2096525</v>
      </c>
      <c r="M35" s="4">
        <f>'תקציב אגף ת.ב.ל 2021  '!M35</f>
        <v>338475</v>
      </c>
      <c r="N35" s="4">
        <f>'תקציב אגף ת.ב.ל 2021  '!N35</f>
        <v>0</v>
      </c>
      <c r="O35" s="4">
        <f>'תקציב אגף ת.ב.ל 2021  '!O35</f>
        <v>0</v>
      </c>
      <c r="P35" s="4">
        <f>'תקציב אגף ת.ב.ל 2021  '!P35</f>
        <v>338475</v>
      </c>
      <c r="Q35" s="4">
        <f>'תקציב אגף ת.ב.ל 2021  '!Q35</f>
        <v>0</v>
      </c>
      <c r="R35" s="4">
        <f>'תקציב אגף ת.ב.ל 2021  '!R35</f>
        <v>0</v>
      </c>
      <c r="S35" s="4">
        <f>'תקציב אגף ת.ב.ל 2021  '!S35</f>
        <v>0</v>
      </c>
      <c r="T35" s="4">
        <f>'תקציב אגף ת.ב.ל 2021  '!T35</f>
        <v>0</v>
      </c>
      <c r="U35" s="4">
        <f>'תקציב אגף ת.ב.ל 2021  '!U35</f>
        <v>0</v>
      </c>
      <c r="V35" s="4">
        <f>'תקציב אגף ת.ב.ל 2021  '!V35</f>
        <v>0</v>
      </c>
      <c r="W35" s="4">
        <f>'תקציב אגף ת.ב.ל 2021  '!W35</f>
        <v>0</v>
      </c>
      <c r="X35" s="4">
        <f>'תקציב אגף ת.ב.ל 2021  '!X35</f>
        <v>0</v>
      </c>
      <c r="Y35" s="4">
        <f>'תקציב אגף ת.ב.ל 2021  '!Y35</f>
        <v>0</v>
      </c>
      <c r="Z35" s="4">
        <f>'תקציב אגף ת.ב.ל 2021  '!Z35</f>
        <v>0</v>
      </c>
      <c r="AA35" s="4">
        <f>'תקציב אגף ת.ב.ל 2021  '!AA35</f>
        <v>0</v>
      </c>
      <c r="AB35" s="280" t="str">
        <f>'תקציב אגף ת.ב.ל 2021  '!AB35</f>
        <v>עבודות חיפוי חיצוני עפ"י דרישת מינהל הנדסה.</v>
      </c>
      <c r="AC35" s="280">
        <f>'תקציב אגף ת.ב.ל 2021  '!AC35</f>
        <v>810000</v>
      </c>
      <c r="AD35" s="24"/>
      <c r="AE35" s="24"/>
      <c r="AF35" s="23"/>
      <c r="AG35" s="23"/>
      <c r="AH35" s="23"/>
      <c r="AI35" s="23"/>
      <c r="AJ35" s="22"/>
    </row>
    <row r="36" spans="1:41" s="5" customFormat="1" ht="42">
      <c r="A36" s="566">
        <f t="shared" si="0"/>
        <v>32</v>
      </c>
      <c r="B36" s="3">
        <f>'תקציב אגף ת.ב.ל 2021  '!B36</f>
        <v>2029</v>
      </c>
      <c r="C36" s="280" t="str">
        <f>'תקציב אגף ת.ב.ל 2021  '!C36</f>
        <v>שיפוץ אולם אירועים, מרפסת,מדרגות  מועצה דתית</v>
      </c>
      <c r="D36" s="4">
        <f>'תקציב אגף ת.ב.ל 2021  '!D36</f>
        <v>300000</v>
      </c>
      <c r="E36" s="4">
        <f>'תקציב אגף ת.ב.ל 2021  '!E36</f>
        <v>300000</v>
      </c>
      <c r="F36" s="4">
        <f>'תקציב אגף ת.ב.ל 2021  '!F36</f>
        <v>0</v>
      </c>
      <c r="G36" s="4">
        <f>'תקציב אגף ת.ב.ל 2021  '!G36</f>
        <v>10000</v>
      </c>
      <c r="H36" s="4">
        <f>'תקציב אגף ת.ב.ל 2021  '!H36</f>
        <v>2905</v>
      </c>
      <c r="I36" s="4">
        <f>'תקציב אגף ת.ב.ל 2021  '!I36</f>
        <v>0</v>
      </c>
      <c r="J36" s="4">
        <f>'תקציב אגף ת.ב.ל 2021  '!J36</f>
        <v>0</v>
      </c>
      <c r="K36" s="4">
        <f>'תקציב אגף ת.ב.ל 2021  '!K36</f>
        <v>0</v>
      </c>
      <c r="L36" s="4">
        <f>'תקציב אגף ת.ב.ל 2021  '!L36</f>
        <v>2905</v>
      </c>
      <c r="M36" s="4">
        <f>'תקציב אגף ת.ב.ל 2021  '!M36</f>
        <v>7095</v>
      </c>
      <c r="N36" s="4">
        <f>'תקציב אגף ת.ב.ל 2021  '!N36</f>
        <v>0</v>
      </c>
      <c r="O36" s="4">
        <f>'תקציב אגף ת.ב.ל 2021  '!O36</f>
        <v>290000</v>
      </c>
      <c r="P36" s="4">
        <f>'תקציב אגף ת.ב.ל 2021  '!P36</f>
        <v>7095</v>
      </c>
      <c r="Q36" s="4">
        <f>'תקציב אגף ת.ב.ל 2021  '!Q36</f>
        <v>0</v>
      </c>
      <c r="R36" s="4">
        <f>'תקציב אגף ת.ב.ל 2021  '!R36</f>
        <v>0</v>
      </c>
      <c r="S36" s="4">
        <f>'תקציב אגף ת.ב.ל 2021  '!S36</f>
        <v>0</v>
      </c>
      <c r="T36" s="4">
        <f>'תקציב אגף ת.ב.ל 2021  '!T36</f>
        <v>0</v>
      </c>
      <c r="U36" s="4">
        <f>'תקציב אגף ת.ב.ל 2021  '!U36</f>
        <v>0</v>
      </c>
      <c r="V36" s="4">
        <f>'תקציב אגף ת.ב.ל 2021  '!V36</f>
        <v>0</v>
      </c>
      <c r="W36" s="4">
        <f>'תקציב אגף ת.ב.ל 2021  '!W36</f>
        <v>0</v>
      </c>
      <c r="X36" s="4">
        <f>'תקציב אגף ת.ב.ל 2021  '!X36</f>
        <v>0</v>
      </c>
      <c r="Y36" s="4">
        <f>'תקציב אגף ת.ב.ל 2021  '!Y36</f>
        <v>0</v>
      </c>
      <c r="Z36" s="4">
        <f>'תקציב אגף ת.ב.ל 2021  '!Z36</f>
        <v>0</v>
      </c>
      <c r="AA36" s="4">
        <f>'תקציב אגף ת.ב.ל 2021  '!AA36</f>
        <v>0</v>
      </c>
      <c r="AB36" s="280" t="str">
        <f>'תקציב אגף ת.ב.ל 2021  '!AB36</f>
        <v>עבודות הנגשה כולל מעלית ושיפוץ אולם והכשרת היתר הבניה לכל המבנה. ממתין להיתר.</v>
      </c>
      <c r="AC36" s="280">
        <f>'תקציב אגף ת.ב.ל 2021  '!AC36</f>
        <v>850000</v>
      </c>
      <c r="AD36" s="24"/>
      <c r="AE36" s="24"/>
      <c r="AF36" s="23"/>
      <c r="AG36" s="23"/>
      <c r="AH36" s="23"/>
      <c r="AI36" s="23"/>
      <c r="AJ36" s="22"/>
    </row>
    <row r="37" spans="1:41" s="70" customFormat="1" ht="42">
      <c r="A37" s="566">
        <f t="shared" si="0"/>
        <v>33</v>
      </c>
      <c r="B37" s="3">
        <f>'תקציב אגף ת.ב.ל 2021  '!B37</f>
        <v>2030</v>
      </c>
      <c r="C37" s="280" t="str">
        <f>'תקציב אגף ת.ב.ל 2021  '!C37</f>
        <v>תיכון ראשונים</v>
      </c>
      <c r="D37" s="4">
        <f>'תקציב אגף ת.ב.ל 2021  '!D37</f>
        <v>31500000</v>
      </c>
      <c r="E37" s="4">
        <f>'תקציב אגף ת.ב.ל 2021  '!E37</f>
        <v>31500000</v>
      </c>
      <c r="F37" s="4">
        <f>'תקציב אגף ת.ב.ל 2021  '!F37</f>
        <v>0</v>
      </c>
      <c r="G37" s="4">
        <f>'תקציב אגף ת.ב.ל 2021  '!G37</f>
        <v>9900000</v>
      </c>
      <c r="H37" s="4">
        <f>'תקציב אגף ת.ב.ל 2021  '!H37</f>
        <v>3261138</v>
      </c>
      <c r="I37" s="4">
        <f>'תקציב אגף ת.ב.ל 2021  '!I37</f>
        <v>5480195</v>
      </c>
      <c r="J37" s="4">
        <f>'תקציב אגף ת.ב.ל 2021  '!J37</f>
        <v>715988</v>
      </c>
      <c r="K37" s="4">
        <f>'תקציב אגף ת.ב.ל 2021  '!K37</f>
        <v>6196183</v>
      </c>
      <c r="L37" s="4">
        <f>'תקציב אגף ת.ב.ל 2021  '!L37</f>
        <v>9457321</v>
      </c>
      <c r="M37" s="4">
        <f>'תקציב אגף ת.ב.ל 2021  '!M37</f>
        <v>442679</v>
      </c>
      <c r="N37" s="4">
        <f>'תקציב אגף ת.ב.ל 2021  '!N37</f>
        <v>10000000</v>
      </c>
      <c r="O37" s="4">
        <f>'תקציב אגף ת.ב.ל 2021  '!O37</f>
        <v>11600000</v>
      </c>
      <c r="P37" s="4">
        <f>'תקציב אגף ת.ב.ל 2021  '!P37</f>
        <v>442679</v>
      </c>
      <c r="Q37" s="4">
        <f>'תקציב אגף ת.ב.ל 2021  '!Q37</f>
        <v>0</v>
      </c>
      <c r="R37" s="4">
        <f>'תקציב אגף ת.ב.ל 2021  '!R37</f>
        <v>0</v>
      </c>
      <c r="S37" s="4">
        <f>'תקציב אגף ת.ב.ל 2021  '!S37</f>
        <v>0</v>
      </c>
      <c r="T37" s="4">
        <f>'תקציב אגף ת.ב.ל 2021  '!T37</f>
        <v>0</v>
      </c>
      <c r="U37" s="4">
        <f>'תקציב אגף ת.ב.ל 2021  '!U37</f>
        <v>10000000</v>
      </c>
      <c r="V37" s="4">
        <f>'תקציב אגף ת.ב.ל 2021  '!V37</f>
        <v>8000000</v>
      </c>
      <c r="W37" s="4">
        <f>'תקציב אגף ת.ב.ל 2021  '!W37</f>
        <v>0</v>
      </c>
      <c r="X37" s="4">
        <f>'תקציב אגף ת.ב.ל 2021  '!X37</f>
        <v>0</v>
      </c>
      <c r="Y37" s="4">
        <f>'תקציב אגף ת.ב.ל 2021  '!Y37</f>
        <v>0</v>
      </c>
      <c r="Z37" s="4">
        <f>'תקציב אגף ת.ב.ל 2021  '!Z37</f>
        <v>0</v>
      </c>
      <c r="AA37" s="4">
        <f>'תקציב אגף ת.ב.ל 2021  '!AA37</f>
        <v>2000000</v>
      </c>
      <c r="AB37" s="280" t="str">
        <f>'תקציב אגף ת.ב.ל 2021  '!AB37</f>
        <v>פרויקט  בניית אודיטוריום ,תוספת 6 כתות ו-2 ממ"דים ,שיפוץ כללי. אודיטוריום - מימון מ.הפיס.</v>
      </c>
      <c r="AC37" s="280">
        <f>'תקציב אגף ת.ב.ל 2021  '!AC37</f>
        <v>810000</v>
      </c>
      <c r="AD37" s="24"/>
      <c r="AE37" s="24"/>
      <c r="AF37" s="23"/>
      <c r="AG37" s="23"/>
      <c r="AH37" s="22"/>
      <c r="AI37" s="22"/>
      <c r="AJ37" s="22"/>
      <c r="AK37" s="5"/>
      <c r="AL37" s="5"/>
      <c r="AM37" s="5"/>
      <c r="AN37" s="5"/>
      <c r="AO37" s="5"/>
    </row>
    <row r="38" spans="1:41" s="5" customFormat="1" ht="30" customHeight="1">
      <c r="A38" s="566">
        <f t="shared" si="0"/>
        <v>34</v>
      </c>
      <c r="B38" s="3">
        <f>'תקציב אגף ת.ב.ל 2021  '!B38</f>
        <v>2063</v>
      </c>
      <c r="C38" s="280" t="str">
        <f>'תקציב אגף ת.ב.ל 2021  '!C38</f>
        <v>תוספת כיתות /חדרי ספח ברנדיס</v>
      </c>
      <c r="D38" s="4">
        <f>'תקציב אגף ת.ב.ל 2021  '!D38</f>
        <v>2400000</v>
      </c>
      <c r="E38" s="4">
        <f>'תקציב אגף ת.ב.ל 2021  '!E38</f>
        <v>2400000</v>
      </c>
      <c r="F38" s="4">
        <f>'תקציב אגף ת.ב.ל 2021  '!F38</f>
        <v>0</v>
      </c>
      <c r="G38" s="4">
        <f>'תקציב אגף ת.ב.ל 2021  '!G38</f>
        <v>2400000</v>
      </c>
      <c r="H38" s="4">
        <f>'תקציב אגף ת.ב.ל 2021  '!H38</f>
        <v>95811</v>
      </c>
      <c r="I38" s="4">
        <f>'תקציב אגף ת.ב.ל 2021  '!I38</f>
        <v>104551</v>
      </c>
      <c r="J38" s="4">
        <f>'תקציב אגף ת.ב.ל 2021  '!J38</f>
        <v>43688</v>
      </c>
      <c r="K38" s="4">
        <f>'תקציב אגף ת.ב.ל 2021  '!K38</f>
        <v>148239</v>
      </c>
      <c r="L38" s="4">
        <f>'תקציב אגף ת.ב.ל 2021  '!L38</f>
        <v>244050</v>
      </c>
      <c r="M38" s="4">
        <f>'תקציב אגף ת.ב.ל 2021  '!M38</f>
        <v>2155950</v>
      </c>
      <c r="N38" s="4">
        <f>'תקציב אגף ת.ב.ל 2021  '!N38</f>
        <v>0</v>
      </c>
      <c r="O38" s="4">
        <f>'תקציב אגף ת.ב.ל 2021  '!O38</f>
        <v>0</v>
      </c>
      <c r="P38" s="4">
        <f>'תקציב אגף ת.ב.ל 2021  '!P38</f>
        <v>2155950</v>
      </c>
      <c r="Q38" s="4">
        <f>'תקציב אגף ת.ב.ל 2021  '!Q38</f>
        <v>0</v>
      </c>
      <c r="R38" s="4">
        <f>'תקציב אגף ת.ב.ל 2021  '!R38</f>
        <v>0</v>
      </c>
      <c r="S38" s="4">
        <f>'תקציב אגף ת.ב.ל 2021  '!S38</f>
        <v>0</v>
      </c>
      <c r="T38" s="4">
        <f>'תקציב אגף ת.ב.ל 2021  '!T38</f>
        <v>0</v>
      </c>
      <c r="U38" s="4">
        <f>'תקציב אגף ת.ב.ל 2021  '!U38</f>
        <v>0</v>
      </c>
      <c r="V38" s="4">
        <f>'תקציב אגף ת.ב.ל 2021  '!V38</f>
        <v>0</v>
      </c>
      <c r="W38" s="4">
        <f>'תקציב אגף ת.ב.ל 2021  '!W38</f>
        <v>0</v>
      </c>
      <c r="X38" s="4">
        <f>'תקציב אגף ת.ב.ל 2021  '!X38</f>
        <v>0</v>
      </c>
      <c r="Y38" s="4">
        <f>'תקציב אגף ת.ב.ל 2021  '!Y38</f>
        <v>0</v>
      </c>
      <c r="Z38" s="4">
        <f>'תקציב אגף ת.ב.ל 2021  '!Z38</f>
        <v>0</v>
      </c>
      <c r="AA38" s="4">
        <f>'תקציב אגף ת.ב.ל 2021  '!AA38</f>
        <v>0</v>
      </c>
      <c r="AB38" s="280" t="str">
        <f>'תקציב אגף ת.ב.ל 2021  '!AB38</f>
        <v xml:space="preserve">תוספת כיתות וחדרי ספח בקומת המסד בבי"ס ברנדיס. </v>
      </c>
      <c r="AC38" s="280">
        <f>'תקציב אגף ת.ב.ל 2021  '!AC38</f>
        <v>810000</v>
      </c>
      <c r="AD38" s="24"/>
      <c r="AE38" s="24"/>
      <c r="AF38" s="23"/>
      <c r="AG38" s="23"/>
      <c r="AH38" s="23"/>
      <c r="AI38" s="23"/>
      <c r="AJ38" s="22"/>
    </row>
    <row r="39" spans="1:41" s="5" customFormat="1" ht="30" customHeight="1">
      <c r="A39" s="566">
        <f t="shared" si="0"/>
        <v>35</v>
      </c>
      <c r="B39" s="3">
        <f>'תקציב אגף ת.ב.ל 2021  '!B39</f>
        <v>2071</v>
      </c>
      <c r="C39" s="280" t="str">
        <f>'תקציב אגף ת.ב.ל 2021  '!C39</f>
        <v>נגישות אקוסטית מ.החינוך 2017</v>
      </c>
      <c r="D39" s="4">
        <f>'תקציב אגף ת.ב.ל 2021  '!D39</f>
        <v>300000</v>
      </c>
      <c r="E39" s="4">
        <f>'תקציב אגף ת.ב.ל 2021  '!E39</f>
        <v>300000</v>
      </c>
      <c r="F39" s="4">
        <f>'תקציב אגף ת.ב.ל 2021  '!F39</f>
        <v>0</v>
      </c>
      <c r="G39" s="4">
        <f>'תקציב אגף ת.ב.ל 2021  '!G39</f>
        <v>300000</v>
      </c>
      <c r="H39" s="4">
        <f>'תקציב אגף ת.ב.ל 2021  '!H39</f>
        <v>270457</v>
      </c>
      <c r="I39" s="4">
        <f>'תקציב אגף ת.ב.ל 2021  '!I39</f>
        <v>0</v>
      </c>
      <c r="J39" s="4">
        <f>'תקציב אגף ת.ב.ל 2021  '!J39</f>
        <v>0</v>
      </c>
      <c r="K39" s="4">
        <f>'תקציב אגף ת.ב.ל 2021  '!K39</f>
        <v>0</v>
      </c>
      <c r="L39" s="4">
        <f>'תקציב אגף ת.ב.ל 2021  '!L39</f>
        <v>270457</v>
      </c>
      <c r="M39" s="4">
        <f>'תקציב אגף ת.ב.ל 2021  '!M39</f>
        <v>29543</v>
      </c>
      <c r="N39" s="4">
        <f>'תקציב אגף ת.ב.ל 2021  '!N39</f>
        <v>0</v>
      </c>
      <c r="O39" s="4">
        <f>'תקציב אגף ת.ב.ל 2021  '!O39</f>
        <v>0</v>
      </c>
      <c r="P39" s="4">
        <f>'תקציב אגף ת.ב.ל 2021  '!P39</f>
        <v>29543</v>
      </c>
      <c r="Q39" s="4">
        <f>'תקציב אגף ת.ב.ל 2021  '!Q39</f>
        <v>0</v>
      </c>
      <c r="R39" s="4">
        <f>'תקציב אגף ת.ב.ל 2021  '!R39</f>
        <v>0</v>
      </c>
      <c r="S39" s="4">
        <f>'תקציב אגף ת.ב.ל 2021  '!S39</f>
        <v>0</v>
      </c>
      <c r="T39" s="4">
        <f>'תקציב אגף ת.ב.ל 2021  '!T39</f>
        <v>0</v>
      </c>
      <c r="U39" s="4">
        <f>'תקציב אגף ת.ב.ל 2021  '!U39</f>
        <v>0</v>
      </c>
      <c r="V39" s="4">
        <f>'תקציב אגף ת.ב.ל 2021  '!V39</f>
        <v>0</v>
      </c>
      <c r="W39" s="4">
        <f>'תקציב אגף ת.ב.ל 2021  '!W39</f>
        <v>0</v>
      </c>
      <c r="X39" s="4">
        <f>'תקציב אגף ת.ב.ל 2021  '!X39</f>
        <v>0</v>
      </c>
      <c r="Y39" s="4">
        <f>'תקציב אגף ת.ב.ל 2021  '!Y39</f>
        <v>0</v>
      </c>
      <c r="Z39" s="4">
        <f>'תקציב אגף ת.ב.ל 2021  '!Z39</f>
        <v>0</v>
      </c>
      <c r="AA39" s="4">
        <f>'תקציב אגף ת.ב.ל 2021  '!AA39</f>
        <v>0</v>
      </c>
      <c r="AB39" s="280" t="str">
        <f>'תקציב אגף ת.ב.ל 2021  '!AB39</f>
        <v>מימון מ. החינוך. ממתין לתקבול סופי.</v>
      </c>
      <c r="AC39" s="280">
        <f>'תקציב אגף ת.ב.ל 2021  '!AC39</f>
        <v>810000</v>
      </c>
      <c r="AD39" s="24"/>
      <c r="AE39" s="24"/>
    </row>
    <row r="40" spans="1:41" s="5" customFormat="1" ht="30" customHeight="1">
      <c r="A40" s="566">
        <f t="shared" si="0"/>
        <v>36</v>
      </c>
      <c r="B40" s="3">
        <f>'תקציב אגף ת.ב.ל 2021  '!B40</f>
        <v>2074</v>
      </c>
      <c r="C40" s="280" t="str">
        <f>'תקציב אגף ת.ב.ל 2021  '!C40</f>
        <v>שיפוץ מבנה אגף תבל ואגף הבטחון</v>
      </c>
      <c r="D40" s="4">
        <f>'תקציב אגף ת.ב.ל 2021  '!D40</f>
        <v>2000000</v>
      </c>
      <c r="E40" s="4">
        <f>'תקציב אגף ת.ב.ל 2021  '!E40</f>
        <v>2000000</v>
      </c>
      <c r="F40" s="4">
        <f>'תקציב אגף ת.ב.ל 2021  '!F40</f>
        <v>0</v>
      </c>
      <c r="G40" s="4">
        <f>'תקציב אגף ת.ב.ל 2021  '!G40</f>
        <v>920000</v>
      </c>
      <c r="H40" s="4">
        <f>'תקציב אגף ת.ב.ל 2021  '!H40</f>
        <v>889513</v>
      </c>
      <c r="I40" s="4">
        <f>'תקציב אגף ת.ב.ל 2021  '!I40</f>
        <v>0</v>
      </c>
      <c r="J40" s="4">
        <f>'תקציב אגף ת.ב.ל 2021  '!J40</f>
        <v>30482</v>
      </c>
      <c r="K40" s="4">
        <f>'תקציב אגף ת.ב.ל 2021  '!K40</f>
        <v>30482</v>
      </c>
      <c r="L40" s="4">
        <f>'תקציב אגף ת.ב.ל 2021  '!L40</f>
        <v>919995</v>
      </c>
      <c r="M40" s="4">
        <f>'תקציב אגף ת.ב.ל 2021  '!M40</f>
        <v>5</v>
      </c>
      <c r="N40" s="4">
        <f>'תקציב אגף ת.ב.ל 2021  '!N40</f>
        <v>580000</v>
      </c>
      <c r="O40" s="4">
        <f>'תקציב אגף ת.ב.ל 2021  '!O40</f>
        <v>500000</v>
      </c>
      <c r="P40" s="4">
        <f>'תקציב אגף ת.ב.ל 2021  '!P40</f>
        <v>5</v>
      </c>
      <c r="Q40" s="4">
        <f>'תקציב אגף ת.ב.ל 2021  '!Q40</f>
        <v>0</v>
      </c>
      <c r="R40" s="4">
        <f>'תקציב אגף ת.ב.ל 2021  '!R40</f>
        <v>0</v>
      </c>
      <c r="S40" s="4">
        <f>'תקציב אגף ת.ב.ל 2021  '!S40</f>
        <v>0</v>
      </c>
      <c r="T40" s="4">
        <f>'תקציב אגף ת.ב.ל 2021  '!T40</f>
        <v>0</v>
      </c>
      <c r="U40" s="4">
        <f>'תקציב אגף ת.ב.ל 2021  '!U40</f>
        <v>580000</v>
      </c>
      <c r="V40" s="4">
        <f>'תקציב אגף ת.ב.ל 2021  '!V40</f>
        <v>0</v>
      </c>
      <c r="W40" s="4">
        <f>'תקציב אגף ת.ב.ל 2021  '!W40</f>
        <v>580000</v>
      </c>
      <c r="X40" s="4">
        <f>'תקציב אגף ת.ב.ל 2021  '!X40</f>
        <v>0</v>
      </c>
      <c r="Y40" s="4">
        <f>'תקציב אגף ת.ב.ל 2021  '!Y40</f>
        <v>0</v>
      </c>
      <c r="Z40" s="4">
        <f>'תקציב אגף ת.ב.ל 2021  '!Z40</f>
        <v>0</v>
      </c>
      <c r="AA40" s="4">
        <f>'תקציב אגף ת.ב.ל 2021  '!AA40</f>
        <v>0</v>
      </c>
      <c r="AB40" s="280" t="str">
        <f>'תקציב אגף ת.ב.ל 2021  '!AB40</f>
        <v>עבודות שיפוץ כללי למשרדי האגפים כולל חדר ישיבות.</v>
      </c>
      <c r="AC40" s="280">
        <f>'תקציב אגף ת.ב.ל 2021  '!AC40</f>
        <v>930000</v>
      </c>
      <c r="AD40" s="24"/>
      <c r="AE40" s="24"/>
      <c r="AF40" s="23"/>
      <c r="AG40" s="23"/>
      <c r="AH40" s="23"/>
      <c r="AI40" s="23"/>
      <c r="AJ40" s="22"/>
    </row>
    <row r="41" spans="1:41" s="567" customFormat="1" ht="30" customHeight="1">
      <c r="A41" s="566">
        <f t="shared" si="0"/>
        <v>37</v>
      </c>
      <c r="B41" s="3">
        <f>'תקציב אגף ת.ב.ל 2021  '!B41</f>
        <v>2095</v>
      </c>
      <c r="C41" s="280" t="str">
        <f>'תקציב אגף ת.ב.ל 2021  '!C41</f>
        <v>ספירת מלאי וסימון הרכוש העירוני</v>
      </c>
      <c r="D41" s="4">
        <f>'תקציב אגף ת.ב.ל 2021  '!D41</f>
        <v>160000</v>
      </c>
      <c r="E41" s="4">
        <f>'תקציב אגף ת.ב.ל 2021  '!E41</f>
        <v>160000</v>
      </c>
      <c r="F41" s="4">
        <f>'תקציב אגף ת.ב.ל 2021  '!F41</f>
        <v>0</v>
      </c>
      <c r="G41" s="4">
        <f>'תקציב אגף ת.ב.ל 2021  '!G41</f>
        <v>160000</v>
      </c>
      <c r="H41" s="4">
        <f>'תקציב אגף ת.ב.ל 2021  '!H41</f>
        <v>29250</v>
      </c>
      <c r="I41" s="4">
        <f>'תקציב אגף ת.ב.ל 2021  '!I41</f>
        <v>0</v>
      </c>
      <c r="J41" s="4">
        <f>'תקציב אגף ת.ב.ל 2021  '!J41</f>
        <v>0</v>
      </c>
      <c r="K41" s="4">
        <f>'תקציב אגף ת.ב.ל 2021  '!K41</f>
        <v>0</v>
      </c>
      <c r="L41" s="4">
        <f>'תקציב אגף ת.ב.ל 2021  '!L41</f>
        <v>29250</v>
      </c>
      <c r="M41" s="4">
        <f>'תקציב אגף ת.ב.ל 2021  '!M41</f>
        <v>130750</v>
      </c>
      <c r="N41" s="4">
        <f>'תקציב אגף ת.ב.ל 2021  '!N41</f>
        <v>0</v>
      </c>
      <c r="O41" s="4">
        <f>'תקציב אגף ת.ב.ל 2021  '!O41</f>
        <v>0</v>
      </c>
      <c r="P41" s="4">
        <f>'תקציב אגף ת.ב.ל 2021  '!P41</f>
        <v>130750</v>
      </c>
      <c r="Q41" s="4">
        <f>'תקציב אגף ת.ב.ל 2021  '!Q41</f>
        <v>0</v>
      </c>
      <c r="R41" s="4">
        <f>'תקציב אגף ת.ב.ל 2021  '!R41</f>
        <v>0</v>
      </c>
      <c r="S41" s="4">
        <f>'תקציב אגף ת.ב.ל 2021  '!S41</f>
        <v>0</v>
      </c>
      <c r="T41" s="4">
        <f>'תקציב אגף ת.ב.ל 2021  '!T41</f>
        <v>0</v>
      </c>
      <c r="U41" s="4">
        <f>'תקציב אגף ת.ב.ל 2021  '!U41</f>
        <v>0</v>
      </c>
      <c r="V41" s="4">
        <f>'תקציב אגף ת.ב.ל 2021  '!V41</f>
        <v>0</v>
      </c>
      <c r="W41" s="4">
        <f>'תקציב אגף ת.ב.ל 2021  '!W41</f>
        <v>0</v>
      </c>
      <c r="X41" s="4">
        <f>'תקציב אגף ת.ב.ל 2021  '!X41</f>
        <v>0</v>
      </c>
      <c r="Y41" s="4">
        <f>'תקציב אגף ת.ב.ל 2021  '!Y41</f>
        <v>0</v>
      </c>
      <c r="Z41" s="4">
        <f>'תקציב אגף ת.ב.ל 2021  '!Z41</f>
        <v>0</v>
      </c>
      <c r="AA41" s="4">
        <f>'תקציב אגף ת.ב.ל 2021  '!AA41</f>
        <v>0</v>
      </c>
      <c r="AB41" s="280" t="str">
        <f>'תקציב אגף ת.ב.ל 2021  '!AB41</f>
        <v xml:space="preserve">ספירת רכוש במוסדות חינוך ויחידות עירוניות וסימון הרכוש העירוני. </v>
      </c>
      <c r="AC41" s="280">
        <f>'תקציב אגף ת.ב.ל 2021  '!AC41</f>
        <v>610000</v>
      </c>
      <c r="AD41" s="24"/>
      <c r="AE41" s="24"/>
      <c r="AF41" s="23"/>
      <c r="AG41" s="23"/>
      <c r="AH41" s="23"/>
      <c r="AI41" s="23"/>
      <c r="AJ41" s="22"/>
      <c r="AK41" s="5"/>
      <c r="AL41" s="5"/>
      <c r="AM41" s="5"/>
      <c r="AN41" s="5"/>
      <c r="AO41" s="5"/>
    </row>
    <row r="42" spans="1:41" s="5" customFormat="1" ht="42">
      <c r="A42" s="566">
        <f t="shared" si="0"/>
        <v>38</v>
      </c>
      <c r="B42" s="3">
        <f>'תקציב אגף ת.ב.ל 2021  '!B42</f>
        <v>2096</v>
      </c>
      <c r="C42" s="280" t="str">
        <f>'תקציב אגף ת.ב.ל 2021  '!C42</f>
        <v>הצטיידות לחמ"ל החדש</v>
      </c>
      <c r="D42" s="4">
        <f>'תקציב אגף ת.ב.ל 2021  '!D42</f>
        <v>1215000</v>
      </c>
      <c r="E42" s="4">
        <f>'תקציב אגף ת.ב.ל 2021  '!E42</f>
        <v>1215000</v>
      </c>
      <c r="F42" s="4">
        <f>'תקציב אגף ת.ב.ל 2021  '!F42</f>
        <v>0</v>
      </c>
      <c r="G42" s="4">
        <f>'תקציב אגף ת.ב.ל 2021  '!G42</f>
        <v>1215000</v>
      </c>
      <c r="H42" s="4">
        <f>'תקציב אגף ת.ב.ל 2021  '!H42</f>
        <v>137010</v>
      </c>
      <c r="I42" s="4">
        <f>'תקציב אגף ת.ב.ל 2021  '!I42</f>
        <v>0</v>
      </c>
      <c r="J42" s="4">
        <f>'תקציב אגף ת.ב.ל 2021  '!J42</f>
        <v>10092</v>
      </c>
      <c r="K42" s="4">
        <f>'תקציב אגף ת.ב.ל 2021  '!K42</f>
        <v>10092</v>
      </c>
      <c r="L42" s="4">
        <f>'תקציב אגף ת.ב.ל 2021  '!L42</f>
        <v>147102</v>
      </c>
      <c r="M42" s="4">
        <f>'תקציב אגף ת.ב.ל 2021  '!M42</f>
        <v>1067898</v>
      </c>
      <c r="N42" s="4">
        <f>'תקציב אגף ת.ב.ל 2021  '!N42</f>
        <v>0</v>
      </c>
      <c r="O42" s="4">
        <f>'תקציב אגף ת.ב.ל 2021  '!O42</f>
        <v>0</v>
      </c>
      <c r="P42" s="4">
        <f>'תקציב אגף ת.ב.ל 2021  '!P42</f>
        <v>1067898</v>
      </c>
      <c r="Q42" s="4">
        <f>'תקציב אגף ת.ב.ל 2021  '!Q42</f>
        <v>0</v>
      </c>
      <c r="R42" s="4">
        <f>'תקציב אגף ת.ב.ל 2021  '!R42</f>
        <v>0</v>
      </c>
      <c r="S42" s="4">
        <f>'תקציב אגף ת.ב.ל 2021  '!S42</f>
        <v>0</v>
      </c>
      <c r="T42" s="4">
        <f>'תקציב אגף ת.ב.ל 2021  '!T42</f>
        <v>0</v>
      </c>
      <c r="U42" s="4">
        <f>'תקציב אגף ת.ב.ל 2021  '!U42</f>
        <v>0</v>
      </c>
      <c r="V42" s="4">
        <f>'תקציב אגף ת.ב.ל 2021  '!V42</f>
        <v>0</v>
      </c>
      <c r="W42" s="4">
        <f>'תקציב אגף ת.ב.ל 2021  '!W42</f>
        <v>-350000</v>
      </c>
      <c r="X42" s="4">
        <f>'תקציב אגף ת.ב.ל 2021  '!X42</f>
        <v>0</v>
      </c>
      <c r="Y42" s="4">
        <f>'תקציב אגף ת.ב.ל 2021  '!Y42</f>
        <v>0</v>
      </c>
      <c r="Z42" s="4">
        <f>'תקציב אגף ת.ב.ל 2021  '!Z42</f>
        <v>0</v>
      </c>
      <c r="AA42" s="4">
        <f>'תקציב אגף ת.ב.ל 2021  '!AA42</f>
        <v>350000</v>
      </c>
      <c r="AB42" s="280" t="str">
        <f>'תקציב אגף ת.ב.ל 2021  '!AB42</f>
        <v>עבודות מיזוג, חשמל, נגרות תקשורת  והצטיידות לחמ"ל האחורי. מימון מ. הפנים.</v>
      </c>
      <c r="AC42" s="280">
        <f>'תקציב אגף ת.ב.ל 2021  '!AC42</f>
        <v>930000</v>
      </c>
      <c r="AD42" s="24"/>
      <c r="AE42" s="24"/>
      <c r="AF42" s="23"/>
      <c r="AG42" s="23"/>
      <c r="AH42" s="23"/>
      <c r="AI42" s="23"/>
      <c r="AJ42" s="22"/>
    </row>
    <row r="43" spans="1:41" s="5" customFormat="1" ht="30" customHeight="1">
      <c r="A43" s="566">
        <f t="shared" si="0"/>
        <v>39</v>
      </c>
      <c r="B43" s="3">
        <f>'תקציב אגף ת.ב.ל 2021  '!B43</f>
        <v>2129</v>
      </c>
      <c r="C43" s="280" t="str">
        <f>'תקציב אגף ת.ב.ל 2021  '!C43</f>
        <v>שיפוצים מוס.רווחה</v>
      </c>
      <c r="D43" s="4">
        <f>'תקציב אגף ת.ב.ל 2021  '!D43</f>
        <v>624000</v>
      </c>
      <c r="E43" s="4">
        <f>'תקציב אגף ת.ב.ל 2021  '!E43</f>
        <v>624000</v>
      </c>
      <c r="F43" s="4">
        <f>'תקציב אגף ת.ב.ל 2021  '!F43</f>
        <v>0</v>
      </c>
      <c r="G43" s="4">
        <f>'תקציב אגף ת.ב.ל 2021  '!G43</f>
        <v>624000</v>
      </c>
      <c r="H43" s="4">
        <f>'תקציב אגף ת.ב.ל 2021  '!H43</f>
        <v>514816</v>
      </c>
      <c r="I43" s="4">
        <f>'תקציב אגף ת.ב.ל 2021  '!I43</f>
        <v>0</v>
      </c>
      <c r="J43" s="4">
        <f>'תקציב אגף ת.ב.ל 2021  '!J43</f>
        <v>1975</v>
      </c>
      <c r="K43" s="4">
        <f>'תקציב אגף ת.ב.ל 2021  '!K43</f>
        <v>1975</v>
      </c>
      <c r="L43" s="4">
        <f>'תקציב אגף ת.ב.ל 2021  '!L43</f>
        <v>516791</v>
      </c>
      <c r="M43" s="4">
        <f>'תקציב אגף ת.ב.ל 2021  '!M43</f>
        <v>107209</v>
      </c>
      <c r="N43" s="4">
        <f>'תקציב אגף ת.ב.ל 2021  '!N43</f>
        <v>0</v>
      </c>
      <c r="O43" s="4">
        <f>'תקציב אגף ת.ב.ל 2021  '!O43</f>
        <v>0</v>
      </c>
      <c r="P43" s="4">
        <f>'תקציב אגף ת.ב.ל 2021  '!P43</f>
        <v>107209</v>
      </c>
      <c r="Q43" s="4">
        <f>'תקציב אגף ת.ב.ל 2021  '!Q43</f>
        <v>0</v>
      </c>
      <c r="R43" s="4">
        <f>'תקציב אגף ת.ב.ל 2021  '!R43</f>
        <v>0</v>
      </c>
      <c r="S43" s="4">
        <f>'תקציב אגף ת.ב.ל 2021  '!S43</f>
        <v>0</v>
      </c>
      <c r="T43" s="4">
        <f>'תקציב אגף ת.ב.ל 2021  '!T43</f>
        <v>0</v>
      </c>
      <c r="U43" s="4">
        <f>'תקציב אגף ת.ב.ל 2021  '!U43</f>
        <v>0</v>
      </c>
      <c r="V43" s="4">
        <f>'תקציב אגף ת.ב.ל 2021  '!V43</f>
        <v>0</v>
      </c>
      <c r="W43" s="4">
        <f>'תקציב אגף ת.ב.ל 2021  '!W43</f>
        <v>0</v>
      </c>
      <c r="X43" s="4">
        <f>'תקציב אגף ת.ב.ל 2021  '!X43</f>
        <v>0</v>
      </c>
      <c r="Y43" s="4">
        <f>'תקציב אגף ת.ב.ל 2021  '!Y43</f>
        <v>0</v>
      </c>
      <c r="Z43" s="4">
        <f>'תקציב אגף ת.ב.ל 2021  '!Z43</f>
        <v>0</v>
      </c>
      <c r="AA43" s="4">
        <f>'תקציב אגף ת.ב.ל 2021  '!AA43</f>
        <v>0</v>
      </c>
      <c r="AB43" s="280" t="str">
        <f>'תקציב אגף ת.ב.ל 2021  '!AB43</f>
        <v>מרכז שלום המשפחה בהסתדרות 4 , נתיבים להורות בויצמן 19.</v>
      </c>
      <c r="AC43" s="280">
        <f>'תקציב אגף ת.ב.ל 2021  '!AC43</f>
        <v>840000</v>
      </c>
      <c r="AD43" s="24"/>
      <c r="AE43" s="24"/>
      <c r="AF43" s="23"/>
      <c r="AG43" s="23"/>
      <c r="AH43" s="23"/>
      <c r="AI43" s="23"/>
      <c r="AJ43" s="22"/>
    </row>
    <row r="44" spans="1:41" s="5" customFormat="1" ht="30" customHeight="1">
      <c r="A44" s="566">
        <f t="shared" si="0"/>
        <v>40</v>
      </c>
      <c r="B44" s="3">
        <f>'תקציב אגף ת.ב.ל 2021  '!B44</f>
        <v>2131</v>
      </c>
      <c r="C44" s="280" t="str">
        <f>'תקציב אגף ת.ב.ל 2021  '!C44</f>
        <v>חסכון,התייע' אנרגטית מוסח/ציבור</v>
      </c>
      <c r="D44" s="4">
        <f>'תקציב אגף ת.ב.ל 2021  '!D44</f>
        <v>7500000</v>
      </c>
      <c r="E44" s="4">
        <f>'תקציב אגף ת.ב.ל 2021  '!E44</f>
        <v>7500000</v>
      </c>
      <c r="F44" s="4">
        <f>'תקציב אגף ת.ב.ל 2021  '!F44</f>
        <v>0</v>
      </c>
      <c r="G44" s="4">
        <f>'תקציב אגף ת.ב.ל 2021  '!G44</f>
        <v>4020000</v>
      </c>
      <c r="H44" s="4">
        <f>'תקציב אגף ת.ב.ל 2021  '!H44</f>
        <v>270472</v>
      </c>
      <c r="I44" s="4">
        <f>'תקציב אגף ת.ב.ל 2021  '!I44</f>
        <v>2020613</v>
      </c>
      <c r="J44" s="4">
        <f>'תקציב אגף ת.ב.ל 2021  '!J44</f>
        <v>468333</v>
      </c>
      <c r="K44" s="4">
        <f>'תקציב אגף ת.ב.ל 2021  '!K44</f>
        <v>2488946</v>
      </c>
      <c r="L44" s="4">
        <f>'תקציב אגף ת.ב.ל 2021  '!L44</f>
        <v>2759418</v>
      </c>
      <c r="M44" s="4">
        <f>'תקציב אגף ת.ב.ל 2021  '!M44</f>
        <v>1260582</v>
      </c>
      <c r="N44" s="4">
        <f>'תקציב אגף ת.ב.ל 2021  '!N44</f>
        <v>0</v>
      </c>
      <c r="O44" s="4">
        <f>'תקציב אגף ת.ב.ל 2021  '!O44</f>
        <v>3480000</v>
      </c>
      <c r="P44" s="4">
        <f>'תקציב אגף ת.ב.ל 2021  '!P44</f>
        <v>1260582</v>
      </c>
      <c r="Q44" s="4">
        <f>'תקציב אגף ת.ב.ל 2021  '!Q44</f>
        <v>0</v>
      </c>
      <c r="R44" s="4">
        <f>'תקציב אגף ת.ב.ל 2021  '!R44</f>
        <v>0</v>
      </c>
      <c r="S44" s="4">
        <f>'תקציב אגף ת.ב.ל 2021  '!S44</f>
        <v>0</v>
      </c>
      <c r="T44" s="4">
        <f>'תקציב אגף ת.ב.ל 2021  '!T44</f>
        <v>0</v>
      </c>
      <c r="U44" s="4">
        <f>'תקציב אגף ת.ב.ל 2021  '!U44</f>
        <v>0</v>
      </c>
      <c r="V44" s="4">
        <f>'תקציב אגף ת.ב.ל 2021  '!V44</f>
        <v>0</v>
      </c>
      <c r="W44" s="4">
        <f>'תקציב אגף ת.ב.ל 2021  '!W44</f>
        <v>0</v>
      </c>
      <c r="X44" s="4">
        <f>'תקציב אגף ת.ב.ל 2021  '!X44</f>
        <v>0</v>
      </c>
      <c r="Y44" s="4">
        <f>'תקציב אגף ת.ב.ל 2021  '!Y44</f>
        <v>0</v>
      </c>
      <c r="Z44" s="4">
        <f>'תקציב אגף ת.ב.ל 2021  '!Z44</f>
        <v>0</v>
      </c>
      <c r="AA44" s="4">
        <f>'תקציב אגף ת.ב.ל 2021  '!AA44</f>
        <v>0</v>
      </c>
      <c r="AB44" s="280" t="str">
        <f>'תקציב אגף ת.ב.ל 2021  '!AB44</f>
        <v xml:space="preserve">החלפת מזגנים והחלפת תאורה ללדים במוס"ח. מימון מ. הכלכלה והתעשיה.  </v>
      </c>
      <c r="AC44" s="280">
        <f>'תקציב אגף ת.ב.ל 2021  '!AC44</f>
        <v>870000</v>
      </c>
      <c r="AD44" s="24"/>
      <c r="AE44" s="24"/>
      <c r="AF44" s="23"/>
      <c r="AG44" s="23"/>
      <c r="AH44" s="23"/>
      <c r="AI44" s="23"/>
      <c r="AJ44" s="22"/>
    </row>
    <row r="45" spans="1:41" s="5" customFormat="1" ht="25" customHeight="1">
      <c r="A45" s="566">
        <f t="shared" si="0"/>
        <v>41</v>
      </c>
      <c r="B45" s="3">
        <f>'תקציב אגף ת.ב.ל 2021  '!B45</f>
        <v>2132</v>
      </c>
      <c r="C45" s="280" t="str">
        <f>'תקציב אגף ת.ב.ל 2021  '!C45</f>
        <v>שיפוץ ושדרוג תיכון אחיה</v>
      </c>
      <c r="D45" s="4">
        <f>'תקציב אגף ת.ב.ל 2021  '!D45</f>
        <v>580000</v>
      </c>
      <c r="E45" s="4">
        <f>'תקציב אגף ת.ב.ל 2021  '!E45</f>
        <v>700000</v>
      </c>
      <c r="F45" s="4">
        <f>'תקציב אגף ת.ב.ל 2021  '!F45</f>
        <v>-120000</v>
      </c>
      <c r="G45" s="4">
        <f>'תקציב אגף ת.ב.ל 2021  '!G45</f>
        <v>580000</v>
      </c>
      <c r="H45" s="4">
        <f>'תקציב אגף ת.ב.ל 2021  '!H45</f>
        <v>572172</v>
      </c>
      <c r="I45" s="4">
        <f>'תקציב אגף ת.ב.ל 2021  '!I45</f>
        <v>0</v>
      </c>
      <c r="J45" s="4">
        <f>'תקציב אגף ת.ב.ל 2021  '!J45</f>
        <v>5123</v>
      </c>
      <c r="K45" s="4">
        <f>'תקציב אגף ת.ב.ל 2021  '!K45</f>
        <v>5123</v>
      </c>
      <c r="L45" s="4">
        <f>'תקציב אגף ת.ב.ל 2021  '!L45</f>
        <v>577295</v>
      </c>
      <c r="M45" s="4">
        <f>'תקציב אגף ת.ב.ל 2021  '!M45</f>
        <v>2705</v>
      </c>
      <c r="N45" s="4">
        <f>'תקציב אגף ת.ב.ל 2021  '!N45</f>
        <v>0</v>
      </c>
      <c r="O45" s="4">
        <f>'תקציב אגף ת.ב.ל 2021  '!O45</f>
        <v>0</v>
      </c>
      <c r="P45" s="4">
        <f>'תקציב אגף ת.ב.ל 2021  '!P45</f>
        <v>2705</v>
      </c>
      <c r="Q45" s="4">
        <f>'תקציב אגף ת.ב.ל 2021  '!Q45</f>
        <v>0</v>
      </c>
      <c r="R45" s="4">
        <f>'תקציב אגף ת.ב.ל 2021  '!R45</f>
        <v>0</v>
      </c>
      <c r="S45" s="4">
        <f>'תקציב אגף ת.ב.ל 2021  '!S45</f>
        <v>0</v>
      </c>
      <c r="T45" s="4">
        <f>'תקציב אגף ת.ב.ל 2021  '!T45</f>
        <v>0</v>
      </c>
      <c r="U45" s="4">
        <f>'תקציב אגף ת.ב.ל 2021  '!U45</f>
        <v>0</v>
      </c>
      <c r="V45" s="4">
        <f>'תקציב אגף ת.ב.ל 2021  '!V45</f>
        <v>0</v>
      </c>
      <c r="W45" s="4">
        <f>'תקציב אגף ת.ב.ל 2021  '!W45</f>
        <v>0</v>
      </c>
      <c r="X45" s="4">
        <f>'תקציב אגף ת.ב.ל 2021  '!X45</f>
        <v>0</v>
      </c>
      <c r="Y45" s="4">
        <f>'תקציב אגף ת.ב.ל 2021  '!Y45</f>
        <v>0</v>
      </c>
      <c r="Z45" s="4">
        <f>'תקציב אגף ת.ב.ל 2021  '!Z45</f>
        <v>0</v>
      </c>
      <c r="AA45" s="4">
        <f>'תקציב אגף ת.ב.ל 2021  '!AA45</f>
        <v>0</v>
      </c>
      <c r="AB45" s="280" t="str">
        <f>'תקציב אגף ת.ב.ל 2021  '!AB45</f>
        <v>עבודות שיפוץ ושדרוג ביה"ס.</v>
      </c>
      <c r="AC45" s="280">
        <f>'תקציב אגף ת.ב.ל 2021  '!AC45</f>
        <v>810000</v>
      </c>
      <c r="AD45" s="24"/>
      <c r="AE45" s="24"/>
      <c r="AF45" s="23"/>
      <c r="AG45" s="23"/>
      <c r="AH45" s="23"/>
      <c r="AI45" s="23"/>
      <c r="AJ45" s="22"/>
    </row>
    <row r="46" spans="1:41" s="567" customFormat="1" ht="30" customHeight="1">
      <c r="A46" s="566">
        <f t="shared" si="0"/>
        <v>42</v>
      </c>
      <c r="B46" s="3">
        <f>'תקציב אגף ת.ב.ל 2021  '!B46</f>
        <v>2133</v>
      </c>
      <c r="C46" s="280" t="str">
        <f>'תקציב אגף ת.ב.ל 2021  '!C46</f>
        <v>רכישת רכבים</v>
      </c>
      <c r="D46" s="4">
        <f>'תקציב אגף ת.ב.ל 2021  '!D46</f>
        <v>3150000</v>
      </c>
      <c r="E46" s="4">
        <f>'תקציב אגף ת.ב.ל 2021  '!E46</f>
        <v>3000000</v>
      </c>
      <c r="F46" s="4">
        <f>'תקציב אגף ת.ב.ל 2021  '!F46</f>
        <v>150000</v>
      </c>
      <c r="G46" s="4">
        <f>'תקציב אגף ת.ב.ל 2021  '!G46</f>
        <v>1000000</v>
      </c>
      <c r="H46" s="4">
        <f>'תקציב אגף ת.ב.ל 2021  '!H46</f>
        <v>611193</v>
      </c>
      <c r="I46" s="4">
        <f>'תקציב אגף ת.ב.ל 2021  '!I46</f>
        <v>0</v>
      </c>
      <c r="J46" s="4">
        <f>'תקציב אגף ת.ב.ל 2021  '!J46</f>
        <v>0</v>
      </c>
      <c r="K46" s="4">
        <f>'תקציב אגף ת.ב.ל 2021  '!K46</f>
        <v>0</v>
      </c>
      <c r="L46" s="4">
        <f>'תקציב אגף ת.ב.ל 2021  '!L46</f>
        <v>611193</v>
      </c>
      <c r="M46" s="4">
        <f>'תקציב אגף ת.ב.ל 2021  '!M46</f>
        <v>388807</v>
      </c>
      <c r="N46" s="4">
        <f>'תקציב אגף ת.ב.ל 2021  '!N46</f>
        <v>2150000</v>
      </c>
      <c r="O46" s="4">
        <f>'תקציב אגף ת.ב.ל 2021  '!O46</f>
        <v>0</v>
      </c>
      <c r="P46" s="4">
        <f>'תקציב אגף ת.ב.ל 2021  '!P46</f>
        <v>388807</v>
      </c>
      <c r="Q46" s="4">
        <f>'תקציב אגף ת.ב.ל 2021  '!Q46</f>
        <v>0</v>
      </c>
      <c r="R46" s="4">
        <f>'תקציב אגף ת.ב.ל 2021  '!R46</f>
        <v>0</v>
      </c>
      <c r="S46" s="4">
        <f>'תקציב אגף ת.ב.ל 2021  '!S46</f>
        <v>0</v>
      </c>
      <c r="T46" s="4">
        <f>'תקציב אגף ת.ב.ל 2021  '!T46</f>
        <v>0</v>
      </c>
      <c r="U46" s="4">
        <f>'תקציב אגף ת.ב.ל 2021  '!U46</f>
        <v>2150000</v>
      </c>
      <c r="V46" s="4">
        <f>'תקציב אגף ת.ב.ל 2021  '!V46</f>
        <v>0</v>
      </c>
      <c r="W46" s="4">
        <f>'תקציב אגף ת.ב.ל 2021  '!W46</f>
        <v>2150000</v>
      </c>
      <c r="X46" s="4">
        <f>'תקציב אגף ת.ב.ל 2021  '!X46</f>
        <v>0</v>
      </c>
      <c r="Y46" s="4">
        <f>'תקציב אגף ת.ב.ל 2021  '!Y46</f>
        <v>0</v>
      </c>
      <c r="Z46" s="4">
        <f>'תקציב אגף ת.ב.ל 2021  '!Z46</f>
        <v>0</v>
      </c>
      <c r="AA46" s="4">
        <f>'תקציב אגף ת.ב.ל 2021  '!AA46</f>
        <v>0</v>
      </c>
      <c r="AB46" s="280" t="str">
        <f>'תקציב אגף ת.ב.ל 2021  '!AB46</f>
        <v>החלפת רכבים קיימים ורכישת תוספת רכבים עפ"י רשימה.</v>
      </c>
      <c r="AC46" s="280">
        <f>'תקציב אגף ת.ב.ל 2021  '!AC46</f>
        <v>930000</v>
      </c>
      <c r="AD46" s="24"/>
      <c r="AE46" s="24"/>
      <c r="AF46" s="23"/>
      <c r="AG46" s="23"/>
      <c r="AH46" s="23"/>
      <c r="AI46" s="23"/>
      <c r="AJ46" s="22"/>
      <c r="AK46" s="5"/>
      <c r="AL46" s="5"/>
      <c r="AM46" s="5"/>
      <c r="AN46" s="5"/>
      <c r="AO46" s="5"/>
    </row>
    <row r="47" spans="1:41" s="5" customFormat="1" ht="30" customHeight="1">
      <c r="A47" s="566">
        <f t="shared" si="0"/>
        <v>43</v>
      </c>
      <c r="B47" s="3">
        <f>'תקציב אגף ת.ב.ל 2021  '!B47</f>
        <v>2134</v>
      </c>
      <c r="C47" s="280" t="str">
        <f>'תקציב אגף ת.ב.ל 2021  '!C47</f>
        <v>שיפוץ אולם ספורט נווה ישראל</v>
      </c>
      <c r="D47" s="4">
        <f>'תקציב אגף ת.ב.ל 2021  '!D47</f>
        <v>494000</v>
      </c>
      <c r="E47" s="4">
        <f>'תקציב אגף ת.ב.ל 2021  '!E47</f>
        <v>494000</v>
      </c>
      <c r="F47" s="4">
        <f>'תקציב אגף ת.ב.ל 2021  '!F47</f>
        <v>0</v>
      </c>
      <c r="G47" s="4">
        <f>'תקציב אגף ת.ב.ל 2021  '!G47</f>
        <v>494000</v>
      </c>
      <c r="H47" s="4">
        <f>'תקציב אגף ת.ב.ל 2021  '!H47</f>
        <v>413088</v>
      </c>
      <c r="I47" s="4">
        <f>'תקציב אגף ת.ב.ל 2021  '!I47</f>
        <v>0</v>
      </c>
      <c r="J47" s="4">
        <f>'תקציב אגף ת.ב.ל 2021  '!J47</f>
        <v>66991</v>
      </c>
      <c r="K47" s="4">
        <f>'תקציב אגף ת.ב.ל 2021  '!K47</f>
        <v>66991</v>
      </c>
      <c r="L47" s="4">
        <f>'תקציב אגף ת.ב.ל 2021  '!L47</f>
        <v>480079</v>
      </c>
      <c r="M47" s="4">
        <f>'תקציב אגף ת.ב.ל 2021  '!M47</f>
        <v>13921</v>
      </c>
      <c r="N47" s="4">
        <f>'תקציב אגף ת.ב.ל 2021  '!N47</f>
        <v>0</v>
      </c>
      <c r="O47" s="4">
        <f>'תקציב אגף ת.ב.ל 2021  '!O47</f>
        <v>0</v>
      </c>
      <c r="P47" s="4">
        <f>'תקציב אגף ת.ב.ל 2021  '!P47</f>
        <v>13921</v>
      </c>
      <c r="Q47" s="4">
        <f>'תקציב אגף ת.ב.ל 2021  '!Q47</f>
        <v>0</v>
      </c>
      <c r="R47" s="4">
        <f>'תקציב אגף ת.ב.ל 2021  '!R47</f>
        <v>0</v>
      </c>
      <c r="S47" s="4">
        <f>'תקציב אגף ת.ב.ל 2021  '!S47</f>
        <v>0</v>
      </c>
      <c r="T47" s="4">
        <f>'תקציב אגף ת.ב.ל 2021  '!T47</f>
        <v>0</v>
      </c>
      <c r="U47" s="4">
        <f>'תקציב אגף ת.ב.ל 2021  '!U47</f>
        <v>0</v>
      </c>
      <c r="V47" s="4">
        <f>'תקציב אגף ת.ב.ל 2021  '!V47</f>
        <v>0</v>
      </c>
      <c r="W47" s="4">
        <f>'תקציב אגף ת.ב.ל 2021  '!W47</f>
        <v>0</v>
      </c>
      <c r="X47" s="4">
        <f>'תקציב אגף ת.ב.ל 2021  '!X47</f>
        <v>0</v>
      </c>
      <c r="Y47" s="4">
        <f>'תקציב אגף ת.ב.ל 2021  '!Y47</f>
        <v>0</v>
      </c>
      <c r="Z47" s="4">
        <f>'תקציב אגף ת.ב.ל 2021  '!Z47</f>
        <v>0</v>
      </c>
      <c r="AA47" s="4">
        <f>'תקציב אגף ת.ב.ל 2021  '!AA47</f>
        <v>0</v>
      </c>
      <c r="AB47" s="280" t="str">
        <f>'תקציב אגף ת.ב.ל 2021  '!AB47</f>
        <v>עבודות שיפוץ האולם כולל הצטיידות. לקראת סיום.</v>
      </c>
      <c r="AC47" s="280">
        <f>'תקציב אגף ת.ב.ל 2021  '!AC47</f>
        <v>829000</v>
      </c>
      <c r="AD47" s="24"/>
      <c r="AE47" s="24"/>
      <c r="AF47" s="23"/>
      <c r="AG47" s="23"/>
      <c r="AH47" s="23"/>
      <c r="AI47" s="23"/>
      <c r="AJ47" s="22"/>
    </row>
    <row r="48" spans="1:41" s="5" customFormat="1" ht="30" customHeight="1">
      <c r="A48" s="566">
        <f t="shared" si="0"/>
        <v>44</v>
      </c>
      <c r="B48" s="3">
        <f>'תקציב אגף ת.ב.ל 2021  '!B48</f>
        <v>2140</v>
      </c>
      <c r="C48" s="280" t="str">
        <f>'תקציב אגף ת.ב.ל 2021  '!C48</f>
        <v>נגישות אקוסטית 2019 מ. החינוך</v>
      </c>
      <c r="D48" s="4">
        <f>'תקציב אגף ת.ב.ל 2021  '!D48</f>
        <v>360000</v>
      </c>
      <c r="E48" s="4">
        <f>'תקציב אגף ת.ב.ל 2021  '!E48</f>
        <v>360000</v>
      </c>
      <c r="F48" s="4">
        <f>'תקציב אגף ת.ב.ל 2021  '!F48</f>
        <v>0</v>
      </c>
      <c r="G48" s="4">
        <f>'תקציב אגף ת.ב.ל 2021  '!G48</f>
        <v>360000</v>
      </c>
      <c r="H48" s="4">
        <f>'תקציב אגף ת.ב.ל 2021  '!H48</f>
        <v>283122</v>
      </c>
      <c r="I48" s="4">
        <f>'תקציב אגף ת.ב.ל 2021  '!I48</f>
        <v>0</v>
      </c>
      <c r="J48" s="4">
        <f>'תקציב אגף ת.ב.ל 2021  '!J48</f>
        <v>0</v>
      </c>
      <c r="K48" s="4">
        <f>'תקציב אגף ת.ב.ל 2021  '!K48</f>
        <v>0</v>
      </c>
      <c r="L48" s="4">
        <f>'תקציב אגף ת.ב.ל 2021  '!L48</f>
        <v>283122</v>
      </c>
      <c r="M48" s="4">
        <f>'תקציב אגף ת.ב.ל 2021  '!M48</f>
        <v>76878</v>
      </c>
      <c r="N48" s="4">
        <f>'תקציב אגף ת.ב.ל 2021  '!N48</f>
        <v>0</v>
      </c>
      <c r="O48" s="4">
        <f>'תקציב אגף ת.ב.ל 2021  '!O48</f>
        <v>0</v>
      </c>
      <c r="P48" s="4">
        <f>'תקציב אגף ת.ב.ל 2021  '!P48</f>
        <v>76878</v>
      </c>
      <c r="Q48" s="4">
        <f>'תקציב אגף ת.ב.ל 2021  '!Q48</f>
        <v>0</v>
      </c>
      <c r="R48" s="4">
        <f>'תקציב אגף ת.ב.ל 2021  '!R48</f>
        <v>0</v>
      </c>
      <c r="S48" s="4">
        <f>'תקציב אגף ת.ב.ל 2021  '!S48</f>
        <v>0</v>
      </c>
      <c r="T48" s="4">
        <f>'תקציב אגף ת.ב.ל 2021  '!T48</f>
        <v>0</v>
      </c>
      <c r="U48" s="4">
        <f>'תקציב אגף ת.ב.ל 2021  '!U48</f>
        <v>0</v>
      </c>
      <c r="V48" s="4">
        <f>'תקציב אגף ת.ב.ל 2021  '!V48</f>
        <v>0</v>
      </c>
      <c r="W48" s="4">
        <f>'תקציב אגף ת.ב.ל 2021  '!W48</f>
        <v>0</v>
      </c>
      <c r="X48" s="4">
        <f>'תקציב אגף ת.ב.ל 2021  '!X48</f>
        <v>0</v>
      </c>
      <c r="Y48" s="4">
        <f>'תקציב אגף ת.ב.ל 2021  '!Y48</f>
        <v>0</v>
      </c>
      <c r="Z48" s="4">
        <f>'תקציב אגף ת.ב.ל 2021  '!Z48</f>
        <v>0</v>
      </c>
      <c r="AA48" s="4">
        <f>'תקציב אגף ת.ב.ל 2021  '!AA48</f>
        <v>0</v>
      </c>
      <c r="AB48" s="280" t="str">
        <f>'תקציב אגף ת.ב.ל 2021  '!AB48</f>
        <v xml:space="preserve">מימון מ. החינוך. </v>
      </c>
      <c r="AC48" s="280">
        <f>'תקציב אגף ת.ב.ל 2021  '!AC48</f>
        <v>810000</v>
      </c>
      <c r="AD48" s="24"/>
      <c r="AE48" s="24"/>
      <c r="AF48" s="23"/>
      <c r="AG48" s="23"/>
      <c r="AH48" s="23"/>
      <c r="AI48" s="23"/>
      <c r="AJ48" s="22"/>
    </row>
    <row r="49" spans="1:36" s="5" customFormat="1" ht="42">
      <c r="A49" s="566">
        <f t="shared" si="0"/>
        <v>45</v>
      </c>
      <c r="B49" s="3">
        <f>'תקציב אגף ת.ב.ל 2021  '!B49</f>
        <v>2154</v>
      </c>
      <c r="C49" s="280" t="str">
        <f>'תקציב אגף ת.ב.ל 2021  '!C49</f>
        <v>חסכון, התיעלות אנרגטית מוסח/ציבור 2020</v>
      </c>
      <c r="D49" s="4">
        <f>'תקציב אגף ת.ב.ל 2021  '!D49</f>
        <v>10500000</v>
      </c>
      <c r="E49" s="4">
        <f>'תקציב אגף ת.ב.ל 2021  '!E49</f>
        <v>10500000</v>
      </c>
      <c r="F49" s="4">
        <f>'תקציב אגף ת.ב.ל 2021  '!F49</f>
        <v>0</v>
      </c>
      <c r="G49" s="4">
        <f>'תקציב אגף ת.ב.ל 2021  '!G49</f>
        <v>0</v>
      </c>
      <c r="H49" s="4">
        <f>'תקציב אגף ת.ב.ל 2021  '!H49</f>
        <v>0</v>
      </c>
      <c r="I49" s="4">
        <f>'תקציב אגף ת.ב.ל 2021  '!I49</f>
        <v>0</v>
      </c>
      <c r="J49" s="4">
        <f>'תקציב אגף ת.ב.ל 2021  '!J49</f>
        <v>0</v>
      </c>
      <c r="K49" s="4">
        <f>'תקציב אגף ת.ב.ל 2021  '!K49</f>
        <v>0</v>
      </c>
      <c r="L49" s="4">
        <f>'תקציב אגף ת.ב.ל 2021  '!L49</f>
        <v>0</v>
      </c>
      <c r="M49" s="4">
        <f>'תקציב אגף ת.ב.ל 2021  '!M49</f>
        <v>0</v>
      </c>
      <c r="N49" s="4">
        <f>'תקציב אגף ת.ב.ל 2021  '!N49</f>
        <v>2500000</v>
      </c>
      <c r="O49" s="4">
        <f>'תקציב אגף ת.ב.ל 2021  '!O49</f>
        <v>8000000</v>
      </c>
      <c r="P49" s="4">
        <f>'תקציב אגף ת.ב.ל 2021  '!P49</f>
        <v>0</v>
      </c>
      <c r="Q49" s="4">
        <f>'תקציב אגף ת.ב.ל 2021  '!Q49</f>
        <v>0</v>
      </c>
      <c r="R49" s="4">
        <f>'תקציב אגף ת.ב.ל 2021  '!R49</f>
        <v>0</v>
      </c>
      <c r="S49" s="4">
        <f>'תקציב אגף ת.ב.ל 2021  '!S49</f>
        <v>0</v>
      </c>
      <c r="T49" s="4">
        <f>'תקציב אגף ת.ב.ל 2021  '!T49</f>
        <v>0</v>
      </c>
      <c r="U49" s="4">
        <f>'תקציב אגף ת.ב.ל 2021  '!U49</f>
        <v>2500000</v>
      </c>
      <c r="V49" s="4">
        <f>'תקציב אגף ת.ב.ל 2021  '!V49</f>
        <v>0</v>
      </c>
      <c r="W49" s="4">
        <f>'תקציב אגף ת.ב.ל 2021  '!W49</f>
        <v>1264113</v>
      </c>
      <c r="X49" s="4">
        <f>'תקציב אגף ת.ב.ל 2021  '!X49</f>
        <v>0</v>
      </c>
      <c r="Y49" s="4">
        <f>'תקציב אגף ת.ב.ל 2021  '!Y49</f>
        <v>0</v>
      </c>
      <c r="Z49" s="4">
        <f>'תקציב אגף ת.ב.ל 2021  '!Z49</f>
        <v>0</v>
      </c>
      <c r="AA49" s="4">
        <f>'תקציב אגף ת.ב.ל 2021  '!AA49</f>
        <v>1235887</v>
      </c>
      <c r="AB49" s="280" t="str">
        <f>'תקציב אגף ת.ב.ל 2021  '!AB49</f>
        <v>החלפת מזגנים , החלפת תאורה ללדים  ובקרת מבנים במוס"ח ובמוסדות עירוניים. מימון מ. הכלכלה והתעשיה.</v>
      </c>
      <c r="AC49" s="280">
        <f>'תקציב אגף ת.ב.ל 2021  '!AC49</f>
        <v>870000</v>
      </c>
      <c r="AD49" s="24"/>
      <c r="AE49" s="24"/>
    </row>
    <row r="50" spans="1:36" s="5" customFormat="1" ht="30" customHeight="1">
      <c r="A50" s="566">
        <f t="shared" si="0"/>
        <v>46</v>
      </c>
      <c r="B50" s="3">
        <f>'תקציב אגף ת.ב.ל 2021  '!B50</f>
        <v>2155</v>
      </c>
      <c r="C50" s="280" t="str">
        <f>'תקציב אגף ת.ב.ל 2021  '!C50</f>
        <v>גידור מרחב האירועים בפארק</v>
      </c>
      <c r="D50" s="4">
        <f>'תקציב אגף ת.ב.ל 2021  '!D50</f>
        <v>700000</v>
      </c>
      <c r="E50" s="4">
        <f>'תקציב אגף ת.ב.ל 2021  '!E50</f>
        <v>700000</v>
      </c>
      <c r="F50" s="4">
        <f>'תקציב אגף ת.ב.ל 2021  '!F50</f>
        <v>0</v>
      </c>
      <c r="G50" s="4">
        <f>'תקציב אגף ת.ב.ל 2021  '!G50</f>
        <v>0</v>
      </c>
      <c r="H50" s="4">
        <f>'תקציב אגף ת.ב.ל 2021  '!H50</f>
        <v>0</v>
      </c>
      <c r="I50" s="4">
        <f>'תקציב אגף ת.ב.ל 2021  '!I50</f>
        <v>0</v>
      </c>
      <c r="J50" s="4">
        <f>'תקציב אגף ת.ב.ל 2021  '!J50</f>
        <v>0</v>
      </c>
      <c r="K50" s="4">
        <f>'תקציב אגף ת.ב.ל 2021  '!K50</f>
        <v>0</v>
      </c>
      <c r="L50" s="4">
        <f>'תקציב אגף ת.ב.ל 2021  '!L50</f>
        <v>0</v>
      </c>
      <c r="M50" s="4">
        <f>'תקציב אגף ת.ב.ל 2021  '!M50</f>
        <v>0</v>
      </c>
      <c r="N50" s="4">
        <f>'תקציב אגף ת.ב.ל 2021  '!N50</f>
        <v>0</v>
      </c>
      <c r="O50" s="4">
        <f>'תקציב אגף ת.ב.ל 2021  '!O50</f>
        <v>700000</v>
      </c>
      <c r="P50" s="4">
        <f>'תקציב אגף ת.ב.ל 2021  '!P50</f>
        <v>0</v>
      </c>
      <c r="Q50" s="4">
        <f>'תקציב אגף ת.ב.ל 2021  '!Q50</f>
        <v>0</v>
      </c>
      <c r="R50" s="4">
        <f>'תקציב אגף ת.ב.ל 2021  '!R50</f>
        <v>0</v>
      </c>
      <c r="S50" s="4">
        <f>'תקציב אגף ת.ב.ל 2021  '!S50</f>
        <v>0</v>
      </c>
      <c r="T50" s="4">
        <f>'תקציב אגף ת.ב.ל 2021  '!T50</f>
        <v>0</v>
      </c>
      <c r="U50" s="4">
        <f>'תקציב אגף ת.ב.ל 2021  '!U50</f>
        <v>0</v>
      </c>
      <c r="V50" s="4">
        <f>'תקציב אגף ת.ב.ל 2021  '!V50</f>
        <v>0</v>
      </c>
      <c r="W50" s="4">
        <f>'תקציב אגף ת.ב.ל 2021  '!W50</f>
        <v>0</v>
      </c>
      <c r="X50" s="4">
        <f>'תקציב אגף ת.ב.ל 2021  '!X50</f>
        <v>0</v>
      </c>
      <c r="Y50" s="4">
        <f>'תקציב אגף ת.ב.ל 2021  '!Y50</f>
        <v>0</v>
      </c>
      <c r="Z50" s="4">
        <f>'תקציב אגף ת.ב.ל 2021  '!Z50</f>
        <v>0</v>
      </c>
      <c r="AA50" s="4">
        <f>'תקציב אגף ת.ב.ל 2021  '!AA50</f>
        <v>0</v>
      </c>
      <c r="AB50" s="280" t="str">
        <f>'תקציב אגף ת.ב.ל 2021  '!AB50</f>
        <v>עבודות גידור קבוע, תאורה תשתיות ושערים במרחב האירועים בפארק.</v>
      </c>
      <c r="AC50" s="280">
        <f>'תקציב אגף ת.ב.ל 2021  '!AC50</f>
        <v>746000</v>
      </c>
      <c r="AD50" s="24"/>
      <c r="AE50" s="24"/>
    </row>
    <row r="51" spans="1:36" s="5" customFormat="1" ht="42">
      <c r="A51" s="566">
        <f t="shared" si="0"/>
        <v>47</v>
      </c>
      <c r="B51" s="3">
        <f>'תקציב אגף ת.ב.ל 2021  '!B51</f>
        <v>2156</v>
      </c>
      <c r="C51" s="280" t="str">
        <f>'תקציב אגף ת.ב.ל 2021  '!C51</f>
        <v>הקמת יחידת חילוץ הצטיידות</v>
      </c>
      <c r="D51" s="4">
        <f>'תקציב אגף ת.ב.ל 2021  '!D51</f>
        <v>1600000</v>
      </c>
      <c r="E51" s="4">
        <f>'תקציב אגף ת.ב.ל 2021  '!E51</f>
        <v>1600000</v>
      </c>
      <c r="F51" s="4">
        <f>'תקציב אגף ת.ב.ל 2021  '!F51</f>
        <v>0</v>
      </c>
      <c r="G51" s="4">
        <f>'תקציב אגף ת.ב.ל 2021  '!G51</f>
        <v>0</v>
      </c>
      <c r="H51" s="4">
        <f>'תקציב אגף ת.ב.ל 2021  '!H51</f>
        <v>0</v>
      </c>
      <c r="I51" s="4">
        <f>'תקציב אגף ת.ב.ל 2021  '!I51</f>
        <v>0</v>
      </c>
      <c r="J51" s="4">
        <f>'תקציב אגף ת.ב.ל 2021  '!J51</f>
        <v>0</v>
      </c>
      <c r="K51" s="4">
        <f>'תקציב אגף ת.ב.ל 2021  '!K51</f>
        <v>0</v>
      </c>
      <c r="L51" s="4">
        <f>'תקציב אגף ת.ב.ל 2021  '!L51</f>
        <v>0</v>
      </c>
      <c r="M51" s="4">
        <f>'תקציב אגף ת.ב.ל 2021  '!M51</f>
        <v>0</v>
      </c>
      <c r="N51" s="4">
        <f>'תקציב אגף ת.ב.ל 2021  '!N51</f>
        <v>100000</v>
      </c>
      <c r="O51" s="4">
        <f>'תקציב אגף ת.ב.ל 2021  '!O51</f>
        <v>1500000</v>
      </c>
      <c r="P51" s="4">
        <f>'תקציב אגף ת.ב.ל 2021  '!P51</f>
        <v>0</v>
      </c>
      <c r="Q51" s="4">
        <f>'תקציב אגף ת.ב.ל 2021  '!Q51</f>
        <v>0</v>
      </c>
      <c r="R51" s="4">
        <f>'תקציב אגף ת.ב.ל 2021  '!R51</f>
        <v>0</v>
      </c>
      <c r="S51" s="4">
        <f>'תקציב אגף ת.ב.ל 2021  '!S51</f>
        <v>0</v>
      </c>
      <c r="T51" s="4">
        <f>'תקציב אגף ת.ב.ל 2021  '!T51</f>
        <v>0</v>
      </c>
      <c r="U51" s="4">
        <f>'תקציב אגף ת.ב.ל 2021  '!U51</f>
        <v>100000</v>
      </c>
      <c r="V51" s="4">
        <f>'תקציב אגף ת.ב.ל 2021  '!V51</f>
        <v>0</v>
      </c>
      <c r="W51" s="4">
        <f>'תקציב אגף ת.ב.ל 2021  '!W51</f>
        <v>100000</v>
      </c>
      <c r="X51" s="4">
        <f>'תקציב אגף ת.ב.ל 2021  '!X51</f>
        <v>0</v>
      </c>
      <c r="Y51" s="4">
        <f>'תקציב אגף ת.ב.ל 2021  '!Y51</f>
        <v>0</v>
      </c>
      <c r="Z51" s="4">
        <f>'תקציב אגף ת.ב.ל 2021  '!Z51</f>
        <v>0</v>
      </c>
      <c r="AA51" s="4">
        <f>'תקציב אגף ת.ב.ל 2021  '!AA51</f>
        <v>0</v>
      </c>
      <c r="AB51" s="280" t="str">
        <f>'תקציב אגף ת.ב.ל 2021  '!AB51</f>
        <v>הצטיידות  של יחידת חילוץ מתנדבים שעברו הכשרה בפיקוד העורף לתפקוד במצבי חרום .</v>
      </c>
      <c r="AC51" s="280">
        <f>'תקציב אגף ת.ב.ל 2021  '!AC51</f>
        <v>720000</v>
      </c>
      <c r="AD51" s="24"/>
      <c r="AE51" s="24"/>
    </row>
    <row r="52" spans="1:36" s="5" customFormat="1" ht="30" customHeight="1">
      <c r="A52" s="566">
        <f t="shared" si="0"/>
        <v>48</v>
      </c>
      <c r="B52" s="3">
        <f>'תקציב אגף ת.ב.ל 2021  '!B52</f>
        <v>2157</v>
      </c>
      <c r="C52" s="280" t="str">
        <f>'תקציב אגף ת.ב.ל 2021  '!C52</f>
        <v>התקנת חיבורים חיצוניים לגנרטורים מוסח/ציבור</v>
      </c>
      <c r="D52" s="4">
        <f>'תקציב אגף ת.ב.ל 2021  '!D52</f>
        <v>5200000</v>
      </c>
      <c r="E52" s="4">
        <f>'תקציב אגף ת.ב.ל 2021  '!E52</f>
        <v>5200000</v>
      </c>
      <c r="F52" s="4">
        <f>'תקציב אגף ת.ב.ל 2021  '!F52</f>
        <v>0</v>
      </c>
      <c r="G52" s="4">
        <f>'תקציב אגף ת.ב.ל 2021  '!G52</f>
        <v>0</v>
      </c>
      <c r="H52" s="4">
        <f>'תקציב אגף ת.ב.ל 2021  '!H52</f>
        <v>0</v>
      </c>
      <c r="I52" s="4">
        <f>'תקציב אגף ת.ב.ל 2021  '!I52</f>
        <v>0</v>
      </c>
      <c r="J52" s="4">
        <f>'תקציב אגף ת.ב.ל 2021  '!J52</f>
        <v>0</v>
      </c>
      <c r="K52" s="4">
        <f>'תקציב אגף ת.ב.ל 2021  '!K52</f>
        <v>0</v>
      </c>
      <c r="L52" s="4">
        <f>'תקציב אגף ת.ב.ל 2021  '!L52</f>
        <v>0</v>
      </c>
      <c r="M52" s="4">
        <f>'תקציב אגף ת.ב.ל 2021  '!M52</f>
        <v>0</v>
      </c>
      <c r="N52" s="4">
        <f>'תקציב אגף ת.ב.ל 2021  '!N52</f>
        <v>150000</v>
      </c>
      <c r="O52" s="4">
        <f>'תקציב אגף ת.ב.ל 2021  '!O52</f>
        <v>5050000</v>
      </c>
      <c r="P52" s="4">
        <f>'תקציב אגף ת.ב.ל 2021  '!P52</f>
        <v>0</v>
      </c>
      <c r="Q52" s="4">
        <f>'תקציב אגף ת.ב.ל 2021  '!Q52</f>
        <v>0</v>
      </c>
      <c r="R52" s="4">
        <f>'תקציב אגף ת.ב.ל 2021  '!R52</f>
        <v>0</v>
      </c>
      <c r="S52" s="4">
        <f>'תקציב אגף ת.ב.ל 2021  '!S52</f>
        <v>0</v>
      </c>
      <c r="T52" s="4">
        <f>'תקציב אגף ת.ב.ל 2021  '!T52</f>
        <v>0</v>
      </c>
      <c r="U52" s="4">
        <f>'תקציב אגף ת.ב.ל 2021  '!U52</f>
        <v>150000</v>
      </c>
      <c r="V52" s="4">
        <f>'תקציב אגף ת.ב.ל 2021  '!V52</f>
        <v>0</v>
      </c>
      <c r="W52" s="4">
        <f>'תקציב אגף ת.ב.ל 2021  '!W52</f>
        <v>150000</v>
      </c>
      <c r="X52" s="4">
        <f>'תקציב אגף ת.ב.ל 2021  '!X52</f>
        <v>0</v>
      </c>
      <c r="Y52" s="4">
        <f>'תקציב אגף ת.ב.ל 2021  '!Y52</f>
        <v>0</v>
      </c>
      <c r="Z52" s="4">
        <f>'תקציב אגף ת.ב.ל 2021  '!Z52</f>
        <v>0</v>
      </c>
      <c r="AA52" s="4">
        <f>'תקציב אגף ת.ב.ל 2021  '!AA52</f>
        <v>0</v>
      </c>
      <c r="AB52" s="280" t="str">
        <f>'תקציב אגף ת.ב.ל 2021  '!AB52</f>
        <v>התקנת חיבורים חיצוניים לגנרטורים  במבני חינוך וציבור לשימוש בעת הצורך.</v>
      </c>
      <c r="AC52" s="280">
        <f>'תקציב אגף ת.ב.ל 2021  '!AC52</f>
        <v>810000</v>
      </c>
      <c r="AD52" s="24"/>
      <c r="AE52" s="24"/>
    </row>
    <row r="53" spans="1:36" s="5" customFormat="1" ht="30" customHeight="1">
      <c r="A53" s="566">
        <f t="shared" si="0"/>
        <v>49</v>
      </c>
      <c r="B53" s="3">
        <f>'תקציב אגף ת.ב.ל 2021  '!B53</f>
        <v>2176</v>
      </c>
      <c r="C53" s="280" t="str">
        <f>'תקציב אגף ת.ב.ל 2021  '!C53</f>
        <v>עב.הק מבני כיתות  חלופי איצטדיון</v>
      </c>
      <c r="D53" s="4">
        <f>'תקציב אגף ת.ב.ל 2021  '!D53</f>
        <v>2100000</v>
      </c>
      <c r="E53" s="4">
        <f>'תקציב אגף ת.ב.ל 2021  '!E53</f>
        <v>2100000</v>
      </c>
      <c r="F53" s="4">
        <f>'תקציב אגף ת.ב.ל 2021  '!F53</f>
        <v>0</v>
      </c>
      <c r="G53" s="4">
        <f>'תקציב אגף ת.ב.ל 2021  '!G53</f>
        <v>0</v>
      </c>
      <c r="H53" s="4">
        <f>'תקציב אגף ת.ב.ל 2021  '!H53</f>
        <v>0</v>
      </c>
      <c r="I53" s="4">
        <f>'תקציב אגף ת.ב.ל 2021  '!I53</f>
        <v>0</v>
      </c>
      <c r="J53" s="4">
        <f>'תקציב אגף ת.ב.ל 2021  '!J53</f>
        <v>0</v>
      </c>
      <c r="K53" s="4">
        <f>'תקציב אגף ת.ב.ל 2021  '!K53</f>
        <v>0</v>
      </c>
      <c r="L53" s="4">
        <f>'תקציב אגף ת.ב.ל 2021  '!L53</f>
        <v>0</v>
      </c>
      <c r="M53" s="4">
        <f>'תקציב אגף ת.ב.ל 2021  '!M53</f>
        <v>0</v>
      </c>
      <c r="N53" s="4">
        <f>'תקציב אגף ת.ב.ל 2021  '!N53</f>
        <v>0</v>
      </c>
      <c r="O53" s="4">
        <f>'תקציב אגף ת.ב.ל 2021  '!O53</f>
        <v>2100000</v>
      </c>
      <c r="P53" s="4">
        <f>'תקציב אגף ת.ב.ל 2021  '!P53</f>
        <v>0</v>
      </c>
      <c r="Q53" s="4">
        <f>'תקציב אגף ת.ב.ל 2021  '!Q53</f>
        <v>0</v>
      </c>
      <c r="R53" s="4">
        <f>'תקציב אגף ת.ב.ל 2021  '!R53</f>
        <v>0</v>
      </c>
      <c r="S53" s="4">
        <f>'תקציב אגף ת.ב.ל 2021  '!S53</f>
        <v>0</v>
      </c>
      <c r="T53" s="4">
        <f>'תקציב אגף ת.ב.ל 2021  '!T53</f>
        <v>0</v>
      </c>
      <c r="U53" s="4">
        <f>'תקציב אגף ת.ב.ל 2021  '!U53</f>
        <v>0</v>
      </c>
      <c r="V53" s="4">
        <f>'תקציב אגף ת.ב.ל 2021  '!V53</f>
        <v>0</v>
      </c>
      <c r="W53" s="4">
        <f>'תקציב אגף ת.ב.ל 2021  '!W53</f>
        <v>0</v>
      </c>
      <c r="X53" s="4">
        <f>'תקציב אגף ת.ב.ל 2021  '!X53</f>
        <v>0</v>
      </c>
      <c r="Y53" s="4">
        <f>'תקציב אגף ת.ב.ל 2021  '!Y53</f>
        <v>0</v>
      </c>
      <c r="Z53" s="4">
        <f>'תקציב אגף ת.ב.ל 2021  '!Z53</f>
        <v>0</v>
      </c>
      <c r="AA53" s="4">
        <f>'תקציב אגף ת.ב.ל 2021  '!AA53</f>
        <v>0</v>
      </c>
      <c r="AB53" s="280" t="str">
        <f>'תקציב אגף ת.ב.ל 2021  '!AB53</f>
        <v>כיתות לימוד ומבני שרותים כולל פיתוח חלופי למבנים באיצטדיון העירוני.</v>
      </c>
      <c r="AC53" s="280">
        <f>'תקציב אגף ת.ב.ל 2021  '!AC53</f>
        <v>829000</v>
      </c>
      <c r="AD53" s="24"/>
      <c r="AE53" s="24"/>
    </row>
    <row r="54" spans="1:36" s="5" customFormat="1" ht="70">
      <c r="A54" s="566">
        <f t="shared" si="0"/>
        <v>50</v>
      </c>
      <c r="B54" s="3">
        <f>'תקציב אגף ת.ב.ל 2021  '!B54</f>
        <v>2177</v>
      </c>
      <c r="C54" s="280" t="str">
        <f>'תקציב אגף ת.ב.ל 2021  '!C54</f>
        <v>תוכ. אב רב שנתית שיפוצים מוס"ח (*) עדכון שם 2021  ואילך.</v>
      </c>
      <c r="D54" s="4">
        <f>'תקציב אגף ת.ב.ל 2021  '!D54</f>
        <v>5500000</v>
      </c>
      <c r="E54" s="4">
        <f>'תקציב אגף ת.ב.ל 2021  '!E54</f>
        <v>500000</v>
      </c>
      <c r="F54" s="4">
        <f>'תקציב אגף ת.ב.ל 2021  '!F54</f>
        <v>5000000</v>
      </c>
      <c r="G54" s="4">
        <f>'תקציב אגף ת.ב.ל 2021  '!G54</f>
        <v>0</v>
      </c>
      <c r="H54" s="4">
        <f>'תקציב אגף ת.ב.ל 2021  '!H54</f>
        <v>0</v>
      </c>
      <c r="I54" s="4">
        <f>'תקציב אגף ת.ב.ל 2021  '!I54</f>
        <v>0</v>
      </c>
      <c r="J54" s="4">
        <f>'תקציב אגף ת.ב.ל 2021  '!J54</f>
        <v>0</v>
      </c>
      <c r="K54" s="4">
        <f>'תקציב אגף ת.ב.ל 2021  '!K54</f>
        <v>0</v>
      </c>
      <c r="L54" s="4">
        <f>'תקציב אגף ת.ב.ל 2021  '!L54</f>
        <v>0</v>
      </c>
      <c r="M54" s="4">
        <f>'תקציב אגף ת.ב.ל 2021  '!M54</f>
        <v>0</v>
      </c>
      <c r="N54" s="4">
        <f>'תקציב אגף ת.ב.ל 2021  '!N54</f>
        <v>5500000</v>
      </c>
      <c r="O54" s="4">
        <f>'תקציב אגף ת.ב.ל 2021  '!O54</f>
        <v>0</v>
      </c>
      <c r="P54" s="4">
        <f>'תקציב אגף ת.ב.ל 2021  '!P54</f>
        <v>0</v>
      </c>
      <c r="Q54" s="4">
        <f>'תקציב אגף ת.ב.ל 2021  '!Q54</f>
        <v>0</v>
      </c>
      <c r="R54" s="4">
        <f>'תקציב אגף ת.ב.ל 2021  '!R54</f>
        <v>0</v>
      </c>
      <c r="S54" s="4">
        <f>'תקציב אגף ת.ב.ל 2021  '!S54</f>
        <v>0</v>
      </c>
      <c r="T54" s="4">
        <f>'תקציב אגף ת.ב.ל 2021  '!T54</f>
        <v>0</v>
      </c>
      <c r="U54" s="4">
        <f>'תקציב אגף ת.ב.ל 2021  '!U54</f>
        <v>5500000</v>
      </c>
      <c r="V54" s="4">
        <f>'תקציב אגף ת.ב.ל 2021  '!V54</f>
        <v>0</v>
      </c>
      <c r="W54" s="4">
        <f>'תקציב אגף ת.ב.ל 2021  '!W54</f>
        <v>5500000</v>
      </c>
      <c r="X54" s="4">
        <f>'תקציב אגף ת.ב.ל 2021  '!X54</f>
        <v>0</v>
      </c>
      <c r="Y54" s="4">
        <f>'תקציב אגף ת.ב.ל 2021  '!Y54</f>
        <v>0</v>
      </c>
      <c r="Z54" s="4">
        <f>'תקציב אגף ת.ב.ל 2021  '!Z54</f>
        <v>0</v>
      </c>
      <c r="AA54" s="4">
        <f>'תקציב אגף ת.ב.ל 2021  '!AA54</f>
        <v>0</v>
      </c>
      <c r="AB54" s="280" t="str">
        <f>'תקציב אגף ת.ב.ל 2021  '!AB54</f>
        <v>סל עבודות במוס"ח לרבות שיפוצים יסודיים , התאמת מבנים ושדרוג גנ"י על פי רשימה שתאושר ע"י הנהלת העיר. בדיקה הערכות של בניית תוכנית אב רב שנתית שיפוצים מוס"ח.</v>
      </c>
      <c r="AC54" s="280">
        <f>'תקציב אגף ת.ב.ל 2021  '!AC54</f>
        <v>810000</v>
      </c>
      <c r="AD54" s="24"/>
      <c r="AE54" s="24"/>
      <c r="AF54" s="23"/>
      <c r="AG54" s="23"/>
      <c r="AH54" s="23"/>
      <c r="AI54" s="23"/>
      <c r="AJ54" s="22"/>
    </row>
    <row r="55" spans="1:36" s="5" customFormat="1" ht="30" customHeight="1">
      <c r="A55" s="566">
        <f t="shared" si="0"/>
        <v>51</v>
      </c>
      <c r="B55" s="3">
        <f>'תקציב אגף ת.ב.ל 2021  '!B55</f>
        <v>2178</v>
      </c>
      <c r="C55" s="280" t="str">
        <f>'תקציב אגף ת.ב.ל 2021  '!C55</f>
        <v>תיכון היובל</v>
      </c>
      <c r="D55" s="4">
        <f>'תקציב אגף ת.ב.ל 2021  '!D55</f>
        <v>3100000</v>
      </c>
      <c r="E55" s="4">
        <f>'תקציב אגף ת.ב.ל 2021  '!E55</f>
        <v>3100000</v>
      </c>
      <c r="F55" s="4">
        <f>'תקציב אגף ת.ב.ל 2021  '!F55</f>
        <v>0</v>
      </c>
      <c r="G55" s="4">
        <f>'תקציב אגף ת.ב.ל 2021  '!G55</f>
        <v>3100000</v>
      </c>
      <c r="H55" s="4">
        <f>'תקציב אגף ת.ב.ל 2021  '!H55</f>
        <v>598723</v>
      </c>
      <c r="I55" s="4">
        <f>'תקציב אגף ת.ב.ל 2021  '!I55</f>
        <v>159611</v>
      </c>
      <c r="J55" s="4">
        <f>'תקציב אגף ת.ב.ל 2021  '!J55</f>
        <v>957425</v>
      </c>
      <c r="K55" s="4">
        <f>'תקציב אגף ת.ב.ל 2021  '!K55</f>
        <v>1117036</v>
      </c>
      <c r="L55" s="4">
        <f>'תקציב אגף ת.ב.ל 2021  '!L55</f>
        <v>1715759</v>
      </c>
      <c r="M55" s="4">
        <f>'תקציב אגף ת.ב.ל 2021  '!M55</f>
        <v>1384241</v>
      </c>
      <c r="N55" s="4">
        <f>'תקציב אגף ת.ב.ל 2021  '!N55</f>
        <v>0</v>
      </c>
      <c r="O55" s="4">
        <f>'תקציב אגף ת.ב.ל 2021  '!O55</f>
        <v>0</v>
      </c>
      <c r="P55" s="4">
        <f>'תקציב אגף ת.ב.ל 2021  '!P55</f>
        <v>1384241</v>
      </c>
      <c r="Q55" s="4">
        <f>'תקציב אגף ת.ב.ל 2021  '!Q55</f>
        <v>0</v>
      </c>
      <c r="R55" s="4">
        <f>'תקציב אגף ת.ב.ל 2021  '!R55</f>
        <v>0</v>
      </c>
      <c r="S55" s="4">
        <f>'תקציב אגף ת.ב.ל 2021  '!S55</f>
        <v>0</v>
      </c>
      <c r="T55" s="4">
        <f>'תקציב אגף ת.ב.ל 2021  '!T55</f>
        <v>0</v>
      </c>
      <c r="U55" s="4">
        <f>'תקציב אגף ת.ב.ל 2021  '!U55</f>
        <v>0</v>
      </c>
      <c r="V55" s="4">
        <f>'תקציב אגף ת.ב.ל 2021  '!V55</f>
        <v>0</v>
      </c>
      <c r="W55" s="4">
        <f>'תקציב אגף ת.ב.ל 2021  '!W55</f>
        <v>0</v>
      </c>
      <c r="X55" s="4">
        <f>'תקציב אגף ת.ב.ל 2021  '!X55</f>
        <v>0</v>
      </c>
      <c r="Y55" s="4">
        <f>'תקציב אגף ת.ב.ל 2021  '!Y55</f>
        <v>0</v>
      </c>
      <c r="Z55" s="4">
        <f>'תקציב אגף ת.ב.ל 2021  '!Z55</f>
        <v>0</v>
      </c>
      <c r="AA55" s="4">
        <f>'תקציב אגף ת.ב.ל 2021  '!AA55</f>
        <v>0</v>
      </c>
      <c r="AB55" s="280" t="str">
        <f>'תקציב אגף ת.ב.ל 2021  '!AB55</f>
        <v xml:space="preserve">בניית 3 כיתות (קרוואנים), מעבדות,תכנון תוספת כיתות. </v>
      </c>
      <c r="AC55" s="280">
        <f>'תקציב אגף ת.ב.ל 2021  '!AC55</f>
        <v>810000</v>
      </c>
      <c r="AD55" s="24"/>
      <c r="AE55" s="24"/>
    </row>
    <row r="56" spans="1:36" s="5" customFormat="1" ht="30" customHeight="1">
      <c r="A56" s="566">
        <f t="shared" si="0"/>
        <v>52</v>
      </c>
      <c r="B56" s="3">
        <f>'תקציב אגף ת.ב.ל 2021  '!B56</f>
        <v>2183</v>
      </c>
      <c r="C56" s="280" t="str">
        <f>'תקציב אגף ת.ב.ל 2021  '!C56</f>
        <v>טיפול דחוף תקרת בטון מבנה סוקולוב 32</v>
      </c>
      <c r="D56" s="4">
        <f>'תקציב אגף ת.ב.ל 2021  '!D56</f>
        <v>800000</v>
      </c>
      <c r="E56" s="4">
        <f>'תקציב אגף ת.ב.ל 2021  '!E56</f>
        <v>800000</v>
      </c>
      <c r="F56" s="4">
        <f>'תקציב אגף ת.ב.ל 2021  '!F56</f>
        <v>0</v>
      </c>
      <c r="G56" s="4">
        <f>'תקציב אגף ת.ב.ל 2021  '!G56</f>
        <v>800000</v>
      </c>
      <c r="H56" s="4">
        <f>'תקציב אגף ת.ב.ל 2021  '!H56</f>
        <v>0</v>
      </c>
      <c r="I56" s="4">
        <f>'תקציב אגף ת.ב.ל 2021  '!I56</f>
        <v>0</v>
      </c>
      <c r="J56" s="4">
        <f>'תקציב אגף ת.ב.ל 2021  '!J56</f>
        <v>15701</v>
      </c>
      <c r="K56" s="4">
        <f>'תקציב אגף ת.ב.ל 2021  '!K56</f>
        <v>15701</v>
      </c>
      <c r="L56" s="4">
        <f>'תקציב אגף ת.ב.ל 2021  '!L56</f>
        <v>15701</v>
      </c>
      <c r="M56" s="4">
        <f>'תקציב אגף ת.ב.ל 2021  '!M56</f>
        <v>4299</v>
      </c>
      <c r="N56" s="4">
        <f>'תקציב אגף ת.ב.ל 2021  '!N56</f>
        <v>0</v>
      </c>
      <c r="O56" s="4">
        <f>'תקציב אגף ת.ב.ל 2021  '!O56</f>
        <v>780000</v>
      </c>
      <c r="P56" s="4">
        <f>'תקציב אגף ת.ב.ל 2021  '!P56</f>
        <v>784299</v>
      </c>
      <c r="Q56" s="4">
        <f>'תקציב אגף ת.ב.ל 2021  '!Q56</f>
        <v>0</v>
      </c>
      <c r="R56" s="4">
        <f>'תקציב אגף ת.ב.ל 2021  '!R56</f>
        <v>0</v>
      </c>
      <c r="S56" s="4">
        <f>'תקציב אגף ת.ב.ל 2021  '!S56</f>
        <v>0</v>
      </c>
      <c r="T56" s="4">
        <f>'תקציב אגף ת.ב.ל 2021  '!T56</f>
        <v>780000</v>
      </c>
      <c r="U56" s="4">
        <f>'תקציב אגף ת.ב.ל 2021  '!U56</f>
        <v>-780000</v>
      </c>
      <c r="V56" s="4">
        <f>'תקציב אגף ת.ב.ל 2021  '!V56</f>
        <v>0</v>
      </c>
      <c r="W56" s="4">
        <f>'תקציב אגף ת.ב.ל 2021  '!W56</f>
        <v>-780000</v>
      </c>
      <c r="X56" s="4">
        <f>'תקציב אגף ת.ב.ל 2021  '!X56</f>
        <v>0</v>
      </c>
      <c r="Y56" s="4">
        <f>'תקציב אגף ת.ב.ל 2021  '!Y56</f>
        <v>0</v>
      </c>
      <c r="Z56" s="4">
        <f>'תקציב אגף ת.ב.ל 2021  '!Z56</f>
        <v>0</v>
      </c>
      <c r="AA56" s="4">
        <f>'תקציב אגף ת.ב.ל 2021  '!AA56</f>
        <v>0</v>
      </c>
      <c r="AB56" s="280" t="str">
        <f>'תקציב אגף ת.ב.ל 2021  '!AB56</f>
        <v>טיפול דחוף בתקרת בטון במבנה מסוכן בסוקולוב 32. לא נדרש. התב"ר לסגירה.</v>
      </c>
      <c r="AC56" s="280">
        <f>'תקציב אגף ת.ב.ל 2021  '!AC56</f>
        <v>725000</v>
      </c>
      <c r="AD56" s="24"/>
      <c r="AE56" s="24"/>
    </row>
    <row r="57" spans="1:36" s="5" customFormat="1" ht="30" customHeight="1">
      <c r="A57" s="566">
        <f t="shared" si="0"/>
        <v>53</v>
      </c>
      <c r="B57" s="3">
        <f>'תקציב אגף ת.ב.ל 2021  '!B57</f>
        <v>2184</v>
      </c>
      <c r="C57" s="280" t="str">
        <f>'תקציב אגף ת.ב.ל 2021  '!C57</f>
        <v>שיקום חזית מבנה דיור לקשיש</v>
      </c>
      <c r="D57" s="4">
        <f>'תקציב אגף ת.ב.ל 2021  '!D57</f>
        <v>2180000</v>
      </c>
      <c r="E57" s="4">
        <f>'תקציב אגף ת.ב.ל 2021  '!E57</f>
        <v>2180000</v>
      </c>
      <c r="F57" s="4">
        <f>'תקציב אגף ת.ב.ל 2021  '!F57</f>
        <v>0</v>
      </c>
      <c r="G57" s="4">
        <f>'תקציב אגף ת.ב.ל 2021  '!G57</f>
        <v>560000</v>
      </c>
      <c r="H57" s="4">
        <f>'תקציב אגף ת.ב.ל 2021  '!H57</f>
        <v>0</v>
      </c>
      <c r="I57" s="4">
        <f>'תקציב אגף ת.ב.ל 2021  '!I57</f>
        <v>0</v>
      </c>
      <c r="J57" s="4">
        <f>'תקציב אגף ת.ב.ל 2021  '!J57</f>
        <v>25887</v>
      </c>
      <c r="K57" s="4">
        <f>'תקציב אגף ת.ב.ל 2021  '!K57</f>
        <v>25887</v>
      </c>
      <c r="L57" s="4">
        <f>'תקציב אגף ת.ב.ל 2021  '!L57</f>
        <v>25887</v>
      </c>
      <c r="M57" s="4">
        <f>'תקציב אגף ת.ב.ל 2021  '!M57</f>
        <v>534113</v>
      </c>
      <c r="N57" s="4">
        <f>'תקציב אגף ת.ב.ל 2021  '!N57</f>
        <v>0</v>
      </c>
      <c r="O57" s="4">
        <f>'תקציב אגף ת.ב.ל 2021  '!O57</f>
        <v>1620000</v>
      </c>
      <c r="P57" s="4">
        <f>'תקציב אגף ת.ב.ל 2021  '!P57</f>
        <v>534113</v>
      </c>
      <c r="Q57" s="4">
        <f>'תקציב אגף ת.ב.ל 2021  '!Q57</f>
        <v>0</v>
      </c>
      <c r="R57" s="4">
        <f>'תקציב אגף ת.ב.ל 2021  '!R57</f>
        <v>0</v>
      </c>
      <c r="S57" s="4">
        <f>'תקציב אגף ת.ב.ל 2021  '!S57</f>
        <v>0</v>
      </c>
      <c r="T57" s="4">
        <f>'תקציב אגף ת.ב.ל 2021  '!T57</f>
        <v>0</v>
      </c>
      <c r="U57" s="4">
        <f>'תקציב אגף ת.ב.ל 2021  '!U57</f>
        <v>0</v>
      </c>
      <c r="V57" s="4">
        <f>'תקציב אגף ת.ב.ל 2021  '!V57</f>
        <v>0</v>
      </c>
      <c r="W57" s="4">
        <f>'תקציב אגף ת.ב.ל 2021  '!W57</f>
        <v>0</v>
      </c>
      <c r="X57" s="4">
        <f>'תקציב אגף ת.ב.ל 2021  '!X57</f>
        <v>0</v>
      </c>
      <c r="Y57" s="4">
        <f>'תקציב אגף ת.ב.ל 2021  '!Y57</f>
        <v>0</v>
      </c>
      <c r="Z57" s="4">
        <f>'תקציב אגף ת.ב.ל 2021  '!Z57</f>
        <v>0</v>
      </c>
      <c r="AA57" s="4">
        <f>'תקציב אגף ת.ב.ל 2021  '!AA57</f>
        <v>0</v>
      </c>
      <c r="AB57" s="280" t="str">
        <f>'תקציב אגף ת.ב.ל 2021  '!AB57</f>
        <v xml:space="preserve">שיקום חזיתות בנין דיור לקשיש ברח' שמאי. שלב א' חזית דרומית בביצוע. </v>
      </c>
      <c r="AC57" s="280">
        <f>'תקציב אגף ת.ב.ל 2021  '!AC57</f>
        <v>930000</v>
      </c>
      <c r="AD57" s="24"/>
      <c r="AE57" s="24"/>
    </row>
    <row r="58" spans="1:36" s="5" customFormat="1" ht="30" customHeight="1">
      <c r="A58" s="566">
        <f t="shared" si="0"/>
        <v>54</v>
      </c>
      <c r="B58" s="3">
        <f>'תקציב אגף ת.ב.ל 2021  '!B58</f>
        <v>2187</v>
      </c>
      <c r="C58" s="280" t="str">
        <f>'תקציב אגף ת.ב.ל 2021  '!C58</f>
        <v>בי"ס חלופי בפארק הרצליה</v>
      </c>
      <c r="D58" s="4">
        <f>'תקציב אגף ת.ב.ל 2021  '!D58</f>
        <v>8600000</v>
      </c>
      <c r="E58" s="4">
        <f>'תקציב אגף ת.ב.ל 2021  '!E58</f>
        <v>800000</v>
      </c>
      <c r="F58" s="4">
        <f>'תקציב אגף ת.ב.ל 2021  '!F58</f>
        <v>7800000</v>
      </c>
      <c r="G58" s="4">
        <f>'תקציב אגף ת.ב.ל 2021  '!G58</f>
        <v>800000</v>
      </c>
      <c r="H58" s="4">
        <f>'תקציב אגף ת.ב.ל 2021  '!H58</f>
        <v>0</v>
      </c>
      <c r="I58" s="4">
        <f>'תקציב אגף ת.ב.ל 2021  '!I58</f>
        <v>0</v>
      </c>
      <c r="J58" s="4">
        <f>'תקציב אגף ת.ב.ל 2021  '!J58</f>
        <v>0</v>
      </c>
      <c r="K58" s="4">
        <f>'תקציב אגף ת.ב.ל 2021  '!K58</f>
        <v>0</v>
      </c>
      <c r="L58" s="4">
        <f>'תקציב אגף ת.ב.ל 2021  '!L58</f>
        <v>0</v>
      </c>
      <c r="M58" s="4">
        <f>'תקציב אגף ת.ב.ל 2021  '!M58</f>
        <v>800000</v>
      </c>
      <c r="N58" s="4">
        <f>'תקציב אגף ת.ב.ל 2021  '!N58</f>
        <v>7800000</v>
      </c>
      <c r="O58" s="4">
        <f>'תקציב אגף ת.ב.ל 2021  '!O58</f>
        <v>0</v>
      </c>
      <c r="P58" s="4">
        <f>'תקציב אגף ת.ב.ל 2021  '!P58</f>
        <v>800000</v>
      </c>
      <c r="Q58" s="4">
        <f>'תקציב אגף ת.ב.ל 2021  '!Q58</f>
        <v>0</v>
      </c>
      <c r="R58" s="4">
        <f>'תקציב אגף ת.ב.ל 2021  '!R58</f>
        <v>0</v>
      </c>
      <c r="S58" s="4">
        <f>'תקציב אגף ת.ב.ל 2021  '!S58</f>
        <v>0</v>
      </c>
      <c r="T58" s="4">
        <f>'תקציב אגף ת.ב.ל 2021  '!T58</f>
        <v>0</v>
      </c>
      <c r="U58" s="4">
        <f>'תקציב אגף ת.ב.ל 2021  '!U58</f>
        <v>7800000</v>
      </c>
      <c r="V58" s="4">
        <f>'תקציב אגף ת.ב.ל 2021  '!V58</f>
        <v>4500000</v>
      </c>
      <c r="W58" s="4">
        <f>'תקציב אגף ת.ב.ל 2021  '!W58</f>
        <v>3300000</v>
      </c>
      <c r="X58" s="4">
        <f>'תקציב אגף ת.ב.ל 2021  '!X58</f>
        <v>0</v>
      </c>
      <c r="Y58" s="4">
        <f>'תקציב אגף ת.ב.ל 2021  '!Y58</f>
        <v>0</v>
      </c>
      <c r="Z58" s="4">
        <f>'תקציב אגף ת.ב.ל 2021  '!Z58</f>
        <v>0</v>
      </c>
      <c r="AA58" s="4">
        <f>'תקציב אגף ת.ב.ל 2021  '!AA58</f>
        <v>0</v>
      </c>
      <c r="AB58" s="280" t="str">
        <f>'תקציב אגף ת.ב.ל 2021  '!AB58</f>
        <v>השלמת תכנון וביצוע הקמת בי"ס חלופי בפארק.</v>
      </c>
      <c r="AC58" s="280">
        <f>'תקציב אגף ת.ב.ל 2021  '!AC58</f>
        <v>810000</v>
      </c>
      <c r="AD58" s="24"/>
      <c r="AE58" s="24"/>
    </row>
    <row r="59" spans="1:36" ht="30" customHeight="1">
      <c r="A59" s="566">
        <f t="shared" si="0"/>
        <v>55</v>
      </c>
      <c r="B59" s="3">
        <f>'תקציב אגף ת.ב.ל 2021  '!B59</f>
        <v>2211</v>
      </c>
      <c r="C59" s="280" t="str">
        <f>'תקציב אגף ת.ב.ל 2021  '!C59</f>
        <v>בי"ס דמוקרטי- התאמת מבנה בחט"ב סמדר</v>
      </c>
      <c r="D59" s="4">
        <f>'תקציב אגף ת.ב.ל 2021  '!D59</f>
        <v>800000</v>
      </c>
      <c r="E59" s="4">
        <f>'תקציב אגף ת.ב.ל 2021  '!E59</f>
        <v>0</v>
      </c>
      <c r="F59" s="4">
        <f>'תקציב אגף ת.ב.ל 2021  '!F59</f>
        <v>800000</v>
      </c>
      <c r="G59" s="4">
        <f>'תקציב אגף ת.ב.ל 2021  '!G59</f>
        <v>0</v>
      </c>
      <c r="H59" s="4">
        <f>'תקציב אגף ת.ב.ל 2021  '!H59</f>
        <v>0</v>
      </c>
      <c r="I59" s="4">
        <f>'תקציב אגף ת.ב.ל 2021  '!I59</f>
        <v>0</v>
      </c>
      <c r="J59" s="4">
        <f>'תקציב אגף ת.ב.ל 2021  '!J59</f>
        <v>0</v>
      </c>
      <c r="K59" s="4">
        <f>'תקציב אגף ת.ב.ל 2021  '!K59</f>
        <v>0</v>
      </c>
      <c r="L59" s="4">
        <f>'תקציב אגף ת.ב.ל 2021  '!L59</f>
        <v>0</v>
      </c>
      <c r="M59" s="4">
        <f>'תקציב אגף ת.ב.ל 2021  '!M59</f>
        <v>0</v>
      </c>
      <c r="N59" s="4">
        <f>'תקציב אגף ת.ב.ל 2021  '!N59</f>
        <v>800000</v>
      </c>
      <c r="O59" s="4">
        <f>'תקציב אגף ת.ב.ל 2021  '!O59</f>
        <v>0</v>
      </c>
      <c r="P59" s="4">
        <f>'תקציב אגף ת.ב.ל 2021  '!P59</f>
        <v>0</v>
      </c>
      <c r="Q59" s="4">
        <f>'תקציב אגף ת.ב.ל 2021  '!Q59</f>
        <v>0</v>
      </c>
      <c r="R59" s="4">
        <f>'תקציב אגף ת.ב.ל 2021  '!R59</f>
        <v>0</v>
      </c>
      <c r="S59" s="4">
        <f>'תקציב אגף ת.ב.ל 2021  '!S59</f>
        <v>0</v>
      </c>
      <c r="T59" s="4">
        <f>'תקציב אגף ת.ב.ל 2021  '!T59</f>
        <v>0</v>
      </c>
      <c r="U59" s="4">
        <f>'תקציב אגף ת.ב.ל 2021  '!U59</f>
        <v>800000</v>
      </c>
      <c r="V59" s="4">
        <f>'תקציב אגף ת.ב.ל 2021  '!V59</f>
        <v>0</v>
      </c>
      <c r="W59" s="4">
        <f>'תקציב אגף ת.ב.ל 2021  '!W59</f>
        <v>800000</v>
      </c>
      <c r="X59" s="4">
        <f>'תקציב אגף ת.ב.ל 2021  '!X59</f>
        <v>0</v>
      </c>
      <c r="Y59" s="4">
        <f>'תקציב אגף ת.ב.ל 2021  '!Y59</f>
        <v>0</v>
      </c>
      <c r="Z59" s="4">
        <f>'תקציב אגף ת.ב.ל 2021  '!Z59</f>
        <v>0</v>
      </c>
      <c r="AA59" s="4">
        <f>'תקציב אגף ת.ב.ל 2021  '!AA59</f>
        <v>0</v>
      </c>
      <c r="AB59" s="280" t="str">
        <f>'תקציב אגף ת.ב.ל 2021  '!AB59</f>
        <v>התאמת מבנים בחט"ב סמדר לבי"ס דמוקרטי.</v>
      </c>
      <c r="AC59" s="280">
        <f>'תקציב אגף ת.ב.ל 2021  '!AC59</f>
        <v>810000</v>
      </c>
      <c r="AF59" s="12"/>
      <c r="AG59" s="12"/>
      <c r="AH59" s="12"/>
      <c r="AI59" s="12"/>
      <c r="AJ59" s="12"/>
    </row>
    <row r="60" spans="1:36" s="5" customFormat="1" ht="56">
      <c r="A60" s="566">
        <f t="shared" si="0"/>
        <v>56</v>
      </c>
      <c r="B60" s="3">
        <f>'תקציב אגף ת.ב.ל 2021  '!B60</f>
        <v>2212</v>
      </c>
      <c r="C60" s="280" t="str">
        <f>'תקציב אגף ת.ב.ל 2021  '!C60</f>
        <v>שדרוג חט"ב זאב</v>
      </c>
      <c r="D60" s="4">
        <f>'תקציב אגף ת.ב.ל 2021  '!D60</f>
        <v>8000000</v>
      </c>
      <c r="E60" s="4">
        <f>'תקציב אגף ת.ב.ל 2021  '!E60</f>
        <v>0</v>
      </c>
      <c r="F60" s="4">
        <f>'תקציב אגף ת.ב.ל 2021  '!F60</f>
        <v>8000000</v>
      </c>
      <c r="G60" s="4">
        <f>'תקציב אגף ת.ב.ל 2021  '!G60</f>
        <v>0</v>
      </c>
      <c r="H60" s="4">
        <f>'תקציב אגף ת.ב.ל 2021  '!H60</f>
        <v>0</v>
      </c>
      <c r="I60" s="4">
        <f>'תקציב אגף ת.ב.ל 2021  '!I60</f>
        <v>0</v>
      </c>
      <c r="J60" s="4">
        <f>'תקציב אגף ת.ב.ל 2021  '!J60</f>
        <v>0</v>
      </c>
      <c r="K60" s="4">
        <f>'תקציב אגף ת.ב.ל 2021  '!K60</f>
        <v>0</v>
      </c>
      <c r="L60" s="4">
        <f>'תקציב אגף ת.ב.ל 2021  '!L60</f>
        <v>0</v>
      </c>
      <c r="M60" s="4">
        <f>'תקציב אגף ת.ב.ל 2021  '!M60</f>
        <v>0</v>
      </c>
      <c r="N60" s="4">
        <f>'תקציב אגף ת.ב.ל 2021  '!N60</f>
        <v>2000000</v>
      </c>
      <c r="O60" s="4">
        <f>'תקציב אגף ת.ב.ל 2021  '!O60</f>
        <v>6000000</v>
      </c>
      <c r="P60" s="4">
        <f>'תקציב אגף ת.ב.ל 2021  '!P60</f>
        <v>0</v>
      </c>
      <c r="Q60" s="4">
        <f>'תקציב אגף ת.ב.ל 2021  '!Q60</f>
        <v>0</v>
      </c>
      <c r="R60" s="4">
        <f>'תקציב אגף ת.ב.ל 2021  '!R60</f>
        <v>0</v>
      </c>
      <c r="S60" s="4">
        <f>'תקציב אגף ת.ב.ל 2021  '!S60</f>
        <v>0</v>
      </c>
      <c r="T60" s="4">
        <f>'תקציב אגף ת.ב.ל 2021  '!T60</f>
        <v>0</v>
      </c>
      <c r="U60" s="4">
        <f>'תקציב אגף ת.ב.ל 2021  '!U60</f>
        <v>2000000</v>
      </c>
      <c r="V60" s="4">
        <f>'תקציב אגף ת.ב.ל 2021  '!V60</f>
        <v>0</v>
      </c>
      <c r="W60" s="4">
        <f>'תקציב אגף ת.ב.ל 2021  '!W60</f>
        <v>2000000</v>
      </c>
      <c r="X60" s="4">
        <f>'תקציב אגף ת.ב.ל 2021  '!X60</f>
        <v>0</v>
      </c>
      <c r="Y60" s="4">
        <f>'תקציב אגף ת.ב.ל 2021  '!Y60</f>
        <v>0</v>
      </c>
      <c r="Z60" s="4">
        <f>'תקציב אגף ת.ב.ל 2021  '!Z60</f>
        <v>0</v>
      </c>
      <c r="AA60" s="4">
        <f>'תקציב אגף ת.ב.ל 2021  '!AA60</f>
        <v>0</v>
      </c>
      <c r="AB60" s="280" t="str">
        <f>'תקציב אגף ת.ב.ל 2021  '!AB60</f>
        <v>עבודות שיפוצים וחזיתות מבנה ביה"ס בשטח של כ - 2,650 מ"ר, עבודות פיתוח ותשתיות מים וביוב. הקמת אולם הספורט החדש בביצוע החב. לפיתוח.</v>
      </c>
      <c r="AC60" s="280">
        <f>'תקציב אגף ת.ב.ל 2021  '!AC60</f>
        <v>810000</v>
      </c>
      <c r="AD60" s="24"/>
      <c r="AE60" s="24"/>
    </row>
    <row r="61" spans="1:36" s="5" customFormat="1" ht="56">
      <c r="A61" s="566">
        <f t="shared" si="0"/>
        <v>57</v>
      </c>
      <c r="B61" s="3">
        <f>'תקציב אגף ת.ב.ל 2021  '!B61</f>
        <v>2213</v>
      </c>
      <c r="C61" s="280" t="str">
        <f>'תקציב אגף ת.ב.ל 2021  '!C61</f>
        <v>הקמת מערכות pv מעל גגות מבני ציבור בהרצליה</v>
      </c>
      <c r="D61" s="4">
        <f>'תקציב אגף ת.ב.ל 2021  '!D61</f>
        <v>7100000</v>
      </c>
      <c r="E61" s="4">
        <f>'תקציב אגף ת.ב.ל 2021  '!E61</f>
        <v>0</v>
      </c>
      <c r="F61" s="4">
        <f>'תקציב אגף ת.ב.ל 2021  '!F61</f>
        <v>7100000</v>
      </c>
      <c r="G61" s="4">
        <f>'תקציב אגף ת.ב.ל 2021  '!G61</f>
        <v>0</v>
      </c>
      <c r="H61" s="4">
        <f>'תקציב אגף ת.ב.ל 2021  '!H61</f>
        <v>0</v>
      </c>
      <c r="I61" s="4">
        <f>'תקציב אגף ת.ב.ל 2021  '!I61</f>
        <v>0</v>
      </c>
      <c r="J61" s="4">
        <f>'תקציב אגף ת.ב.ל 2021  '!J61</f>
        <v>0</v>
      </c>
      <c r="K61" s="4">
        <f>'תקציב אגף ת.ב.ל 2021  '!K61</f>
        <v>0</v>
      </c>
      <c r="L61" s="4">
        <f>'תקציב אגף ת.ב.ל 2021  '!L61</f>
        <v>0</v>
      </c>
      <c r="M61" s="4">
        <f>'תקציב אגף ת.ב.ל 2021  '!M61</f>
        <v>0</v>
      </c>
      <c r="N61" s="4">
        <f>'תקציב אגף ת.ב.ל 2021  '!N61</f>
        <v>7100000</v>
      </c>
      <c r="O61" s="4">
        <f>'תקציב אגף ת.ב.ל 2021  '!O61</f>
        <v>0</v>
      </c>
      <c r="P61" s="4">
        <f>'תקציב אגף ת.ב.ל 2021  '!P61</f>
        <v>0</v>
      </c>
      <c r="Q61" s="4">
        <f>'תקציב אגף ת.ב.ל 2021  '!Q61</f>
        <v>0</v>
      </c>
      <c r="R61" s="4">
        <f>'תקציב אגף ת.ב.ל 2021  '!R61</f>
        <v>0</v>
      </c>
      <c r="S61" s="4">
        <f>'תקציב אגף ת.ב.ל 2021  '!S61</f>
        <v>0</v>
      </c>
      <c r="T61" s="4">
        <f>'תקציב אגף ת.ב.ל 2021  '!T61</f>
        <v>0</v>
      </c>
      <c r="U61" s="4">
        <f>'תקציב אגף ת.ב.ל 2021  '!U61</f>
        <v>7100000</v>
      </c>
      <c r="V61" s="4">
        <f>'תקציב אגף ת.ב.ל 2021  '!V61</f>
        <v>0</v>
      </c>
      <c r="W61" s="4">
        <f>'תקציב אגף ת.ב.ל 2021  '!W61</f>
        <v>0</v>
      </c>
      <c r="X61" s="4">
        <f>'תקציב אגף ת.ב.ל 2021  '!X61</f>
        <v>0</v>
      </c>
      <c r="Y61" s="4">
        <f>'תקציב אגף ת.ב.ל 2021  '!Y61</f>
        <v>0</v>
      </c>
      <c r="Z61" s="4">
        <f>'תקציב אגף ת.ב.ל 2021  '!Z61</f>
        <v>7100000</v>
      </c>
      <c r="AA61" s="4">
        <f>'תקציב אגף ת.ב.ל 2021  '!AA61</f>
        <v>0</v>
      </c>
      <c r="AB61" s="280" t="str">
        <f>'תקציב אגף ת.ב.ל 2021  '!AB61</f>
        <v>הקמת מערכות סולאריות על גגות אולמות ספורט ומתנ"סים 14 במספר עפ"י רשימה. מימון הלוואות במסגרת מיזם  מאושר מפעל הפייס.</v>
      </c>
      <c r="AC61" s="280">
        <f>'תקציב אגף ת.ב.ל 2021  '!AC61</f>
        <v>870000</v>
      </c>
      <c r="AD61" s="24"/>
      <c r="AE61" s="24"/>
    </row>
    <row r="62" spans="1:36" s="5" customFormat="1" ht="30" customHeight="1">
      <c r="A62" s="566">
        <f t="shared" si="0"/>
        <v>58</v>
      </c>
      <c r="B62" s="3">
        <f>'תקציב אגף ת.ב.ל 2021  '!B62</f>
        <v>2214</v>
      </c>
      <c r="C62" s="280" t="str">
        <f>'תקציב אגף ת.ב.ל 2021  '!C62</f>
        <v>רישוי תחנת הדלק העירונית</v>
      </c>
      <c r="D62" s="4">
        <f>'תקציב אגף ת.ב.ל 2021  '!D62</f>
        <v>200000</v>
      </c>
      <c r="E62" s="4">
        <f>'תקציב אגף ת.ב.ל 2021  '!E62</f>
        <v>0</v>
      </c>
      <c r="F62" s="4">
        <f>'תקציב אגף ת.ב.ל 2021  '!F62</f>
        <v>200000</v>
      </c>
      <c r="G62" s="4">
        <f>'תקציב אגף ת.ב.ל 2021  '!G62</f>
        <v>0</v>
      </c>
      <c r="H62" s="4">
        <f>'תקציב אגף ת.ב.ל 2021  '!H62</f>
        <v>0</v>
      </c>
      <c r="I62" s="4">
        <f>'תקציב אגף ת.ב.ל 2021  '!I62</f>
        <v>0</v>
      </c>
      <c r="J62" s="4">
        <f>'תקציב אגף ת.ב.ל 2021  '!J62</f>
        <v>0</v>
      </c>
      <c r="K62" s="4">
        <f>'תקציב אגף ת.ב.ל 2021  '!K62</f>
        <v>0</v>
      </c>
      <c r="L62" s="4">
        <f>'תקציב אגף ת.ב.ל 2021  '!L62</f>
        <v>0</v>
      </c>
      <c r="M62" s="4">
        <f>'תקציב אגף ת.ב.ל 2021  '!M62</f>
        <v>0</v>
      </c>
      <c r="N62" s="4">
        <f>'תקציב אגף ת.ב.ל 2021  '!N62</f>
        <v>200000</v>
      </c>
      <c r="O62" s="4">
        <f>'תקציב אגף ת.ב.ל 2021  '!O62</f>
        <v>0</v>
      </c>
      <c r="P62" s="4">
        <f>'תקציב אגף ת.ב.ל 2021  '!P62</f>
        <v>0</v>
      </c>
      <c r="Q62" s="4">
        <f>'תקציב אגף ת.ב.ל 2021  '!Q62</f>
        <v>0</v>
      </c>
      <c r="R62" s="4">
        <f>'תקציב אגף ת.ב.ל 2021  '!R62</f>
        <v>0</v>
      </c>
      <c r="S62" s="4">
        <f>'תקציב אגף ת.ב.ל 2021  '!S62</f>
        <v>0</v>
      </c>
      <c r="T62" s="4">
        <f>'תקציב אגף ת.ב.ל 2021  '!T62</f>
        <v>0</v>
      </c>
      <c r="U62" s="4">
        <f>'תקציב אגף ת.ב.ל 2021  '!U62</f>
        <v>200000</v>
      </c>
      <c r="V62" s="4">
        <f>'תקציב אגף ת.ב.ל 2021  '!V62</f>
        <v>0</v>
      </c>
      <c r="W62" s="4">
        <f>'תקציב אגף ת.ב.ל 2021  '!W62</f>
        <v>200000</v>
      </c>
      <c r="X62" s="4">
        <f>'תקציב אגף ת.ב.ל 2021  '!X62</f>
        <v>0</v>
      </c>
      <c r="Y62" s="4">
        <f>'תקציב אגף ת.ב.ל 2021  '!Y62</f>
        <v>0</v>
      </c>
      <c r="Z62" s="4">
        <f>'תקציב אגף ת.ב.ל 2021  '!Z62</f>
        <v>0</v>
      </c>
      <c r="AA62" s="4">
        <f>'תקציב אגף ת.ב.ל 2021  '!AA62</f>
        <v>0</v>
      </c>
      <c r="AB62" s="280" t="str">
        <f>'תקציב אגף ת.ב.ל 2021  '!AB62</f>
        <v>עלויות רישוי/היתר לתחנת הדלק העירונית במתחם אגף תבל.</v>
      </c>
      <c r="AC62" s="280">
        <f>'תקציב אגף ת.ב.ל 2021  '!AC62</f>
        <v>930000</v>
      </c>
      <c r="AD62" s="24"/>
      <c r="AE62" s="24"/>
    </row>
    <row r="63" spans="1:36" s="5" customFormat="1" ht="30" customHeight="1">
      <c r="A63" s="566">
        <f t="shared" si="0"/>
        <v>59</v>
      </c>
      <c r="B63" s="3">
        <f>'תקציב אגף ת.ב.ל 2021  '!B63</f>
        <v>2215</v>
      </c>
      <c r="C63" s="280" t="str">
        <f>'תקציב אגף ת.ב.ל 2021  '!C63</f>
        <v>נגישות אקוסטית 2020 מ. החינוך</v>
      </c>
      <c r="D63" s="4">
        <f>'תקציב אגף ת.ב.ל 2021  '!D63</f>
        <v>420000</v>
      </c>
      <c r="E63" s="4">
        <f>'תקציב אגף ת.ב.ל 2021  '!E63</f>
        <v>0</v>
      </c>
      <c r="F63" s="4">
        <f>'תקציב אגף ת.ב.ל 2021  '!F63</f>
        <v>420000</v>
      </c>
      <c r="G63" s="4">
        <f>'תקציב אגף ת.ב.ל 2021  '!G63</f>
        <v>0</v>
      </c>
      <c r="H63" s="4">
        <f>'תקציב אגף ת.ב.ל 2021  '!H63</f>
        <v>0</v>
      </c>
      <c r="I63" s="4">
        <f>'תקציב אגף ת.ב.ל 2021  '!I63</f>
        <v>0</v>
      </c>
      <c r="J63" s="4">
        <f>'תקציב אגף ת.ב.ל 2021  '!J63</f>
        <v>0</v>
      </c>
      <c r="K63" s="4">
        <f>'תקציב אגף ת.ב.ל 2021  '!K63</f>
        <v>0</v>
      </c>
      <c r="L63" s="4">
        <f>'תקציב אגף ת.ב.ל 2021  '!L63</f>
        <v>0</v>
      </c>
      <c r="M63" s="4">
        <f>'תקציב אגף ת.ב.ל 2021  '!M63</f>
        <v>0</v>
      </c>
      <c r="N63" s="4">
        <f>'תקציב אגף ת.ב.ל 2021  '!N63</f>
        <v>420000</v>
      </c>
      <c r="O63" s="4">
        <f>'תקציב אגף ת.ב.ל 2021  '!O63</f>
        <v>0</v>
      </c>
      <c r="P63" s="4">
        <f>'תקציב אגף ת.ב.ל 2021  '!P63</f>
        <v>0</v>
      </c>
      <c r="Q63" s="4">
        <f>'תקציב אגף ת.ב.ל 2021  '!Q63</f>
        <v>0</v>
      </c>
      <c r="R63" s="4">
        <f>'תקציב אגף ת.ב.ל 2021  '!R63</f>
        <v>0</v>
      </c>
      <c r="S63" s="4">
        <f>'תקציב אגף ת.ב.ל 2021  '!S63</f>
        <v>0</v>
      </c>
      <c r="T63" s="4">
        <f>'תקציב אגף ת.ב.ל 2021  '!T63</f>
        <v>0</v>
      </c>
      <c r="U63" s="4">
        <f>'תקציב אגף ת.ב.ל 2021  '!U63</f>
        <v>420000</v>
      </c>
      <c r="V63" s="4">
        <f>'תקציב אגף ת.ב.ל 2021  '!V63</f>
        <v>0</v>
      </c>
      <c r="W63" s="4">
        <f>'תקציב אגף ת.ב.ל 2021  '!W63</f>
        <v>0</v>
      </c>
      <c r="X63" s="4">
        <f>'תקציב אגף ת.ב.ל 2021  '!X63</f>
        <v>0</v>
      </c>
      <c r="Y63" s="4">
        <f>'תקציב אגף ת.ב.ל 2021  '!Y63</f>
        <v>0</v>
      </c>
      <c r="Z63" s="4">
        <f>'תקציב אגף ת.ב.ל 2021  '!Z63</f>
        <v>0</v>
      </c>
      <c r="AA63" s="4">
        <f>'תקציב אגף ת.ב.ל 2021  '!AA63</f>
        <v>420000</v>
      </c>
      <c r="AB63" s="280" t="str">
        <f>'תקציב אגף ת.ב.ל 2021  '!AB63</f>
        <v>נגישות אקוסטית גנ"י וכיתות בי"ס . מימון מ.החינוך.</v>
      </c>
      <c r="AC63" s="280">
        <f>'תקציב אגף ת.ב.ל 2021  '!AC63</f>
        <v>810000</v>
      </c>
      <c r="AD63" s="24"/>
      <c r="AE63" s="24"/>
    </row>
    <row r="64" spans="1:36" s="5" customFormat="1" ht="30" customHeight="1">
      <c r="A64" s="566">
        <f t="shared" si="0"/>
        <v>60</v>
      </c>
      <c r="B64" s="3">
        <f>'תקציב אגף ת.ב.ל 2021  '!B64</f>
        <v>2216</v>
      </c>
      <c r="C64" s="280" t="str">
        <f>'תקציב אגף ת.ב.ל 2021  '!C64</f>
        <v>שיקום מבנה החינוך הימי במרינה</v>
      </c>
      <c r="D64" s="4">
        <f>'תקציב אגף ת.ב.ל 2021  '!D64</f>
        <v>2600000</v>
      </c>
      <c r="E64" s="4">
        <f>'תקציב אגף ת.ב.ל 2021  '!E64</f>
        <v>0</v>
      </c>
      <c r="F64" s="4">
        <f>'תקציב אגף ת.ב.ל 2021  '!F64</f>
        <v>2600000</v>
      </c>
      <c r="G64" s="4">
        <f>'תקציב אגף ת.ב.ל 2021  '!G64</f>
        <v>0</v>
      </c>
      <c r="H64" s="4">
        <f>'תקציב אגף ת.ב.ל 2021  '!H64</f>
        <v>0</v>
      </c>
      <c r="I64" s="4">
        <f>'תקציב אגף ת.ב.ל 2021  '!I64</f>
        <v>0</v>
      </c>
      <c r="J64" s="4">
        <f>'תקציב אגף ת.ב.ל 2021  '!J64</f>
        <v>0</v>
      </c>
      <c r="K64" s="4">
        <f>'תקציב אגף ת.ב.ל 2021  '!K64</f>
        <v>0</v>
      </c>
      <c r="L64" s="4">
        <f>'תקציב אגף ת.ב.ל 2021  '!L64</f>
        <v>0</v>
      </c>
      <c r="M64" s="4">
        <f>'תקציב אגף ת.ב.ל 2021  '!M64</f>
        <v>0</v>
      </c>
      <c r="N64" s="4">
        <f>'תקציב אגף ת.ב.ל 2021  '!N64</f>
        <v>700000</v>
      </c>
      <c r="O64" s="4">
        <f>'תקציב אגף ת.ב.ל 2021  '!O64</f>
        <v>1900000</v>
      </c>
      <c r="P64" s="4">
        <f>'תקציב אגף ת.ב.ל 2021  '!P64</f>
        <v>0</v>
      </c>
      <c r="Q64" s="4">
        <f>'תקציב אגף ת.ב.ל 2021  '!Q64</f>
        <v>0</v>
      </c>
      <c r="R64" s="4">
        <f>'תקציב אגף ת.ב.ל 2021  '!R64</f>
        <v>0</v>
      </c>
      <c r="S64" s="4">
        <f>'תקציב אגף ת.ב.ל 2021  '!S64</f>
        <v>0</v>
      </c>
      <c r="T64" s="4">
        <f>'תקציב אגף ת.ב.ל 2021  '!T64</f>
        <v>0</v>
      </c>
      <c r="U64" s="4">
        <f>'תקציב אגף ת.ב.ל 2021  '!U64</f>
        <v>700000</v>
      </c>
      <c r="V64" s="4">
        <f>'תקציב אגף ת.ב.ל 2021  '!V64</f>
        <v>0</v>
      </c>
      <c r="W64" s="4">
        <f>'תקציב אגף ת.ב.ל 2021  '!W64</f>
        <v>700000</v>
      </c>
      <c r="X64" s="4">
        <f>'תקציב אגף ת.ב.ל 2021  '!X64</f>
        <v>0</v>
      </c>
      <c r="Y64" s="4">
        <f>'תקציב אגף ת.ב.ל 2021  '!Y64</f>
        <v>0</v>
      </c>
      <c r="Z64" s="4">
        <f>'תקציב אגף ת.ב.ל 2021  '!Z64</f>
        <v>0</v>
      </c>
      <c r="AA64" s="4">
        <f>'תקציב אגף ת.ב.ל 2021  '!AA64</f>
        <v>0</v>
      </c>
      <c r="AB64" s="280" t="str">
        <f>'תקציב אגף ת.ב.ל 2021  '!AB64</f>
        <v>שיקום המבנה גג המבנה, שרותים ועבודות פיתוח.</v>
      </c>
      <c r="AC64" s="280">
        <f>'תקציב אגף ת.ב.ל 2021  '!AC64</f>
        <v>810000</v>
      </c>
      <c r="AD64" s="6"/>
    </row>
    <row r="65" spans="1:36" s="426" customFormat="1" ht="30" customHeight="1">
      <c r="A65" s="568">
        <f>A64</f>
        <v>60</v>
      </c>
      <c r="B65" s="346"/>
      <c r="C65" s="33" t="s">
        <v>961</v>
      </c>
      <c r="D65" s="425">
        <f>SUM(D5:D64)</f>
        <v>449596201</v>
      </c>
      <c r="E65" s="425">
        <f t="shared" ref="E65:AA65" si="1">SUM(E5:E64)</f>
        <v>410399105</v>
      </c>
      <c r="F65" s="425">
        <f t="shared" si="1"/>
        <v>39197096</v>
      </c>
      <c r="G65" s="425">
        <f t="shared" si="1"/>
        <v>271815901</v>
      </c>
      <c r="H65" s="425">
        <f t="shared" si="1"/>
        <v>208629485</v>
      </c>
      <c r="I65" s="425">
        <f t="shared" si="1"/>
        <v>12784862</v>
      </c>
      <c r="J65" s="425">
        <f t="shared" si="1"/>
        <v>33564893</v>
      </c>
      <c r="K65" s="425">
        <f t="shared" si="1"/>
        <v>46349755</v>
      </c>
      <c r="L65" s="425">
        <f t="shared" si="1"/>
        <v>254979240</v>
      </c>
      <c r="M65" s="425">
        <f t="shared" si="1"/>
        <v>15956661</v>
      </c>
      <c r="N65" s="425">
        <f t="shared" si="1"/>
        <v>68461300</v>
      </c>
      <c r="O65" s="425">
        <f t="shared" si="1"/>
        <v>110199000</v>
      </c>
      <c r="P65" s="425">
        <f t="shared" si="1"/>
        <v>16836661</v>
      </c>
      <c r="Q65" s="425">
        <f t="shared" si="1"/>
        <v>0</v>
      </c>
      <c r="R65" s="425">
        <f t="shared" si="1"/>
        <v>0</v>
      </c>
      <c r="S65" s="425">
        <f t="shared" si="1"/>
        <v>0</v>
      </c>
      <c r="T65" s="425">
        <f t="shared" si="1"/>
        <v>880000</v>
      </c>
      <c r="U65" s="425">
        <f t="shared" si="1"/>
        <v>67581300</v>
      </c>
      <c r="V65" s="425">
        <f t="shared" si="1"/>
        <v>22191300</v>
      </c>
      <c r="W65" s="425">
        <f t="shared" si="1"/>
        <v>24724113</v>
      </c>
      <c r="X65" s="425">
        <f t="shared" si="1"/>
        <v>0</v>
      </c>
      <c r="Y65" s="425">
        <f t="shared" si="1"/>
        <v>0</v>
      </c>
      <c r="Z65" s="425">
        <f t="shared" si="1"/>
        <v>7100000</v>
      </c>
      <c r="AA65" s="425">
        <f t="shared" si="1"/>
        <v>13565887</v>
      </c>
      <c r="AB65" s="425"/>
      <c r="AC65" s="346"/>
      <c r="AD65" s="24"/>
      <c r="AE65" s="24"/>
    </row>
    <row r="66" spans="1:36" hidden="1">
      <c r="A66" s="12"/>
      <c r="D66" s="12"/>
      <c r="E66" s="12"/>
      <c r="F66" s="12"/>
      <c r="G66" s="12"/>
      <c r="H66" s="12"/>
      <c r="I66" s="12"/>
      <c r="J66" s="12"/>
      <c r="K66" s="12"/>
      <c r="L66" s="14">
        <f>K65+H65</f>
        <v>254979240</v>
      </c>
      <c r="M66" s="14">
        <f>P65+S65-T65</f>
        <v>15956661</v>
      </c>
      <c r="N66" s="21"/>
      <c r="O66" s="21"/>
      <c r="P66" s="21"/>
      <c r="Q66" s="21"/>
      <c r="R66" s="21"/>
      <c r="S66" s="21"/>
      <c r="T66" s="21"/>
      <c r="U66" s="17"/>
    </row>
    <row r="67" spans="1:36">
      <c r="A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21"/>
      <c r="O67" s="21"/>
      <c r="P67" s="21"/>
      <c r="Q67" s="21"/>
      <c r="R67" s="21"/>
      <c r="S67" s="21"/>
      <c r="T67" s="21"/>
      <c r="U67" s="17"/>
    </row>
    <row r="68" spans="1:36">
      <c r="A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21"/>
      <c r="O68" s="21"/>
      <c r="P68" s="21"/>
      <c r="Q68" s="21"/>
      <c r="R68" s="21"/>
      <c r="S68" s="21"/>
      <c r="T68" s="21"/>
      <c r="U68" s="17"/>
    </row>
    <row r="70" spans="1:36">
      <c r="A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S70" s="34"/>
    </row>
    <row r="71" spans="1:36">
      <c r="A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S71" s="34"/>
    </row>
    <row r="72" spans="1:36">
      <c r="A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S72" s="34"/>
    </row>
    <row r="73" spans="1:36">
      <c r="A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S73" s="34"/>
      <c r="AJ73" s="21"/>
    </row>
    <row r="74" spans="1:36">
      <c r="A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S74" s="34"/>
    </row>
    <row r="76" spans="1:36">
      <c r="A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S76" s="34"/>
    </row>
    <row r="77" spans="1:36">
      <c r="A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AJ77" s="21"/>
    </row>
    <row r="78" spans="1:36">
      <c r="A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T78" s="12"/>
      <c r="U78" s="14"/>
    </row>
    <row r="79" spans="1:36">
      <c r="A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4"/>
      <c r="AB79" s="12"/>
      <c r="AF79" s="12"/>
      <c r="AG79" s="12"/>
      <c r="AH79" s="12"/>
      <c r="AI79" s="12"/>
      <c r="AJ79" s="12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232" priority="2" operator="equal">
      <formula>0</formula>
    </cfRule>
  </conditionalFormatting>
  <conditionalFormatting sqref="AD64">
    <cfRule type="cellIs" dxfId="23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90"/>
  <sheetViews>
    <sheetView showZeros="0" rightToLeft="1" zoomScaleNormal="100" workbookViewId="0">
      <pane xSplit="5" ySplit="4" topLeftCell="F44" activePane="bottomRight" state="frozen"/>
      <selection activeCell="C44" sqref="C44"/>
      <selection pane="topRight" activeCell="C44" sqref="C44"/>
      <selection pane="bottomLeft" activeCell="C44" sqref="C44"/>
      <selection pane="bottomRight" activeCell="A44" sqref="A44:XFD44"/>
    </sheetView>
  </sheetViews>
  <sheetFormatPr defaultColWidth="9.1796875" defaultRowHeight="14"/>
  <cols>
    <col min="1" max="1" width="3.81640625" style="29" customWidth="1"/>
    <col min="2" max="2" width="4.81640625" style="12" customWidth="1"/>
    <col min="3" max="3" width="20.6328125" style="12" customWidth="1"/>
    <col min="4" max="4" width="10.08984375" style="14" customWidth="1"/>
    <col min="5" max="5" width="10" style="14" hidden="1" customWidth="1"/>
    <col min="6" max="6" width="9.36328125" style="14" hidden="1" customWidth="1"/>
    <col min="7" max="7" width="12.453125" style="14" hidden="1" customWidth="1"/>
    <col min="8" max="8" width="12.81640625" style="14" hidden="1" customWidth="1"/>
    <col min="9" max="9" width="10.81640625" style="14" hidden="1" customWidth="1"/>
    <col min="10" max="10" width="12.81640625" style="14" hidden="1" customWidth="1"/>
    <col min="11" max="11" width="13" style="14" hidden="1" customWidth="1"/>
    <col min="12" max="12" width="10.1796875" style="14" customWidth="1"/>
    <col min="13" max="13" width="9" style="14" customWidth="1"/>
    <col min="14" max="14" width="9.36328125" style="14" customWidth="1"/>
    <col min="15" max="15" width="10.36328125" style="14" customWidth="1"/>
    <col min="16" max="16" width="16.1796875" style="14" hidden="1" customWidth="1"/>
    <col min="17" max="19" width="9.1796875" style="14" hidden="1" customWidth="1"/>
    <col min="20" max="20" width="7.08984375" style="14" customWidth="1"/>
    <col min="21" max="22" width="9.36328125" style="12" customWidth="1"/>
    <col min="23" max="23" width="9.1796875" style="12" customWidth="1"/>
    <col min="24" max="25" width="9.1796875" style="12" hidden="1" customWidth="1"/>
    <col min="26" max="26" width="9.1796875" style="12" customWidth="1"/>
    <col min="27" max="27" width="9.36328125" style="12" customWidth="1"/>
    <col min="28" max="28" width="29.1796875" style="18" customWidth="1"/>
    <col min="29" max="29" width="7.81640625" style="12" hidden="1" customWidth="1"/>
    <col min="30" max="30" width="10.1796875" style="24" customWidth="1"/>
    <col min="31" max="31" width="9.1796875" style="24" customWidth="1"/>
    <col min="32" max="33" width="9.1796875" style="17" customWidth="1"/>
    <col min="34" max="34" width="2.1796875" style="17" customWidth="1"/>
    <col min="35" max="35" width="9.1796875" style="17" customWidth="1"/>
    <col min="36" max="36" width="10.1796875" style="17" customWidth="1"/>
    <col min="37" max="37" width="10.1796875" style="12" customWidth="1"/>
    <col min="38" max="16384" width="9.1796875" style="12"/>
  </cols>
  <sheetData>
    <row r="1" spans="1:41" s="284" customFormat="1" ht="18">
      <c r="A1" s="282"/>
      <c r="B1" s="562"/>
      <c r="C1" s="56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D1" s="24"/>
      <c r="AE1" s="24"/>
    </row>
    <row r="2" spans="1:41" s="166" customFormat="1" ht="18">
      <c r="A2" s="282" t="s">
        <v>189</v>
      </c>
      <c r="B2" s="562"/>
      <c r="C2" s="56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D2" s="24"/>
      <c r="AE2" s="24"/>
    </row>
    <row r="3" spans="1:41" ht="21.65" customHeight="1">
      <c r="B3" s="563"/>
      <c r="C3" s="563"/>
    </row>
    <row r="4" spans="1:41" s="24" customFormat="1" ht="84">
      <c r="A4" s="564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559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565" t="s">
        <v>344</v>
      </c>
      <c r="AC4" s="16" t="s">
        <v>16</v>
      </c>
    </row>
    <row r="5" spans="1:41" s="5" customFormat="1" ht="30" customHeight="1">
      <c r="A5" s="566">
        <v>1</v>
      </c>
      <c r="B5" s="3">
        <f>'תקציב אגף ת.ב.ל 2021  '!B41</f>
        <v>2095</v>
      </c>
      <c r="C5" s="280" t="str">
        <f>'תקציב אגף ת.ב.ל 2021  '!C41</f>
        <v>ספירת מלאי וסימון הרכוש העירוני</v>
      </c>
      <c r="D5" s="4">
        <f>'תקציב אגף ת.ב.ל 2021  '!D41</f>
        <v>160000</v>
      </c>
      <c r="E5" s="3">
        <f>'תקציב אגף ת.ב.ל 2021  '!E41</f>
        <v>160000</v>
      </c>
      <c r="F5" s="3">
        <f>'תקציב אגף ת.ב.ל 2021  '!F41</f>
        <v>0</v>
      </c>
      <c r="G5" s="3">
        <f>'תקציב אגף ת.ב.ל 2021  '!G41</f>
        <v>160000</v>
      </c>
      <c r="H5" s="3">
        <f>'תקציב אגף ת.ב.ל 2021  '!H41</f>
        <v>29250</v>
      </c>
      <c r="I5" s="3">
        <f>'תקציב אגף ת.ב.ל 2021  '!I41</f>
        <v>0</v>
      </c>
      <c r="J5" s="3">
        <f>'תקציב אגף ת.ב.ל 2021  '!J41</f>
        <v>0</v>
      </c>
      <c r="K5" s="3">
        <f>'תקציב אגף ת.ב.ל 2021  '!K41</f>
        <v>0</v>
      </c>
      <c r="L5" s="4">
        <f>'תקציב אגף ת.ב.ל 2021  '!L41</f>
        <v>29250</v>
      </c>
      <c r="M5" s="4">
        <f>'תקציב אגף ת.ב.ל 2021  '!M41</f>
        <v>130750</v>
      </c>
      <c r="N5" s="4">
        <f>'תקציב אגף ת.ב.ל 2021  '!N41</f>
        <v>0</v>
      </c>
      <c r="O5" s="4">
        <f>'תקציב אגף ת.ב.ל 2021  '!O41</f>
        <v>0</v>
      </c>
      <c r="P5" s="4">
        <f>'תקציב אגף ת.ב.ל 2021  '!P41</f>
        <v>130750</v>
      </c>
      <c r="Q5" s="4">
        <f>'תקציב אגף ת.ב.ל 2021  '!Q41</f>
        <v>0</v>
      </c>
      <c r="R5" s="4">
        <f>'תקציב אגף ת.ב.ל 2021  '!R41</f>
        <v>0</v>
      </c>
      <c r="S5" s="4">
        <f>'תקציב אגף ת.ב.ל 2021  '!S41</f>
        <v>0</v>
      </c>
      <c r="T5" s="4">
        <f>'תקציב אגף ת.ב.ל 2021  '!T41</f>
        <v>0</v>
      </c>
      <c r="U5" s="4">
        <f>'תקציב אגף ת.ב.ל 2021  '!U41</f>
        <v>0</v>
      </c>
      <c r="V5" s="4">
        <f>'תקציב אגף ת.ב.ל 2021  '!V41</f>
        <v>0</v>
      </c>
      <c r="W5" s="4">
        <f>'תקציב אגף ת.ב.ל 2021  '!W41</f>
        <v>0</v>
      </c>
      <c r="X5" s="4">
        <f>'תקציב אגף ת.ב.ל 2021  '!X41</f>
        <v>0</v>
      </c>
      <c r="Y5" s="4">
        <f>'תקציב אגף ת.ב.ל 2021  '!Y41</f>
        <v>0</v>
      </c>
      <c r="Z5" s="4">
        <f>'תקציב אגף ת.ב.ל 2021  '!Z41</f>
        <v>0</v>
      </c>
      <c r="AA5" s="4">
        <f>'תקציב אגף ת.ב.ל 2021  '!AA41</f>
        <v>0</v>
      </c>
      <c r="AB5" s="280" t="str">
        <f>'תקציב אגף ת.ב.ל 2021  '!AB41</f>
        <v xml:space="preserve">ספירת רכוש במוסדות חינוך ויחידות עירוניות וסימון הרכוש העירוני. </v>
      </c>
      <c r="AC5" s="3">
        <f>'תקציב אגף ת.ב.ל 2021  '!AC41</f>
        <v>610000</v>
      </c>
      <c r="AD5" s="24"/>
      <c r="AE5" s="24"/>
      <c r="AF5" s="23"/>
      <c r="AG5" s="23"/>
      <c r="AH5" s="23"/>
      <c r="AI5" s="23"/>
      <c r="AJ5" s="22"/>
    </row>
    <row r="6" spans="1:41" s="70" customFormat="1" ht="30" customHeight="1">
      <c r="A6" s="632"/>
      <c r="B6" s="33"/>
      <c r="C6" s="412" t="s">
        <v>1493</v>
      </c>
      <c r="D6" s="73">
        <f>SUM(D5)</f>
        <v>160000</v>
      </c>
      <c r="E6" s="73">
        <f t="shared" ref="E6:AA6" si="0">SUM(E5)</f>
        <v>160000</v>
      </c>
      <c r="F6" s="73">
        <f t="shared" si="0"/>
        <v>0</v>
      </c>
      <c r="G6" s="73">
        <f t="shared" si="0"/>
        <v>160000</v>
      </c>
      <c r="H6" s="73">
        <f t="shared" si="0"/>
        <v>29250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29250</v>
      </c>
      <c r="M6" s="73">
        <f t="shared" si="0"/>
        <v>130750</v>
      </c>
      <c r="N6" s="73">
        <f t="shared" si="0"/>
        <v>0</v>
      </c>
      <c r="O6" s="73">
        <f t="shared" si="0"/>
        <v>0</v>
      </c>
      <c r="P6" s="73">
        <f t="shared" si="0"/>
        <v>130750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73">
        <f t="shared" si="0"/>
        <v>0</v>
      </c>
      <c r="AA6" s="73">
        <f t="shared" si="0"/>
        <v>0</v>
      </c>
      <c r="AB6" s="412"/>
      <c r="AC6" s="33"/>
      <c r="AD6" s="349"/>
      <c r="AE6" s="349"/>
      <c r="AF6" s="266"/>
      <c r="AG6" s="266"/>
      <c r="AH6" s="266"/>
      <c r="AI6" s="266"/>
      <c r="AJ6" s="265"/>
    </row>
    <row r="7" spans="1:41" s="567" customFormat="1" ht="42">
      <c r="A7" s="566">
        <f>A5+1</f>
        <v>2</v>
      </c>
      <c r="B7" s="3">
        <f>'תקציב אגף ת.ב.ל 2021  '!B51</f>
        <v>2156</v>
      </c>
      <c r="C7" s="280" t="str">
        <f>'תקציב אגף ת.ב.ל 2021  '!C51</f>
        <v>הקמת יחידת חילוץ הצטיידות</v>
      </c>
      <c r="D7" s="4">
        <f>'תקציב אגף ת.ב.ל 2021  '!D51</f>
        <v>1600000</v>
      </c>
      <c r="E7" s="3">
        <f>'תקציב אגף ת.ב.ל 2021  '!E51</f>
        <v>1600000</v>
      </c>
      <c r="F7" s="3">
        <f>'תקציב אגף ת.ב.ל 2021  '!F51</f>
        <v>0</v>
      </c>
      <c r="G7" s="3">
        <f>'תקציב אגף ת.ב.ל 2021  '!G51</f>
        <v>0</v>
      </c>
      <c r="H7" s="3">
        <f>'תקציב אגף ת.ב.ל 2021  '!H51</f>
        <v>0</v>
      </c>
      <c r="I7" s="3">
        <f>'תקציב אגף ת.ב.ל 2021  '!I51</f>
        <v>0</v>
      </c>
      <c r="J7" s="3">
        <f>'תקציב אגף ת.ב.ל 2021  '!J51</f>
        <v>0</v>
      </c>
      <c r="K7" s="3">
        <f>'תקציב אגף ת.ב.ל 2021  '!K51</f>
        <v>0</v>
      </c>
      <c r="L7" s="4">
        <f>'תקציב אגף ת.ב.ל 2021  '!L51</f>
        <v>0</v>
      </c>
      <c r="M7" s="4">
        <f>'תקציב אגף ת.ב.ל 2021  '!M51</f>
        <v>0</v>
      </c>
      <c r="N7" s="4">
        <f>'תקציב אגף ת.ב.ל 2021  '!N51</f>
        <v>100000</v>
      </c>
      <c r="O7" s="4">
        <f>'תקציב אגף ת.ב.ל 2021  '!O51</f>
        <v>1500000</v>
      </c>
      <c r="P7" s="4">
        <f>'תקציב אגף ת.ב.ל 2021  '!P51</f>
        <v>0</v>
      </c>
      <c r="Q7" s="4">
        <f>'תקציב אגף ת.ב.ל 2021  '!Q51</f>
        <v>0</v>
      </c>
      <c r="R7" s="4">
        <f>'תקציב אגף ת.ב.ל 2021  '!R51</f>
        <v>0</v>
      </c>
      <c r="S7" s="4">
        <f>'תקציב אגף ת.ב.ל 2021  '!S51</f>
        <v>0</v>
      </c>
      <c r="T7" s="4">
        <f>'תקציב אגף ת.ב.ל 2021  '!T51</f>
        <v>0</v>
      </c>
      <c r="U7" s="4">
        <f>'תקציב אגף ת.ב.ל 2021  '!U51</f>
        <v>100000</v>
      </c>
      <c r="V7" s="4">
        <f>'תקציב אגף ת.ב.ל 2021  '!V51</f>
        <v>0</v>
      </c>
      <c r="W7" s="4">
        <f>'תקציב אגף ת.ב.ל 2021  '!W51</f>
        <v>100000</v>
      </c>
      <c r="X7" s="4">
        <f>'תקציב אגף ת.ב.ל 2021  '!X51</f>
        <v>0</v>
      </c>
      <c r="Y7" s="4">
        <f>'תקציב אגף ת.ב.ל 2021  '!Y51</f>
        <v>0</v>
      </c>
      <c r="Z7" s="4">
        <f>'תקציב אגף ת.ב.ל 2021  '!Z51</f>
        <v>0</v>
      </c>
      <c r="AA7" s="4">
        <f>'תקציב אגף ת.ב.ל 2021  '!AA51</f>
        <v>0</v>
      </c>
      <c r="AB7" s="280" t="str">
        <f>'תקציב אגף ת.ב.ל 2021  '!AB51</f>
        <v>הצטיידות  של יחידת חילוץ מתנדבים שעברו הכשרה בפיקוד העורף לתפקוד במצבי חרום .</v>
      </c>
      <c r="AC7" s="3">
        <f>'תקציב אגף ת.ב.ל 2021  '!AC51</f>
        <v>720000</v>
      </c>
      <c r="AD7" s="24"/>
      <c r="AE7" s="24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s="5" customFormat="1" ht="42">
      <c r="A8" s="566">
        <f t="shared" ref="A8:A74" si="1">A7+1</f>
        <v>3</v>
      </c>
      <c r="B8" s="3">
        <f>'תקציב אגף ת.ב.ל 2021  '!B56</f>
        <v>2183</v>
      </c>
      <c r="C8" s="280" t="str">
        <f>'תקציב אגף ת.ב.ל 2021  '!C56</f>
        <v>טיפול דחוף תקרת בטון מבנה סוקולוב 32</v>
      </c>
      <c r="D8" s="4">
        <f>'תקציב אגף ת.ב.ל 2021  '!D56</f>
        <v>800000</v>
      </c>
      <c r="E8" s="3">
        <f>'תקציב אגף ת.ב.ל 2021  '!E56</f>
        <v>800000</v>
      </c>
      <c r="F8" s="3">
        <f>'תקציב אגף ת.ב.ל 2021  '!F56</f>
        <v>0</v>
      </c>
      <c r="G8" s="3">
        <f>'תקציב אגף ת.ב.ל 2021  '!G56</f>
        <v>800000</v>
      </c>
      <c r="H8" s="3">
        <f>'תקציב אגף ת.ב.ל 2021  '!H56</f>
        <v>0</v>
      </c>
      <c r="I8" s="3">
        <f>'תקציב אגף ת.ב.ל 2021  '!I56</f>
        <v>0</v>
      </c>
      <c r="J8" s="3">
        <f>'תקציב אגף ת.ב.ל 2021  '!J56</f>
        <v>15701</v>
      </c>
      <c r="K8" s="3">
        <f>'תקציב אגף ת.ב.ל 2021  '!K56</f>
        <v>15701</v>
      </c>
      <c r="L8" s="4">
        <f>'תקציב אגף ת.ב.ל 2021  '!L56</f>
        <v>15701</v>
      </c>
      <c r="M8" s="4">
        <f>'תקציב אגף ת.ב.ל 2021  '!M56</f>
        <v>4299</v>
      </c>
      <c r="N8" s="4">
        <f>'תקציב אגף ת.ב.ל 2021  '!N56</f>
        <v>0</v>
      </c>
      <c r="O8" s="4">
        <f>'תקציב אגף ת.ב.ל 2021  '!O56</f>
        <v>780000</v>
      </c>
      <c r="P8" s="4">
        <f>'תקציב אגף ת.ב.ל 2021  '!P56</f>
        <v>784299</v>
      </c>
      <c r="Q8" s="4">
        <f>'תקציב אגף ת.ב.ל 2021  '!Q56</f>
        <v>0</v>
      </c>
      <c r="R8" s="4">
        <f>'תקציב אגף ת.ב.ל 2021  '!R56</f>
        <v>0</v>
      </c>
      <c r="S8" s="4">
        <f>'תקציב אגף ת.ב.ל 2021  '!S56</f>
        <v>0</v>
      </c>
      <c r="T8" s="4">
        <f>'תקציב אגף ת.ב.ל 2021  '!T56</f>
        <v>780000</v>
      </c>
      <c r="U8" s="4">
        <f>'תקציב אגף ת.ב.ל 2021  '!U56</f>
        <v>-780000</v>
      </c>
      <c r="V8" s="4">
        <f>'תקציב אגף ת.ב.ל 2021  '!V56</f>
        <v>0</v>
      </c>
      <c r="W8" s="4">
        <f>'תקציב אגף ת.ב.ל 2021  '!W56</f>
        <v>-780000</v>
      </c>
      <c r="X8" s="4">
        <f>'תקציב אגף ת.ב.ל 2021  '!X56</f>
        <v>0</v>
      </c>
      <c r="Y8" s="4">
        <f>'תקציב אגף ת.ב.ל 2021  '!Y56</f>
        <v>0</v>
      </c>
      <c r="Z8" s="4">
        <f>'תקציב אגף ת.ב.ל 2021  '!Z56</f>
        <v>0</v>
      </c>
      <c r="AA8" s="4">
        <f>'תקציב אגף ת.ב.ל 2021  '!AA56</f>
        <v>0</v>
      </c>
      <c r="AB8" s="280" t="str">
        <f>'תקציב אגף ת.ב.ל 2021  '!AB56</f>
        <v>טיפול דחוף בתקרת בטון במבנה מסוכן בסוקולוב 32. לא נדרש. התב"ר לסגירה.</v>
      </c>
      <c r="AC8" s="3">
        <f>'תקציב אגף ת.ב.ל 2021  '!AC56</f>
        <v>725000</v>
      </c>
      <c r="AD8" s="24"/>
      <c r="AE8" s="24"/>
    </row>
    <row r="9" spans="1:41" s="70" customFormat="1">
      <c r="A9" s="632"/>
      <c r="B9" s="33"/>
      <c r="C9" s="412" t="s">
        <v>1494</v>
      </c>
      <c r="D9" s="73">
        <f>SUM(D7:D8)</f>
        <v>2400000</v>
      </c>
      <c r="E9" s="73">
        <f t="shared" ref="E9:AA9" si="2">SUM(E7:E8)</f>
        <v>2400000</v>
      </c>
      <c r="F9" s="73">
        <f t="shared" si="2"/>
        <v>0</v>
      </c>
      <c r="G9" s="73">
        <f t="shared" si="2"/>
        <v>800000</v>
      </c>
      <c r="H9" s="73">
        <f t="shared" si="2"/>
        <v>0</v>
      </c>
      <c r="I9" s="73">
        <f t="shared" si="2"/>
        <v>0</v>
      </c>
      <c r="J9" s="73">
        <f t="shared" si="2"/>
        <v>15701</v>
      </c>
      <c r="K9" s="73">
        <f t="shared" si="2"/>
        <v>15701</v>
      </c>
      <c r="L9" s="73">
        <f t="shared" si="2"/>
        <v>15701</v>
      </c>
      <c r="M9" s="73">
        <f t="shared" si="2"/>
        <v>4299</v>
      </c>
      <c r="N9" s="73">
        <f t="shared" si="2"/>
        <v>100000</v>
      </c>
      <c r="O9" s="73">
        <f t="shared" si="2"/>
        <v>2280000</v>
      </c>
      <c r="P9" s="73">
        <f t="shared" si="2"/>
        <v>784299</v>
      </c>
      <c r="Q9" s="73">
        <f t="shared" si="2"/>
        <v>0</v>
      </c>
      <c r="R9" s="73">
        <f t="shared" si="2"/>
        <v>0</v>
      </c>
      <c r="S9" s="73">
        <f t="shared" si="2"/>
        <v>0</v>
      </c>
      <c r="T9" s="73">
        <f t="shared" si="2"/>
        <v>780000</v>
      </c>
      <c r="U9" s="73">
        <f t="shared" si="2"/>
        <v>-680000</v>
      </c>
      <c r="V9" s="73">
        <f t="shared" si="2"/>
        <v>0</v>
      </c>
      <c r="W9" s="73">
        <f t="shared" si="2"/>
        <v>-680000</v>
      </c>
      <c r="X9" s="73">
        <f t="shared" si="2"/>
        <v>0</v>
      </c>
      <c r="Y9" s="73">
        <f t="shared" si="2"/>
        <v>0</v>
      </c>
      <c r="Z9" s="73">
        <f t="shared" si="2"/>
        <v>0</v>
      </c>
      <c r="AA9" s="73">
        <f t="shared" si="2"/>
        <v>0</v>
      </c>
      <c r="AB9" s="412"/>
      <c r="AC9" s="33"/>
      <c r="AD9" s="349"/>
      <c r="AE9" s="349"/>
    </row>
    <row r="10" spans="1:41" s="5" customFormat="1">
      <c r="A10" s="566">
        <f>A8+1</f>
        <v>4</v>
      </c>
      <c r="B10" s="3">
        <f>'תקציב אגף ת.ב.ל 2021  '!B5</f>
        <v>1247</v>
      </c>
      <c r="C10" s="280" t="str">
        <f>'תקציב אגף ת.ב.ל 2021  '!C5</f>
        <v>תכנון ייעוץ הנדסי "סל"</v>
      </c>
      <c r="D10" s="4">
        <f>'תקציב אגף ת.ב.ל 2021  '!D5</f>
        <v>9500000</v>
      </c>
      <c r="E10" s="3">
        <f>'תקציב אגף ת.ב.ל 2021  '!E5</f>
        <v>9500000</v>
      </c>
      <c r="F10" s="3">
        <f>'תקציב אגף ת.ב.ל 2021  '!F5</f>
        <v>0</v>
      </c>
      <c r="G10" s="3">
        <f>'תקציב אגף ת.ב.ל 2021  '!G5</f>
        <v>9050000</v>
      </c>
      <c r="H10" s="3">
        <f>'תקציב אגף ת.ב.ל 2021  '!H5</f>
        <v>8420262</v>
      </c>
      <c r="I10" s="3">
        <f>'תקציב אגף ת.ב.ל 2021  '!I5</f>
        <v>0</v>
      </c>
      <c r="J10" s="3">
        <f>'תקציב אגף ת.ב.ל 2021  '!J5</f>
        <v>528321</v>
      </c>
      <c r="K10" s="3">
        <f>'תקציב אגף ת.ב.ל 2021  '!K5</f>
        <v>528321</v>
      </c>
      <c r="L10" s="4">
        <f>'תקציב אגף ת.ב.ל 2021  '!L5</f>
        <v>8948583</v>
      </c>
      <c r="M10" s="4">
        <f>'תקציב אגף ת.ב.ל 2021  '!M5</f>
        <v>101417</v>
      </c>
      <c r="N10" s="4">
        <f>'תקציב אגף ת.ב.ל 2021  '!N5</f>
        <v>200000</v>
      </c>
      <c r="O10" s="4">
        <f>'תקציב אגף ת.ב.ל 2021  '!O5</f>
        <v>250000</v>
      </c>
      <c r="P10" s="4">
        <f>'תקציב אגף ת.ב.ל 2021  '!P5</f>
        <v>101417</v>
      </c>
      <c r="Q10" s="4">
        <f>'תקציב אגף ת.ב.ל 2021  '!Q5</f>
        <v>0</v>
      </c>
      <c r="R10" s="4">
        <f>'תקציב אגף ת.ב.ל 2021  '!R5</f>
        <v>0</v>
      </c>
      <c r="S10" s="4">
        <f>'תקציב אגף ת.ב.ל 2021  '!S5</f>
        <v>0</v>
      </c>
      <c r="T10" s="4">
        <f>'תקציב אגף ת.ב.ל 2021  '!T5</f>
        <v>0</v>
      </c>
      <c r="U10" s="4">
        <f>'תקציב אגף ת.ב.ל 2021  '!U5</f>
        <v>200000</v>
      </c>
      <c r="V10" s="4">
        <f>'תקציב אגף ת.ב.ל 2021  '!V5</f>
        <v>0</v>
      </c>
      <c r="W10" s="4">
        <f>'תקציב אגף ת.ב.ל 2021  '!W5</f>
        <v>200000</v>
      </c>
      <c r="X10" s="4">
        <f>'תקציב אגף ת.ב.ל 2021  '!X5</f>
        <v>0</v>
      </c>
      <c r="Y10" s="4">
        <f>'תקציב אגף ת.ב.ל 2021  '!Y5</f>
        <v>0</v>
      </c>
      <c r="Z10" s="4">
        <f>'תקציב אגף ת.ב.ל 2021  '!Z5</f>
        <v>0</v>
      </c>
      <c r="AA10" s="4">
        <f>'תקציב אגף ת.ב.ל 2021  '!AA5</f>
        <v>0</v>
      </c>
      <c r="AB10" s="280" t="str">
        <f>'תקציב אגף ת.ב.ל 2021  '!AB5</f>
        <v xml:space="preserve">סל לייעוץ ותכנון הנדסי. </v>
      </c>
      <c r="AC10" s="3">
        <f>'תקציב אגף ת.ב.ל 2021  '!AC5</f>
        <v>732000</v>
      </c>
      <c r="AD10" s="24"/>
      <c r="AE10" s="24"/>
      <c r="AF10" s="23"/>
      <c r="AG10" s="23"/>
      <c r="AH10" s="23"/>
      <c r="AI10" s="23"/>
      <c r="AJ10" s="22"/>
    </row>
    <row r="11" spans="1:41" s="70" customFormat="1">
      <c r="A11" s="632"/>
      <c r="B11" s="33"/>
      <c r="C11" s="412" t="s">
        <v>1476</v>
      </c>
      <c r="D11" s="73">
        <f>SUM(D10)</f>
        <v>9500000</v>
      </c>
      <c r="E11" s="73">
        <f t="shared" ref="E11:AA11" si="3">SUM(E10)</f>
        <v>9500000</v>
      </c>
      <c r="F11" s="73">
        <f t="shared" si="3"/>
        <v>0</v>
      </c>
      <c r="G11" s="73">
        <f t="shared" si="3"/>
        <v>9050000</v>
      </c>
      <c r="H11" s="73">
        <f t="shared" si="3"/>
        <v>8420262</v>
      </c>
      <c r="I11" s="73">
        <f t="shared" si="3"/>
        <v>0</v>
      </c>
      <c r="J11" s="73">
        <f t="shared" si="3"/>
        <v>528321</v>
      </c>
      <c r="K11" s="73">
        <f t="shared" si="3"/>
        <v>528321</v>
      </c>
      <c r="L11" s="73">
        <f t="shared" si="3"/>
        <v>8948583</v>
      </c>
      <c r="M11" s="73">
        <f t="shared" si="3"/>
        <v>101417</v>
      </c>
      <c r="N11" s="73">
        <f t="shared" si="3"/>
        <v>200000</v>
      </c>
      <c r="O11" s="73">
        <f t="shared" si="3"/>
        <v>250000</v>
      </c>
      <c r="P11" s="73">
        <f t="shared" si="3"/>
        <v>101417</v>
      </c>
      <c r="Q11" s="73">
        <f t="shared" si="3"/>
        <v>0</v>
      </c>
      <c r="R11" s="73">
        <f t="shared" si="3"/>
        <v>0</v>
      </c>
      <c r="S11" s="73">
        <f t="shared" si="3"/>
        <v>0</v>
      </c>
      <c r="T11" s="73">
        <f t="shared" si="3"/>
        <v>0</v>
      </c>
      <c r="U11" s="73">
        <f t="shared" si="3"/>
        <v>200000</v>
      </c>
      <c r="V11" s="73">
        <f t="shared" si="3"/>
        <v>0</v>
      </c>
      <c r="W11" s="73">
        <f t="shared" si="3"/>
        <v>200000</v>
      </c>
      <c r="X11" s="73">
        <f t="shared" si="3"/>
        <v>0</v>
      </c>
      <c r="Y11" s="73">
        <f t="shared" si="3"/>
        <v>0</v>
      </c>
      <c r="Z11" s="73">
        <f t="shared" si="3"/>
        <v>0</v>
      </c>
      <c r="AA11" s="73">
        <f t="shared" si="3"/>
        <v>0</v>
      </c>
      <c r="AB11" s="412"/>
      <c r="AC11" s="33"/>
      <c r="AD11" s="349"/>
      <c r="AE11" s="349"/>
      <c r="AF11" s="266"/>
      <c r="AG11" s="266"/>
      <c r="AH11" s="266"/>
      <c r="AI11" s="266"/>
      <c r="AJ11" s="265"/>
    </row>
    <row r="12" spans="1:41" s="5" customFormat="1" ht="56">
      <c r="A12" s="566">
        <f>A10+1</f>
        <v>5</v>
      </c>
      <c r="B12" s="3">
        <f>'תקציב אגף ת.ב.ל 2021  '!B12</f>
        <v>1489</v>
      </c>
      <c r="C12" s="280" t="str">
        <f>'תקציב אגף ת.ב.ל 2021  '!C12</f>
        <v>שדרוג כבישים מדרכות תשתיות</v>
      </c>
      <c r="D12" s="4">
        <f>'תקציב אגף ת.ב.ל 2021  '!D12</f>
        <v>54000000</v>
      </c>
      <c r="E12" s="3">
        <f>'תקציב אגף ת.ב.ל 2021  '!E12</f>
        <v>48500000</v>
      </c>
      <c r="F12" s="3">
        <f>'תקציב אגף ת.ב.ל 2021  '!F12</f>
        <v>5500000</v>
      </c>
      <c r="G12" s="3">
        <f>'תקציב אגף ת.ב.ל 2021  '!G12</f>
        <v>48000000</v>
      </c>
      <c r="H12" s="3">
        <f>'תקציב אגף ת.ב.ל 2021  '!H12</f>
        <v>41835968</v>
      </c>
      <c r="I12" s="3">
        <f>'תקציב אגף ת.ב.ל 2021  '!I12</f>
        <v>0</v>
      </c>
      <c r="J12" s="3">
        <f>'תקציב אגף ת.ב.ל 2021  '!J12</f>
        <v>5340608</v>
      </c>
      <c r="K12" s="3">
        <f>'תקציב אגף ת.ב.ל 2021  '!K12</f>
        <v>5340608</v>
      </c>
      <c r="L12" s="4">
        <f>'תקציב אגף ת.ב.ל 2021  '!L12</f>
        <v>47176576</v>
      </c>
      <c r="M12" s="4">
        <f>'תקציב אגף ת.ב.ל 2021  '!M12</f>
        <v>823424</v>
      </c>
      <c r="N12" s="4">
        <f>'תקציב אגף ת.ב.ל 2021  '!N12</f>
        <v>3500000</v>
      </c>
      <c r="O12" s="4">
        <f>'תקציב אגף ת.ב.ל 2021  '!O12</f>
        <v>2500000</v>
      </c>
      <c r="P12" s="4">
        <f>'תקציב אגף ת.ב.ל 2021  '!P12</f>
        <v>823424</v>
      </c>
      <c r="Q12" s="4">
        <f>'תקציב אגף ת.ב.ל 2021  '!Q12</f>
        <v>0</v>
      </c>
      <c r="R12" s="4">
        <f>'תקציב אגף ת.ב.ל 2021  '!R12</f>
        <v>0</v>
      </c>
      <c r="S12" s="4">
        <f>'תקציב אגף ת.ב.ל 2021  '!S12</f>
        <v>0</v>
      </c>
      <c r="T12" s="4">
        <f>'תקציב אגף ת.ב.ל 2021  '!T12</f>
        <v>0</v>
      </c>
      <c r="U12" s="4">
        <f>'תקציב אגף ת.ב.ל 2021  '!U12</f>
        <v>3500000</v>
      </c>
      <c r="V12" s="4">
        <f>'תקציב אגף ת.ב.ל 2021  '!V12</f>
        <v>0</v>
      </c>
      <c r="W12" s="4">
        <f>'תקציב אגף ת.ב.ל 2021  '!W12</f>
        <v>3500000</v>
      </c>
      <c r="X12" s="4">
        <f>'תקציב אגף ת.ב.ל 2021  '!X12</f>
        <v>0</v>
      </c>
      <c r="Y12" s="4">
        <f>'תקציב אגף ת.ב.ל 2021  '!Y12</f>
        <v>0</v>
      </c>
      <c r="Z12" s="4">
        <f>'תקציב אגף ת.ב.ל 2021  '!Z12</f>
        <v>0</v>
      </c>
      <c r="AA12" s="4">
        <f>'תקציב אגף ת.ב.ל 2021  '!AA12</f>
        <v>0</v>
      </c>
      <c r="AB12" s="280" t="str">
        <f>'תקציב אגף ת.ב.ל 2021  '!AB12</f>
        <v xml:space="preserve">סל לשדרוג כבישים במקביל לעבודת תאגיד המים ומדרכות ברחבי העיר עפ"י תוכנית עבודה שתאושר ע"י הנהלת העיר. </v>
      </c>
      <c r="AC12" s="3">
        <v>742000</v>
      </c>
      <c r="AD12" s="24"/>
      <c r="AE12" s="24"/>
      <c r="AF12" s="23"/>
      <c r="AG12" s="23"/>
      <c r="AH12" s="23"/>
      <c r="AI12" s="23"/>
      <c r="AJ12" s="22"/>
    </row>
    <row r="13" spans="1:41" s="5" customFormat="1" ht="28">
      <c r="A13" s="566">
        <f t="shared" si="1"/>
        <v>6</v>
      </c>
      <c r="B13" s="3">
        <f>'תקציב אגף ת.ב.ל 2021  '!B19</f>
        <v>1804</v>
      </c>
      <c r="C13" s="280" t="str">
        <f>'תקציב אגף ת.ב.ל 2021  '!C19</f>
        <v>פית' מדרגות קיר תומך פנחס רוזן</v>
      </c>
      <c r="D13" s="4">
        <f>'תקציב אגף ת.ב.ל 2021  '!D19</f>
        <v>200000</v>
      </c>
      <c r="E13" s="3">
        <f>'תקציב אגף ת.ב.ל 2021  '!E19</f>
        <v>200000</v>
      </c>
      <c r="F13" s="3">
        <f>'תקציב אגף ת.ב.ל 2021  '!F19</f>
        <v>0</v>
      </c>
      <c r="G13" s="3">
        <f>'תקציב אגף ת.ב.ל 2021  '!G19</f>
        <v>200000</v>
      </c>
      <c r="H13" s="3">
        <f>'תקציב אגף ת.ב.ל 2021  '!H19</f>
        <v>171384</v>
      </c>
      <c r="I13" s="3">
        <f>'תקציב אגף ת.ב.ל 2021  '!I19</f>
        <v>0</v>
      </c>
      <c r="J13" s="3">
        <f>'תקציב אגף ת.ב.ל 2021  '!J19</f>
        <v>10264</v>
      </c>
      <c r="K13" s="3">
        <f>'תקציב אגף ת.ב.ל 2021  '!K19</f>
        <v>10264</v>
      </c>
      <c r="L13" s="4">
        <f>'תקציב אגף ת.ב.ל 2021  '!L19</f>
        <v>181648</v>
      </c>
      <c r="M13" s="4">
        <f>'תקציב אגף ת.ב.ל 2021  '!M19</f>
        <v>18352</v>
      </c>
      <c r="N13" s="4">
        <f>'תקציב אגף ת.ב.ל 2021  '!N19</f>
        <v>0</v>
      </c>
      <c r="O13" s="4">
        <f>'תקציב אגף ת.ב.ל 2021  '!O19</f>
        <v>0</v>
      </c>
      <c r="P13" s="4">
        <f>'תקציב אגף ת.ב.ל 2021  '!P19</f>
        <v>18352</v>
      </c>
      <c r="Q13" s="4">
        <f>'תקציב אגף ת.ב.ל 2021  '!Q19</f>
        <v>0</v>
      </c>
      <c r="R13" s="4">
        <f>'תקציב אגף ת.ב.ל 2021  '!R19</f>
        <v>0</v>
      </c>
      <c r="S13" s="4">
        <f>'תקציב אגף ת.ב.ל 2021  '!S19</f>
        <v>0</v>
      </c>
      <c r="T13" s="4">
        <f>'תקציב אגף ת.ב.ל 2021  '!T19</f>
        <v>0</v>
      </c>
      <c r="U13" s="4">
        <f>'תקציב אגף ת.ב.ל 2021  '!U19</f>
        <v>0</v>
      </c>
      <c r="V13" s="4">
        <f>'תקציב אגף ת.ב.ל 2021  '!V19</f>
        <v>0</v>
      </c>
      <c r="W13" s="4">
        <f>'תקציב אגף ת.ב.ל 2021  '!W19</f>
        <v>0</v>
      </c>
      <c r="X13" s="4">
        <f>'תקציב אגף ת.ב.ל 2021  '!X19</f>
        <v>0</v>
      </c>
      <c r="Y13" s="4">
        <f>'תקציב אגף ת.ב.ל 2021  '!Y19</f>
        <v>0</v>
      </c>
      <c r="Z13" s="4">
        <f>'תקציב אגף ת.ב.ל 2021  '!Z19</f>
        <v>0</v>
      </c>
      <c r="AA13" s="4">
        <f>'תקציב אגף ת.ב.ל 2021  '!AA19</f>
        <v>0</v>
      </c>
      <c r="AB13" s="280">
        <f>'תקציב אגף ת.ב.ל 2021  '!AB19</f>
        <v>0</v>
      </c>
      <c r="AC13" s="3">
        <v>742000</v>
      </c>
      <c r="AD13" s="24"/>
      <c r="AE13" s="24"/>
      <c r="AK13" s="567"/>
      <c r="AL13" s="567"/>
      <c r="AM13" s="567"/>
      <c r="AN13" s="567"/>
      <c r="AO13" s="567"/>
    </row>
    <row r="14" spans="1:41" s="5" customFormat="1" ht="28">
      <c r="A14" s="566">
        <f t="shared" si="1"/>
        <v>7</v>
      </c>
      <c r="B14" s="3">
        <f>'תקציב אגף ת.ב.ל 2021  '!B20</f>
        <v>1848</v>
      </c>
      <c r="C14" s="280" t="str">
        <f>'תקציב אגף ת.ב.ל 2021  '!C20</f>
        <v>פרויקטים קטנים רזרבה אגפית</v>
      </c>
      <c r="D14" s="4">
        <f>'תקציב אגף ת.ב.ל 2021  '!D20</f>
        <v>1300000</v>
      </c>
      <c r="E14" s="3">
        <f>'תקציב אגף ת.ב.ל 2021  '!E20</f>
        <v>1200000</v>
      </c>
      <c r="F14" s="3">
        <f>'תקציב אגף ת.ב.ל 2021  '!F20</f>
        <v>100000</v>
      </c>
      <c r="G14" s="3">
        <f>'תקציב אגף ת.ב.ל 2021  '!G20</f>
        <v>1000000</v>
      </c>
      <c r="H14" s="3">
        <f>'תקציב אגף ת.ב.ל 2021  '!H20</f>
        <v>708293</v>
      </c>
      <c r="I14" s="3">
        <f>'תקציב אגף ת.ב.ל 2021  '!I20</f>
        <v>0</v>
      </c>
      <c r="J14" s="3">
        <f>'תקציב אגף ת.ב.ל 2021  '!J20</f>
        <v>33173</v>
      </c>
      <c r="K14" s="3">
        <f>'תקציב אגף ת.ב.ל 2021  '!K20</f>
        <v>33173</v>
      </c>
      <c r="L14" s="4">
        <f>'תקציב אגף ת.ב.ל 2021  '!L20</f>
        <v>741466</v>
      </c>
      <c r="M14" s="4">
        <f>'תקציב אגף ת.ב.ל 2021  '!M20</f>
        <v>258534</v>
      </c>
      <c r="N14" s="4">
        <f>'תקציב אגף ת.ב.ל 2021  '!N20</f>
        <v>300000</v>
      </c>
      <c r="O14" s="4">
        <f>'תקציב אגף ת.ב.ל 2021  '!O20</f>
        <v>0</v>
      </c>
      <c r="P14" s="4">
        <f>'תקציב אגף ת.ב.ל 2021  '!P20</f>
        <v>258534</v>
      </c>
      <c r="Q14" s="4">
        <f>'תקציב אגף ת.ב.ל 2021  '!Q20</f>
        <v>0</v>
      </c>
      <c r="R14" s="4">
        <f>'תקציב אגף ת.ב.ל 2021  '!R20</f>
        <v>0</v>
      </c>
      <c r="S14" s="4">
        <f>'תקציב אגף ת.ב.ל 2021  '!S20</f>
        <v>0</v>
      </c>
      <c r="T14" s="4">
        <f>'תקציב אגף ת.ב.ל 2021  '!T20</f>
        <v>0</v>
      </c>
      <c r="U14" s="4">
        <f>'תקציב אגף ת.ב.ל 2021  '!U20</f>
        <v>300000</v>
      </c>
      <c r="V14" s="4">
        <f>'תקציב אגף ת.ב.ל 2021  '!V20</f>
        <v>0</v>
      </c>
      <c r="W14" s="4">
        <f>'תקציב אגף ת.ב.ל 2021  '!W20</f>
        <v>300000</v>
      </c>
      <c r="X14" s="4">
        <f>'תקציב אגף ת.ב.ל 2021  '!X20</f>
        <v>0</v>
      </c>
      <c r="Y14" s="4">
        <f>'תקציב אגף ת.ב.ל 2021  '!Y20</f>
        <v>0</v>
      </c>
      <c r="Z14" s="4">
        <f>'תקציב אגף ת.ב.ל 2021  '!Z20</f>
        <v>0</v>
      </c>
      <c r="AA14" s="4">
        <f>'תקציב אגף ת.ב.ל 2021  '!AA20</f>
        <v>0</v>
      </c>
      <c r="AB14" s="280" t="str">
        <f>'תקציב אגף ת.ב.ל 2021  '!AB20</f>
        <v>סל לביצוע עבודות פרויקטים קטנים הנדרשים ע"י האגף מעת לעת.</v>
      </c>
      <c r="AC14" s="3">
        <v>742000</v>
      </c>
      <c r="AD14" s="24"/>
      <c r="AE14" s="24"/>
      <c r="AF14" s="23"/>
      <c r="AG14" s="23"/>
      <c r="AH14" s="23"/>
      <c r="AI14" s="23"/>
      <c r="AJ14" s="22"/>
    </row>
    <row r="15" spans="1:41" s="5" customFormat="1" ht="56">
      <c r="A15" s="566">
        <f t="shared" si="1"/>
        <v>8</v>
      </c>
      <c r="B15" s="3">
        <f>'תקציב אגף ת.ב.ל 2021  '!B21</f>
        <v>1849</v>
      </c>
      <c r="C15" s="280" t="str">
        <f>'תקציב אגף ת.ב.ל 2021  '!C21</f>
        <v xml:space="preserve"> התקנת גופי תאורה בטכנולוגיה מתקדמת במגרשי הספורט</v>
      </c>
      <c r="D15" s="4">
        <f>'תקציב אגף ת.ב.ל 2021  '!D21</f>
        <v>2150000</v>
      </c>
      <c r="E15" s="3">
        <f>'תקציב אגף ת.ב.ל 2021  '!E21</f>
        <v>1400000</v>
      </c>
      <c r="F15" s="3">
        <f>'תקציב אגף ת.ב.ל 2021  '!F21</f>
        <v>750000</v>
      </c>
      <c r="G15" s="3">
        <f>'תקציב אגף ת.ב.ל 2021  '!G21</f>
        <v>1100000</v>
      </c>
      <c r="H15" s="3">
        <f>'תקציב אגף ת.ב.ל 2021  '!H21</f>
        <v>945869</v>
      </c>
      <c r="I15" s="3">
        <f>'תקציב אגף ת.ב.ל 2021  '!I21</f>
        <v>0</v>
      </c>
      <c r="J15" s="3">
        <f>'תקציב אגף ת.ב.ל 2021  '!J21</f>
        <v>150796</v>
      </c>
      <c r="K15" s="3">
        <f>'תקציב אגף ת.ב.ל 2021  '!K21</f>
        <v>150796</v>
      </c>
      <c r="L15" s="4">
        <f>'תקציב אגף ת.ב.ל 2021  '!L21</f>
        <v>1096665</v>
      </c>
      <c r="M15" s="4">
        <f>'תקציב אגף ת.ב.ל 2021  '!M21</f>
        <v>3335</v>
      </c>
      <c r="N15" s="4">
        <f>'תקציב אגף ת.ב.ל 2021  '!N21</f>
        <v>0</v>
      </c>
      <c r="O15" s="4">
        <f>'תקציב אגף ת.ב.ל 2021  '!O21</f>
        <v>1050000</v>
      </c>
      <c r="P15" s="4">
        <f>'תקציב אגף ת.ב.ל 2021  '!P21</f>
        <v>3335</v>
      </c>
      <c r="Q15" s="4">
        <f>'תקציב אגף ת.ב.ל 2021  '!Q21</f>
        <v>0</v>
      </c>
      <c r="R15" s="4">
        <f>'תקציב אגף ת.ב.ל 2021  '!R21</f>
        <v>0</v>
      </c>
      <c r="S15" s="4">
        <f>'תקציב אגף ת.ב.ל 2021  '!S21</f>
        <v>0</v>
      </c>
      <c r="T15" s="4">
        <f>'תקציב אגף ת.ב.ל 2021  '!T21</f>
        <v>0</v>
      </c>
      <c r="U15" s="4">
        <f>'תקציב אגף ת.ב.ל 2021  '!U21</f>
        <v>0</v>
      </c>
      <c r="V15" s="4">
        <f>'תקציב אגף ת.ב.ל 2021  '!V21</f>
        <v>0</v>
      </c>
      <c r="W15" s="4">
        <f>'תקציב אגף ת.ב.ל 2021  '!W21</f>
        <v>0</v>
      </c>
      <c r="X15" s="4">
        <f>'תקציב אגף ת.ב.ל 2021  '!X21</f>
        <v>0</v>
      </c>
      <c r="Y15" s="4">
        <f>'תקציב אגף ת.ב.ל 2021  '!Y21</f>
        <v>0</v>
      </c>
      <c r="Z15" s="4">
        <f>'תקציב אגף ת.ב.ל 2021  '!Z21</f>
        <v>0</v>
      </c>
      <c r="AA15" s="4">
        <f>'תקציב אגף ת.ב.ל 2021  '!AA21</f>
        <v>0</v>
      </c>
      <c r="AB15" s="280" t="str">
        <f>'תקציב אגף ת.ב.ל 2021  '!AB21</f>
        <v xml:space="preserve">התקנת גופי תאורה בטכנולוגיה מתקדמת במגרשי ספורט. יוגש קול קורא התייעלות מימון מ. הכלכלה והתעשיה. </v>
      </c>
      <c r="AC15" s="3">
        <v>743000</v>
      </c>
      <c r="AD15" s="24"/>
      <c r="AE15" s="24"/>
      <c r="AF15" s="23"/>
      <c r="AG15" s="23"/>
      <c r="AH15" s="22"/>
      <c r="AI15" s="22"/>
      <c r="AJ15" s="22"/>
    </row>
    <row r="16" spans="1:41" s="5" customFormat="1" ht="56">
      <c r="A16" s="566">
        <f t="shared" si="1"/>
        <v>9</v>
      </c>
      <c r="B16" s="3">
        <f>'תקציב אגף ת.ב.ל 2021  '!B26</f>
        <v>1917</v>
      </c>
      <c r="C16" s="280" t="str">
        <f>'תקציב אגף ת.ב.ל 2021  '!C26</f>
        <v>מע. תאורה LED ברחבי העיר</v>
      </c>
      <c r="D16" s="4">
        <f>'תקציב אגף ת.ב.ל 2021  '!D26</f>
        <v>76800000</v>
      </c>
      <c r="E16" s="3">
        <f>'תקציב אגף ת.ב.ל 2021  '!E26</f>
        <v>76800000</v>
      </c>
      <c r="F16" s="3">
        <f>'תקציב אגף ת.ב.ל 2021  '!F26</f>
        <v>0</v>
      </c>
      <c r="G16" s="3">
        <f>'תקציב אגף ת.ב.ל 2021  '!G26</f>
        <v>33001000</v>
      </c>
      <c r="H16" s="3">
        <f>'תקציב אגף ת.ב.ל 2021  '!H26</f>
        <v>22567518</v>
      </c>
      <c r="I16" s="3">
        <f>'תקציב אגף ת.ב.ל 2021  '!I26</f>
        <v>0</v>
      </c>
      <c r="J16" s="3">
        <f>'תקציב אגף ת.ב.ל 2021  '!J26</f>
        <v>10100791</v>
      </c>
      <c r="K16" s="3">
        <f>'תקציב אגף ת.ב.ל 2021  '!K26</f>
        <v>10100791</v>
      </c>
      <c r="L16" s="4">
        <f>'תקציב אגף ת.ב.ל 2021  '!L26</f>
        <v>32668309</v>
      </c>
      <c r="M16" s="4">
        <f>'תקציב אגף ת.ב.ל 2021  '!M26</f>
        <v>332691</v>
      </c>
      <c r="N16" s="4">
        <f>'תקציב אגף ת.ב.ל 2021  '!N26</f>
        <v>700000</v>
      </c>
      <c r="O16" s="4">
        <f>'תקציב אגף ת.ב.ל 2021  '!O26</f>
        <v>43099000</v>
      </c>
      <c r="P16" s="4">
        <f>'תקציב אגף ת.ב.ל 2021  '!P26</f>
        <v>332691</v>
      </c>
      <c r="Q16" s="4">
        <f>'תקציב אגף ת.ב.ל 2021  '!Q26</f>
        <v>0</v>
      </c>
      <c r="R16" s="4">
        <f>'תקציב אגף ת.ב.ל 2021  '!R26</f>
        <v>0</v>
      </c>
      <c r="S16" s="4">
        <f>'תקציב אגף ת.ב.ל 2021  '!S26</f>
        <v>0</v>
      </c>
      <c r="T16" s="4">
        <f>'תקציב אגף ת.ב.ל 2021  '!T26</f>
        <v>0</v>
      </c>
      <c r="U16" s="4">
        <f>'תקציב אגף ת.ב.ל 2021  '!U26</f>
        <v>700000</v>
      </c>
      <c r="V16" s="4">
        <f>'תקציב אגף ת.ב.ל 2021  '!V26</f>
        <v>700000</v>
      </c>
      <c r="W16" s="4">
        <f>'תקציב אגף ת.ב.ל 2021  '!W26</f>
        <v>0</v>
      </c>
      <c r="X16" s="4">
        <f>'תקציב אגף ת.ב.ל 2021  '!X26</f>
        <v>0</v>
      </c>
      <c r="Y16" s="4">
        <f>'תקציב אגף ת.ב.ל 2021  '!Y26</f>
        <v>0</v>
      </c>
      <c r="Z16" s="4">
        <f>'תקציב אגף ת.ב.ל 2021  '!Z26</f>
        <v>0</v>
      </c>
      <c r="AA16" s="4">
        <f>'תקציב אגף ת.ב.ל 2021  '!AA26</f>
        <v>0</v>
      </c>
      <c r="AB16" s="280" t="str">
        <f>'תקציב אגף ת.ב.ל 2021  '!AB26</f>
        <v>סל להקמת ושדרוג תשתיות כולל עמודי תאורה והתקנת גופי תאורה בטכנולוגיה מתקדמת עפ"י תוכנית רב שנתית. מימון מ. הכלכלה והתעשיה.</v>
      </c>
      <c r="AC16" s="3">
        <v>743000</v>
      </c>
      <c r="AD16" s="24"/>
      <c r="AE16" s="24"/>
      <c r="AF16" s="23"/>
      <c r="AG16" s="23"/>
      <c r="AH16" s="22"/>
      <c r="AI16" s="22"/>
      <c r="AJ16" s="22"/>
    </row>
    <row r="17" spans="1:41" s="5" customFormat="1" ht="42">
      <c r="A17" s="566">
        <f t="shared" si="1"/>
        <v>10</v>
      </c>
      <c r="B17" s="3">
        <f>'תקציב אגף ת.ב.ל 2021  '!B13</f>
        <v>1560</v>
      </c>
      <c r="C17" s="280" t="str">
        <f>'תקציב אגף ת.ב.ל 2021  '!C13</f>
        <v>עבודות שונות בפארק הרצליה</v>
      </c>
      <c r="D17" s="4">
        <f>'תקציב אגף ת.ב.ל 2021  '!D13</f>
        <v>6410000</v>
      </c>
      <c r="E17" s="3">
        <f>'תקציב אגף ת.ב.ל 2021  '!E13</f>
        <v>5510000</v>
      </c>
      <c r="F17" s="3">
        <f>'תקציב אגף ת.ב.ל 2021  '!F13</f>
        <v>900000</v>
      </c>
      <c r="G17" s="3">
        <f>'תקציב אגף ת.ב.ל 2021  '!G13</f>
        <v>5510000</v>
      </c>
      <c r="H17" s="3">
        <f>'תקציב אגף ת.ב.ל 2021  '!H13</f>
        <v>4777462</v>
      </c>
      <c r="I17" s="3">
        <f>'תקציב אגף ת.ב.ל 2021  '!I13</f>
        <v>0</v>
      </c>
      <c r="J17" s="3">
        <f>'תקציב אגף ת.ב.ל 2021  '!J13</f>
        <v>730909</v>
      </c>
      <c r="K17" s="3">
        <f>'תקציב אגף ת.ב.ל 2021  '!K13</f>
        <v>730909</v>
      </c>
      <c r="L17" s="4">
        <f>'תקציב אגף ת.ב.ל 2021  '!L13</f>
        <v>5508371</v>
      </c>
      <c r="M17" s="4">
        <f>'תקציב אגף ת.ב.ל 2021  '!M13</f>
        <v>1629</v>
      </c>
      <c r="N17" s="4">
        <f>'תקציב אגף ת.ב.ל 2021  '!N13</f>
        <v>500000</v>
      </c>
      <c r="O17" s="4">
        <f>'תקציב אגף ת.ב.ל 2021  '!O13</f>
        <v>400000</v>
      </c>
      <c r="P17" s="4">
        <f>'תקציב אגף ת.ב.ל 2021  '!P13</f>
        <v>1629</v>
      </c>
      <c r="Q17" s="4">
        <f>'תקציב אגף ת.ב.ל 2021  '!Q13</f>
        <v>0</v>
      </c>
      <c r="R17" s="4">
        <f>'תקציב אגף ת.ב.ל 2021  '!R13</f>
        <v>0</v>
      </c>
      <c r="S17" s="4">
        <f>'תקציב אגף ת.ב.ל 2021  '!S13</f>
        <v>0</v>
      </c>
      <c r="T17" s="4">
        <f>'תקציב אגף ת.ב.ל 2021  '!T13</f>
        <v>0</v>
      </c>
      <c r="U17" s="4">
        <f>'תקציב אגף ת.ב.ל 2021  '!U13</f>
        <v>500000</v>
      </c>
      <c r="V17" s="4">
        <f>'תקציב אגף ת.ב.ל 2021  '!V13</f>
        <v>0</v>
      </c>
      <c r="W17" s="4">
        <f>'תקציב אגף ת.ב.ל 2021  '!W13</f>
        <v>500000</v>
      </c>
      <c r="X17" s="4">
        <f>'תקציב אגף ת.ב.ל 2021  '!X13</f>
        <v>0</v>
      </c>
      <c r="Y17" s="4">
        <f>'תקציב אגף ת.ב.ל 2021  '!Y13</f>
        <v>0</v>
      </c>
      <c r="Z17" s="4">
        <f>'תקציב אגף ת.ב.ל 2021  '!Z13</f>
        <v>0</v>
      </c>
      <c r="AA17" s="4">
        <f>'תקציב אגף ת.ב.ל 2021  '!AA13</f>
        <v>0</v>
      </c>
      <c r="AB17" s="280" t="str">
        <f>'תקציב אגף ת.ב.ל 2021  '!AB13</f>
        <v>עבודות שונות בפארק כולל תוספת קווי ביוב,שיפוץ שרותים המשך עבודות חידוש מסלול.</v>
      </c>
      <c r="AC17" s="3">
        <v>746000</v>
      </c>
      <c r="AD17" s="24"/>
      <c r="AE17" s="24"/>
      <c r="AF17" s="23"/>
      <c r="AG17" s="23"/>
      <c r="AH17" s="23"/>
      <c r="AI17" s="23"/>
      <c r="AJ17" s="22"/>
    </row>
    <row r="18" spans="1:41" s="5" customFormat="1" ht="28">
      <c r="A18" s="566">
        <f t="shared" si="1"/>
        <v>11</v>
      </c>
      <c r="B18" s="3">
        <f>'תקציב אגף ת.ב.ל 2021  '!B17</f>
        <v>1773</v>
      </c>
      <c r="C18" s="280" t="str">
        <f>'תקציב אגף ת.ב.ל 2021  '!C17</f>
        <v>שיקום האגם בפארק</v>
      </c>
      <c r="D18" s="4">
        <f>'תקציב אגף ת.ב.ל 2021  '!D17</f>
        <v>1500000</v>
      </c>
      <c r="E18" s="3">
        <f>'תקציב אגף ת.ב.ל 2021  '!E17</f>
        <v>1500000</v>
      </c>
      <c r="F18" s="3">
        <f>'תקציב אגף ת.ב.ל 2021  '!F17</f>
        <v>0</v>
      </c>
      <c r="G18" s="3">
        <f>'תקציב אגף ת.ב.ל 2021  '!G17</f>
        <v>1500000</v>
      </c>
      <c r="H18" s="3">
        <f>'תקציב אגף ת.ב.ל 2021  '!H17</f>
        <v>212004</v>
      </c>
      <c r="I18" s="3">
        <f>'תקציב אגף ת.ב.ל 2021  '!I17</f>
        <v>17401</v>
      </c>
      <c r="J18" s="3">
        <f>'תקציב אגף ת.ב.ל 2021  '!J17</f>
        <v>3510</v>
      </c>
      <c r="K18" s="3">
        <f>'תקציב אגף ת.ב.ל 2021  '!K17</f>
        <v>20911</v>
      </c>
      <c r="L18" s="4">
        <f>'תקציב אגף ת.ב.ל 2021  '!L17</f>
        <v>232915</v>
      </c>
      <c r="M18" s="4">
        <f>'תקציב אגף ת.ב.ל 2021  '!M17</f>
        <v>1267085</v>
      </c>
      <c r="N18" s="4">
        <f>'תקציב אגף ת.ב.ל 2021  '!N17</f>
        <v>0</v>
      </c>
      <c r="O18" s="4">
        <f>'תקציב אגף ת.ב.ל 2021  '!O17</f>
        <v>0</v>
      </c>
      <c r="P18" s="4">
        <f>'תקציב אגף ת.ב.ל 2021  '!P17</f>
        <v>1267085</v>
      </c>
      <c r="Q18" s="4">
        <f>'תקציב אגף ת.ב.ל 2021  '!Q17</f>
        <v>0</v>
      </c>
      <c r="R18" s="4">
        <f>'תקציב אגף ת.ב.ל 2021  '!R17</f>
        <v>0</v>
      </c>
      <c r="S18" s="4">
        <f>'תקציב אגף ת.ב.ל 2021  '!S17</f>
        <v>0</v>
      </c>
      <c r="T18" s="4">
        <f>'תקציב אגף ת.ב.ל 2021  '!T17</f>
        <v>0</v>
      </c>
      <c r="U18" s="4">
        <f>'תקציב אגף ת.ב.ל 2021  '!U17</f>
        <v>0</v>
      </c>
      <c r="V18" s="4">
        <f>'תקציב אגף ת.ב.ל 2021  '!V17</f>
        <v>0</v>
      </c>
      <c r="W18" s="4">
        <f>'תקציב אגף ת.ב.ל 2021  '!W17</f>
        <v>0</v>
      </c>
      <c r="X18" s="4">
        <f>'תקציב אגף ת.ב.ל 2021  '!X17</f>
        <v>0</v>
      </c>
      <c r="Y18" s="4">
        <f>'תקציב אגף ת.ב.ל 2021  '!Y17</f>
        <v>0</v>
      </c>
      <c r="Z18" s="4">
        <f>'תקציב אגף ת.ב.ל 2021  '!Z17</f>
        <v>0</v>
      </c>
      <c r="AA18" s="4">
        <f>'תקציב אגף ת.ב.ל 2021  '!AA17</f>
        <v>0</v>
      </c>
      <c r="AB18" s="280" t="str">
        <f>'תקציב אגף ת.ב.ל 2021  '!AB17</f>
        <v>עבודות שיקום לשיפור איכות ומראה המים באגם.</v>
      </c>
      <c r="AC18" s="3">
        <v>746000</v>
      </c>
      <c r="AD18" s="24"/>
      <c r="AE18" s="24"/>
      <c r="AF18" s="23"/>
      <c r="AG18" s="23"/>
      <c r="AH18" s="23"/>
      <c r="AI18" s="23"/>
      <c r="AJ18" s="22"/>
    </row>
    <row r="19" spans="1:41" s="5" customFormat="1" ht="30" customHeight="1">
      <c r="A19" s="566">
        <f t="shared" si="1"/>
        <v>12</v>
      </c>
      <c r="B19" s="3">
        <f>'תקציב אגף ת.ב.ל 2021  '!B50</f>
        <v>2155</v>
      </c>
      <c r="C19" s="280" t="str">
        <f>'תקציב אגף ת.ב.ל 2021  '!C50</f>
        <v>גידור מרחב האירועים בפארק</v>
      </c>
      <c r="D19" s="4">
        <f>'תקציב אגף ת.ב.ל 2021  '!D50</f>
        <v>700000</v>
      </c>
      <c r="E19" s="3">
        <f>'תקציב אגף ת.ב.ל 2021  '!E50</f>
        <v>700000</v>
      </c>
      <c r="F19" s="3">
        <f>'תקציב אגף ת.ב.ל 2021  '!F50</f>
        <v>0</v>
      </c>
      <c r="G19" s="3">
        <f>'תקציב אגף ת.ב.ל 2021  '!G50</f>
        <v>0</v>
      </c>
      <c r="H19" s="3">
        <f>'תקציב אגף ת.ב.ל 2021  '!H50</f>
        <v>0</v>
      </c>
      <c r="I19" s="3">
        <f>'תקציב אגף ת.ב.ל 2021  '!I50</f>
        <v>0</v>
      </c>
      <c r="J19" s="3">
        <f>'תקציב אגף ת.ב.ל 2021  '!J50</f>
        <v>0</v>
      </c>
      <c r="K19" s="3">
        <f>'תקציב אגף ת.ב.ל 2021  '!K50</f>
        <v>0</v>
      </c>
      <c r="L19" s="4">
        <f>'תקציב אגף ת.ב.ל 2021  '!L50</f>
        <v>0</v>
      </c>
      <c r="M19" s="4">
        <f>'תקציב אגף ת.ב.ל 2021  '!M50</f>
        <v>0</v>
      </c>
      <c r="N19" s="4">
        <f>'תקציב אגף ת.ב.ל 2021  '!N50</f>
        <v>0</v>
      </c>
      <c r="O19" s="4">
        <f>'תקציב אגף ת.ב.ל 2021  '!O50</f>
        <v>700000</v>
      </c>
      <c r="P19" s="4">
        <f>'תקציב אגף ת.ב.ל 2021  '!P50</f>
        <v>0</v>
      </c>
      <c r="Q19" s="4">
        <f>'תקציב אגף ת.ב.ל 2021  '!Q50</f>
        <v>0</v>
      </c>
      <c r="R19" s="4">
        <f>'תקציב אגף ת.ב.ל 2021  '!R50</f>
        <v>0</v>
      </c>
      <c r="S19" s="4">
        <f>'תקציב אגף ת.ב.ל 2021  '!S50</f>
        <v>0</v>
      </c>
      <c r="T19" s="4">
        <f>'תקציב אגף ת.ב.ל 2021  '!T50</f>
        <v>0</v>
      </c>
      <c r="U19" s="4">
        <f>'תקציב אגף ת.ב.ל 2021  '!U50</f>
        <v>0</v>
      </c>
      <c r="V19" s="4">
        <f>'תקציב אגף ת.ב.ל 2021  '!V50</f>
        <v>0</v>
      </c>
      <c r="W19" s="4">
        <f>'תקציב אגף ת.ב.ל 2021  '!W50</f>
        <v>0</v>
      </c>
      <c r="X19" s="4">
        <f>'תקציב אגף ת.ב.ל 2021  '!X50</f>
        <v>0</v>
      </c>
      <c r="Y19" s="4">
        <f>'תקציב אגף ת.ב.ל 2021  '!Y50</f>
        <v>0</v>
      </c>
      <c r="Z19" s="4">
        <f>'תקציב אגף ת.ב.ל 2021  '!Z50</f>
        <v>0</v>
      </c>
      <c r="AA19" s="4">
        <f>'תקציב אגף ת.ב.ל 2021  '!AA50</f>
        <v>0</v>
      </c>
      <c r="AB19" s="280" t="str">
        <f>'תקציב אגף ת.ב.ל 2021  '!AB50</f>
        <v>עבודות גידור קבוע, תאורה תשתיות ושערים במרחב האירועים בפארק.</v>
      </c>
      <c r="AC19" s="3">
        <v>746000</v>
      </c>
      <c r="AD19" s="24"/>
      <c r="AE19" s="24"/>
    </row>
    <row r="20" spans="1:41" s="70" customFormat="1" ht="30" customHeight="1">
      <c r="A20" s="632"/>
      <c r="B20" s="33"/>
      <c r="C20" s="412" t="s">
        <v>1477</v>
      </c>
      <c r="D20" s="73">
        <f>SUM(D12:D19)</f>
        <v>143060000</v>
      </c>
      <c r="E20" s="73">
        <f t="shared" ref="E20:AA20" si="4">SUM(E12:E19)</f>
        <v>135810000</v>
      </c>
      <c r="F20" s="73">
        <f t="shared" si="4"/>
        <v>7250000</v>
      </c>
      <c r="G20" s="73">
        <f t="shared" si="4"/>
        <v>90311000</v>
      </c>
      <c r="H20" s="73">
        <f t="shared" si="4"/>
        <v>71218498</v>
      </c>
      <c r="I20" s="73">
        <f t="shared" si="4"/>
        <v>17401</v>
      </c>
      <c r="J20" s="73">
        <f t="shared" si="4"/>
        <v>16370051</v>
      </c>
      <c r="K20" s="73">
        <f t="shared" si="4"/>
        <v>16387452</v>
      </c>
      <c r="L20" s="73">
        <f t="shared" si="4"/>
        <v>87605950</v>
      </c>
      <c r="M20" s="73">
        <f t="shared" si="4"/>
        <v>2705050</v>
      </c>
      <c r="N20" s="73">
        <f t="shared" si="4"/>
        <v>5000000</v>
      </c>
      <c r="O20" s="73">
        <f t="shared" si="4"/>
        <v>47749000</v>
      </c>
      <c r="P20" s="73">
        <f t="shared" si="4"/>
        <v>2705050</v>
      </c>
      <c r="Q20" s="73">
        <f t="shared" si="4"/>
        <v>0</v>
      </c>
      <c r="R20" s="73">
        <f t="shared" si="4"/>
        <v>0</v>
      </c>
      <c r="S20" s="73">
        <f t="shared" si="4"/>
        <v>0</v>
      </c>
      <c r="T20" s="73">
        <f t="shared" si="4"/>
        <v>0</v>
      </c>
      <c r="U20" s="73">
        <f t="shared" si="4"/>
        <v>5000000</v>
      </c>
      <c r="V20" s="73">
        <f t="shared" si="4"/>
        <v>700000</v>
      </c>
      <c r="W20" s="73">
        <f t="shared" si="4"/>
        <v>4300000</v>
      </c>
      <c r="X20" s="73">
        <f t="shared" si="4"/>
        <v>0</v>
      </c>
      <c r="Y20" s="73">
        <f t="shared" si="4"/>
        <v>0</v>
      </c>
      <c r="Z20" s="73">
        <f t="shared" si="4"/>
        <v>0</v>
      </c>
      <c r="AA20" s="73">
        <f t="shared" si="4"/>
        <v>0</v>
      </c>
      <c r="AB20" s="412"/>
      <c r="AC20" s="33"/>
      <c r="AD20" s="349"/>
      <c r="AE20" s="349"/>
    </row>
    <row r="21" spans="1:41" s="5" customFormat="1" ht="42">
      <c r="A21" s="566">
        <f>A19+1</f>
        <v>13</v>
      </c>
      <c r="B21" s="3">
        <f>'תקציב אגף ת.ב.ל 2021  '!B9</f>
        <v>1472</v>
      </c>
      <c r="C21" s="280" t="str">
        <f>'תקציב אגף ת.ב.ל 2021  '!C9</f>
        <v>מיזוג אוויר במוס"ח</v>
      </c>
      <c r="D21" s="4">
        <f>'תקציב אגף ת.ב.ל 2021  '!D9</f>
        <v>11306096</v>
      </c>
      <c r="E21" s="3">
        <f>'תקציב אגף ת.ב.ל 2021  '!E9</f>
        <v>11350000</v>
      </c>
      <c r="F21" s="3">
        <f>'תקציב אגף ת.ב.ל 2021  '!F9</f>
        <v>-43904</v>
      </c>
      <c r="G21" s="3">
        <f>'תקציב אגף ת.ב.ל 2021  '!G9</f>
        <v>11306096</v>
      </c>
      <c r="H21" s="3">
        <f>'תקציב אגף ת.ב.ל 2021  '!H9</f>
        <v>11206752</v>
      </c>
      <c r="I21" s="3">
        <f>'תקציב אגף ת.ב.ל 2021  '!I9</f>
        <v>0</v>
      </c>
      <c r="J21" s="3">
        <f>'תקציב אגף ת.ב.ל 2021  '!J9</f>
        <v>83622</v>
      </c>
      <c r="K21" s="3">
        <f>'תקציב אגף ת.ב.ל 2021  '!K9</f>
        <v>83622</v>
      </c>
      <c r="L21" s="4">
        <f>'תקציב אגף ת.ב.ל 2021  '!L9</f>
        <v>11290374</v>
      </c>
      <c r="M21" s="4">
        <f>'תקציב אגף ת.ב.ל 2021  '!M9</f>
        <v>15722</v>
      </c>
      <c r="N21" s="4">
        <f>'תקציב אגף ת.ב.ל 2021  '!N9</f>
        <v>0</v>
      </c>
      <c r="O21" s="4">
        <f>'תקציב אגף ת.ב.ל 2021  '!O9</f>
        <v>0</v>
      </c>
      <c r="P21" s="4">
        <f>'תקציב אגף ת.ב.ל 2021  '!P9</f>
        <v>15722</v>
      </c>
      <c r="Q21" s="4">
        <f>'תקציב אגף ת.ב.ל 2021  '!Q9</f>
        <v>0</v>
      </c>
      <c r="R21" s="4">
        <f>'תקציב אגף ת.ב.ל 2021  '!R9</f>
        <v>0</v>
      </c>
      <c r="S21" s="4">
        <f>'תקציב אגף ת.ב.ל 2021  '!S9</f>
        <v>0</v>
      </c>
      <c r="T21" s="4">
        <f>'תקציב אגף ת.ב.ל 2021  '!T9</f>
        <v>0</v>
      </c>
      <c r="U21" s="4">
        <f>'תקציב אגף ת.ב.ל 2021  '!U9</f>
        <v>0</v>
      </c>
      <c r="V21" s="4">
        <f>'תקציב אגף ת.ב.ל 2021  '!V9</f>
        <v>0</v>
      </c>
      <c r="W21" s="4">
        <f>'תקציב אגף ת.ב.ל 2021  '!W9</f>
        <v>0</v>
      </c>
      <c r="X21" s="4">
        <f>'תקציב אגף ת.ב.ל 2021  '!X9</f>
        <v>0</v>
      </c>
      <c r="Y21" s="4">
        <f>'תקציב אגף ת.ב.ל 2021  '!Y9</f>
        <v>0</v>
      </c>
      <c r="Z21" s="4">
        <f>'תקציב אגף ת.ב.ל 2021  '!Z9</f>
        <v>0</v>
      </c>
      <c r="AA21" s="4">
        <f>'תקציב אגף ת.ב.ל 2021  '!AA9</f>
        <v>0</v>
      </c>
      <c r="AB21" s="280" t="str">
        <f>'תקציב אגף ת.ב.ל 2021  '!AB9</f>
        <v xml:space="preserve">סל להחלפה ושדרוג מזגנים במוסדות חינוך. התב"ר לסגירה. ראה תב"ר 1415. </v>
      </c>
      <c r="AC21" s="3">
        <f>'תקציב אגף ת.ב.ל 2021  '!AC9</f>
        <v>810000</v>
      </c>
      <c r="AD21" s="24"/>
      <c r="AE21" s="24"/>
      <c r="AF21" s="23"/>
      <c r="AG21" s="23"/>
      <c r="AH21" s="23"/>
      <c r="AI21" s="23"/>
      <c r="AJ21" s="22"/>
    </row>
    <row r="22" spans="1:41" s="5" customFormat="1" ht="30" customHeight="1">
      <c r="A22" s="566">
        <f t="shared" si="1"/>
        <v>14</v>
      </c>
      <c r="B22" s="3">
        <f>'תקציב אגף ת.ב.ל 2021  '!B10</f>
        <v>1477</v>
      </c>
      <c r="C22" s="280" t="str">
        <f>'תקציב אגף ת.ב.ל 2021  '!C10</f>
        <v xml:space="preserve">הצללות בי"ס וגנ"י  ומתנס"ים </v>
      </c>
      <c r="D22" s="4">
        <f>'תקציב אגף ת.ב.ל 2021  '!D10</f>
        <v>9350000</v>
      </c>
      <c r="E22" s="3">
        <f>'תקציב אגף ת.ב.ל 2021  '!E10</f>
        <v>9350000</v>
      </c>
      <c r="F22" s="3">
        <f>'תקציב אגף ת.ב.ל 2021  '!F10</f>
        <v>0</v>
      </c>
      <c r="G22" s="3">
        <f>'תקציב אגף ת.ב.ל 2021  '!G10</f>
        <v>4450000</v>
      </c>
      <c r="H22" s="3">
        <f>'תקציב אגף ת.ב.ל 2021  '!H10</f>
        <v>2466895</v>
      </c>
      <c r="I22" s="3">
        <f>'תקציב אגף ת.ב.ל 2021  '!I10</f>
        <v>1346368</v>
      </c>
      <c r="J22" s="3">
        <f>'תקציב אגף ת.ב.ל 2021  '!J10</f>
        <v>96937</v>
      </c>
      <c r="K22" s="3">
        <f>'תקציב אגף ת.ב.ל 2021  '!K10</f>
        <v>1443305</v>
      </c>
      <c r="L22" s="4">
        <f>'תקציב אגף ת.ב.ל 2021  '!L10</f>
        <v>3910200</v>
      </c>
      <c r="M22" s="4">
        <f>'תקציב אגף ת.ב.ל 2021  '!M10</f>
        <v>539800</v>
      </c>
      <c r="N22" s="4">
        <f>'תקציב אגף ת.ב.ל 2021  '!N10</f>
        <v>1200000</v>
      </c>
      <c r="O22" s="4">
        <f>'תקציב אגף ת.ב.ל 2021  '!O10</f>
        <v>3700000</v>
      </c>
      <c r="P22" s="4">
        <f>'תקציב אגף ת.ב.ל 2021  '!P10</f>
        <v>539800</v>
      </c>
      <c r="Q22" s="4">
        <f>'תקציב אגף ת.ב.ל 2021  '!Q10</f>
        <v>0</v>
      </c>
      <c r="R22" s="4">
        <f>'תקציב אגף ת.ב.ל 2021  '!R10</f>
        <v>0</v>
      </c>
      <c r="S22" s="4">
        <f>'תקציב אגף ת.ב.ל 2021  '!S10</f>
        <v>0</v>
      </c>
      <c r="T22" s="4">
        <f>'תקציב אגף ת.ב.ל 2021  '!T10</f>
        <v>0</v>
      </c>
      <c r="U22" s="4">
        <f>'תקציב אגף ת.ב.ל 2021  '!U10</f>
        <v>1200000</v>
      </c>
      <c r="V22" s="4">
        <f>'תקציב אגף ת.ב.ל 2021  '!V10</f>
        <v>0</v>
      </c>
      <c r="W22" s="4">
        <f>'תקציב אגף ת.ב.ל 2021  '!W10</f>
        <v>1200000</v>
      </c>
      <c r="X22" s="4">
        <f>'תקציב אגף ת.ב.ל 2021  '!X10</f>
        <v>0</v>
      </c>
      <c r="Y22" s="4">
        <f>'תקציב אגף ת.ב.ל 2021  '!Y10</f>
        <v>0</v>
      </c>
      <c r="Z22" s="4">
        <f>'תקציב אגף ת.ב.ל 2021  '!Z10</f>
        <v>0</v>
      </c>
      <c r="AA22" s="4">
        <f>'תקציב אגף ת.ב.ל 2021  '!AA10</f>
        <v>0</v>
      </c>
      <c r="AB22" s="280" t="str">
        <f>'תקציב אגף ת.ב.ל 2021  '!AB10</f>
        <v>הצללות קבועות מעל מגרשי ספורט  עפ"י תוכנית רב שנתית. 5 הצללות ב - 2021: היובל,זאב,וולפסון,בן צבי,יבור.</v>
      </c>
      <c r="AC22" s="3">
        <f>'תקציב אגף ת.ב.ל 2021  '!AC10</f>
        <v>810000</v>
      </c>
      <c r="AD22" s="24"/>
      <c r="AE22" s="24"/>
      <c r="AF22" s="23"/>
      <c r="AG22" s="23"/>
      <c r="AH22" s="23"/>
      <c r="AI22" s="23"/>
      <c r="AJ22" s="22"/>
    </row>
    <row r="23" spans="1:41" s="5" customFormat="1" ht="28">
      <c r="A23" s="566">
        <f t="shared" si="1"/>
        <v>15</v>
      </c>
      <c r="B23" s="3">
        <f>'תקציב אגף ת.ב.ל 2021  '!B15</f>
        <v>1691</v>
      </c>
      <c r="C23" s="280" t="str">
        <f>'תקציב אגף ת.ב.ל 2021  '!C15</f>
        <v>נגישות ליקויי שמיעה (מ.החינוך)</v>
      </c>
      <c r="D23" s="4">
        <f>'תקציב אגף ת.ב.ל 2021  '!D15</f>
        <v>210000</v>
      </c>
      <c r="E23" s="3">
        <f>'תקציב אגף ת.ב.ל 2021  '!E15</f>
        <v>210000</v>
      </c>
      <c r="F23" s="3">
        <f>'תקציב אגף ת.ב.ל 2021  '!F15</f>
        <v>0</v>
      </c>
      <c r="G23" s="3">
        <f>'תקציב אגף ת.ב.ל 2021  '!G15</f>
        <v>210000</v>
      </c>
      <c r="H23" s="3">
        <f>'תקציב אגף ת.ב.ל 2021  '!H15</f>
        <v>184254</v>
      </c>
      <c r="I23" s="3">
        <f>'תקציב אגף ת.ב.ל 2021  '!I15</f>
        <v>0</v>
      </c>
      <c r="J23" s="3">
        <f>'תקציב אגף ת.ב.ל 2021  '!J15</f>
        <v>0</v>
      </c>
      <c r="K23" s="3">
        <f>'תקציב אגף ת.ב.ל 2021  '!K15</f>
        <v>0</v>
      </c>
      <c r="L23" s="4">
        <f>'תקציב אגף ת.ב.ל 2021  '!L15</f>
        <v>184254</v>
      </c>
      <c r="M23" s="4">
        <f>'תקציב אגף ת.ב.ל 2021  '!M15</f>
        <v>25746</v>
      </c>
      <c r="N23" s="4">
        <f>'תקציב אגף ת.ב.ל 2021  '!N15</f>
        <v>0</v>
      </c>
      <c r="O23" s="4">
        <f>'תקציב אגף ת.ב.ל 2021  '!O15</f>
        <v>0</v>
      </c>
      <c r="P23" s="4">
        <f>'תקציב אגף ת.ב.ל 2021  '!P15</f>
        <v>25746</v>
      </c>
      <c r="Q23" s="4">
        <f>'תקציב אגף ת.ב.ל 2021  '!Q15</f>
        <v>0</v>
      </c>
      <c r="R23" s="4">
        <f>'תקציב אגף ת.ב.ל 2021  '!R15</f>
        <v>0</v>
      </c>
      <c r="S23" s="4">
        <f>'תקציב אגף ת.ב.ל 2021  '!S15</f>
        <v>0</v>
      </c>
      <c r="T23" s="4">
        <f>'תקציב אגף ת.ב.ל 2021  '!T15</f>
        <v>0</v>
      </c>
      <c r="U23" s="4">
        <f>'תקציב אגף ת.ב.ל 2021  '!U15</f>
        <v>0</v>
      </c>
      <c r="V23" s="4">
        <f>'תקציב אגף ת.ב.ל 2021  '!V15</f>
        <v>0</v>
      </c>
      <c r="W23" s="4">
        <f>'תקציב אגף ת.ב.ל 2021  '!W15</f>
        <v>0</v>
      </c>
      <c r="X23" s="4">
        <f>'תקציב אגף ת.ב.ל 2021  '!X15</f>
        <v>0</v>
      </c>
      <c r="Y23" s="4">
        <f>'תקציב אגף ת.ב.ל 2021  '!Y15</f>
        <v>0</v>
      </c>
      <c r="Z23" s="4">
        <f>'תקציב אגף ת.ב.ל 2021  '!Z15</f>
        <v>0</v>
      </c>
      <c r="AA23" s="4">
        <f>'תקציב אגף ת.ב.ל 2021  '!AA15</f>
        <v>0</v>
      </c>
      <c r="AB23" s="280" t="str">
        <f>'תקציב אגף ת.ב.ל 2021  '!AB15</f>
        <v>מימון מ. החינוך. ממתין לתקבול סופי.</v>
      </c>
      <c r="AC23" s="3">
        <f>'תקציב אגף ת.ב.ל 2021  '!AC15</f>
        <v>810000</v>
      </c>
      <c r="AD23" s="24"/>
      <c r="AE23" s="24"/>
      <c r="AF23" s="23"/>
      <c r="AG23" s="23"/>
      <c r="AH23" s="23"/>
      <c r="AI23" s="23"/>
      <c r="AJ23" s="22"/>
      <c r="AK23" s="70"/>
      <c r="AL23" s="70"/>
      <c r="AM23" s="70"/>
      <c r="AN23" s="70"/>
      <c r="AO23" s="70"/>
    </row>
    <row r="24" spans="1:41" s="5" customFormat="1" ht="28">
      <c r="A24" s="566">
        <f t="shared" si="1"/>
        <v>16</v>
      </c>
      <c r="B24" s="3">
        <f>'תקציב אגף ת.ב.ל 2021  '!B16</f>
        <v>1770</v>
      </c>
      <c r="C24" s="280" t="str">
        <f>'תקציב אגף ת.ב.ל 2021  '!C16</f>
        <v>שיפוצי מוסדות חינוך שונים  (לב טוב ,גורדון)</v>
      </c>
      <c r="D24" s="4">
        <f>'תקציב אגף ת.ב.ל 2021  '!D16</f>
        <v>29752105</v>
      </c>
      <c r="E24" s="3">
        <f>'תקציב אגף ת.ב.ל 2021  '!E16</f>
        <v>29752105</v>
      </c>
      <c r="F24" s="3">
        <f>'תקציב אגף ת.ב.ל 2021  '!F16</f>
        <v>0</v>
      </c>
      <c r="G24" s="3">
        <f>'תקציב אגף ת.ב.ל 2021  '!G16</f>
        <v>29752105</v>
      </c>
      <c r="H24" s="3">
        <f>'תקציב אגף ת.ב.ל 2021  '!H16</f>
        <v>29200037</v>
      </c>
      <c r="I24" s="3">
        <f>'תקציב אגף ת.ב.ל 2021  '!I16</f>
        <v>0</v>
      </c>
      <c r="J24" s="3">
        <f>'תקציב אגף ת.ב.ל 2021  '!J16</f>
        <v>550659</v>
      </c>
      <c r="K24" s="3">
        <f>'תקציב אגף ת.ב.ל 2021  '!K16</f>
        <v>550659</v>
      </c>
      <c r="L24" s="4">
        <f>'תקציב אגף ת.ב.ל 2021  '!L16</f>
        <v>29750696</v>
      </c>
      <c r="M24" s="4">
        <f>'תקציב אגף ת.ב.ל 2021  '!M16</f>
        <v>1409</v>
      </c>
      <c r="N24" s="4">
        <f>'תקציב אגף ת.ב.ל 2021  '!N16</f>
        <v>0</v>
      </c>
      <c r="O24" s="4">
        <f>'תקציב אגף ת.ב.ל 2021  '!O16</f>
        <v>0</v>
      </c>
      <c r="P24" s="4">
        <f>'תקציב אגף ת.ב.ל 2021  '!P16</f>
        <v>1409</v>
      </c>
      <c r="Q24" s="4">
        <f>'תקציב אגף ת.ב.ל 2021  '!Q16</f>
        <v>0</v>
      </c>
      <c r="R24" s="4">
        <f>'תקציב אגף ת.ב.ל 2021  '!R16</f>
        <v>0</v>
      </c>
      <c r="S24" s="4">
        <f>'תקציב אגף ת.ב.ל 2021  '!S16</f>
        <v>0</v>
      </c>
      <c r="T24" s="4">
        <f>'תקציב אגף ת.ב.ל 2021  '!T16</f>
        <v>0</v>
      </c>
      <c r="U24" s="4">
        <f>'תקציב אגף ת.ב.ל 2021  '!U16</f>
        <v>0</v>
      </c>
      <c r="V24" s="4">
        <f>'תקציב אגף ת.ב.ל 2021  '!V16</f>
        <v>0</v>
      </c>
      <c r="W24" s="4">
        <f>'תקציב אגף ת.ב.ל 2021  '!W16</f>
        <v>0</v>
      </c>
      <c r="X24" s="4">
        <f>'תקציב אגף ת.ב.ל 2021  '!X16</f>
        <v>0</v>
      </c>
      <c r="Y24" s="4">
        <f>'תקציב אגף ת.ב.ל 2021  '!Y16</f>
        <v>0</v>
      </c>
      <c r="Z24" s="4">
        <f>'תקציב אגף ת.ב.ל 2021  '!Z16</f>
        <v>0</v>
      </c>
      <c r="AA24" s="4">
        <f>'תקציב אגף ת.ב.ל 2021  '!AA16</f>
        <v>0</v>
      </c>
      <c r="AB24" s="280" t="str">
        <f>'תקציב אגף ת.ב.ל 2021  '!AB16</f>
        <v>מימון מ. החינוך. ממתין לתקבול סופי.</v>
      </c>
      <c r="AC24" s="3">
        <f>'תקציב אגף ת.ב.ל 2021  '!AC16</f>
        <v>810000</v>
      </c>
      <c r="AD24" s="24"/>
      <c r="AE24" s="24"/>
      <c r="AF24" s="23"/>
      <c r="AG24" s="23"/>
      <c r="AH24" s="23"/>
      <c r="AI24" s="23"/>
      <c r="AJ24" s="22"/>
    </row>
    <row r="25" spans="1:41" s="5" customFormat="1" ht="42">
      <c r="A25" s="566">
        <f t="shared" si="1"/>
        <v>17</v>
      </c>
      <c r="B25" s="3">
        <f>'תקציב אגף ת.ב.ל 2021  '!B22</f>
        <v>1850</v>
      </c>
      <c r="C25" s="280" t="str">
        <f>'תקציב אגף ת.ב.ל 2021  '!C22</f>
        <v>תיקון ליקויים סקר כיבוי אש מוס"ח  ועיריה</v>
      </c>
      <c r="D25" s="4">
        <f>'תקציב אגף ת.ב.ל 2021  '!D22</f>
        <v>14600000</v>
      </c>
      <c r="E25" s="3">
        <f>'תקציב אגף ת.ב.ל 2021  '!E22</f>
        <v>14600000</v>
      </c>
      <c r="F25" s="3">
        <f>'תקציב אגף ת.ב.ל 2021  '!F22</f>
        <v>0</v>
      </c>
      <c r="G25" s="3">
        <f>'תקציב אגף ת.ב.ל 2021  '!G22</f>
        <v>4630000</v>
      </c>
      <c r="H25" s="3">
        <f>'תקציב אגף ת.ב.ל 2021  '!H22</f>
        <v>3986709</v>
      </c>
      <c r="I25" s="3">
        <f>'תקציב אגף ת.ב.ל 2021  '!I22</f>
        <v>0</v>
      </c>
      <c r="J25" s="3">
        <f>'תקציב אגף ת.ב.ל 2021  '!J22</f>
        <v>290432</v>
      </c>
      <c r="K25" s="3">
        <f>'תקציב אגף ת.ב.ל 2021  '!K22</f>
        <v>290432</v>
      </c>
      <c r="L25" s="4">
        <f>'תקציב אגף ת.ב.ל 2021  '!L22</f>
        <v>4277141</v>
      </c>
      <c r="M25" s="4">
        <f>'תקציב אגף ת.ב.ל 2021  '!M22</f>
        <v>352859</v>
      </c>
      <c r="N25" s="4">
        <f>'תקציב אגף ת.ב.ל 2021  '!N22</f>
        <v>500000</v>
      </c>
      <c r="O25" s="4">
        <f>'תקציב אגף ת.ב.ל 2021  '!O22</f>
        <v>9470000</v>
      </c>
      <c r="P25" s="4">
        <f>'תקציב אגף ת.ב.ל 2021  '!P22</f>
        <v>352859</v>
      </c>
      <c r="Q25" s="4">
        <f>'תקציב אגף ת.ב.ל 2021  '!Q22</f>
        <v>0</v>
      </c>
      <c r="R25" s="4">
        <f>'תקציב אגף ת.ב.ל 2021  '!R22</f>
        <v>0</v>
      </c>
      <c r="S25" s="4">
        <f>'תקציב אגף ת.ב.ל 2021  '!S22</f>
        <v>0</v>
      </c>
      <c r="T25" s="4">
        <f>'תקציב אגף ת.ב.ל 2021  '!T22</f>
        <v>0</v>
      </c>
      <c r="U25" s="4">
        <f>'תקציב אגף ת.ב.ל 2021  '!U22</f>
        <v>500000</v>
      </c>
      <c r="V25" s="4">
        <f>'תקציב אגף ת.ב.ל 2021  '!V22</f>
        <v>0</v>
      </c>
      <c r="W25" s="4">
        <f>'תקציב אגף ת.ב.ל 2021  '!W22</f>
        <v>500000</v>
      </c>
      <c r="X25" s="4">
        <f>'תקציב אגף ת.ב.ל 2021  '!X22</f>
        <v>0</v>
      </c>
      <c r="Y25" s="4">
        <f>'תקציב אגף ת.ב.ל 2021  '!Y22</f>
        <v>0</v>
      </c>
      <c r="Z25" s="4">
        <f>'תקציב אגף ת.ב.ל 2021  '!Z22</f>
        <v>0</v>
      </c>
      <c r="AA25" s="4">
        <f>'תקציב אגף ת.ב.ל 2021  '!AA22</f>
        <v>0</v>
      </c>
      <c r="AB25" s="280" t="str">
        <f>'תקציב אגף ת.ב.ל 2021  '!AB22</f>
        <v>סל לעבודות הסדרת ליקויים כיבוי אש במוס"ח ובמוסדות עיריה  לפי סקר.</v>
      </c>
      <c r="AC25" s="3">
        <f>'תקציב אגף ת.ב.ל 2021  '!AC22</f>
        <v>810000</v>
      </c>
      <c r="AD25" s="24"/>
      <c r="AE25" s="24"/>
      <c r="AF25" s="23"/>
      <c r="AG25" s="23"/>
      <c r="AH25" s="22"/>
      <c r="AI25" s="22"/>
      <c r="AJ25" s="22"/>
    </row>
    <row r="26" spans="1:41" s="5" customFormat="1" ht="36.65" customHeight="1">
      <c r="A26" s="566">
        <f t="shared" si="1"/>
        <v>18</v>
      </c>
      <c r="B26" s="3">
        <f>'תקציב אגף ת.ב.ל 2021  '!B23</f>
        <v>1883</v>
      </c>
      <c r="C26" s="280" t="str">
        <f>'תקציב אגף ת.ב.ל 2021  '!C23</f>
        <v>שיפוץ ותוספת בניה בי"ס בר אילן</v>
      </c>
      <c r="D26" s="4">
        <f>'תקציב אגף ת.ב.ל 2021  '!D23</f>
        <v>27245000</v>
      </c>
      <c r="E26" s="3">
        <f>'תקציב אגף ת.ב.ל 2021  '!E23</f>
        <v>26215000</v>
      </c>
      <c r="F26" s="3">
        <f>'תקציב אגף ת.ב.ל 2021  '!F23</f>
        <v>1030000</v>
      </c>
      <c r="G26" s="3">
        <f>'תקציב אגף ת.ב.ל 2021  '!G23</f>
        <v>26215000</v>
      </c>
      <c r="H26" s="3">
        <f>'תקציב אגף ת.ב.ל 2021  '!H23</f>
        <v>26184042</v>
      </c>
      <c r="I26" s="3">
        <f>'תקציב אגף ת.ב.ל 2021  '!I23</f>
        <v>0</v>
      </c>
      <c r="J26" s="3">
        <f>'תקציב אגף ת.ב.ל 2021  '!J23</f>
        <v>12752</v>
      </c>
      <c r="K26" s="3">
        <f>'תקציב אגף ת.ב.ל 2021  '!K23</f>
        <v>12752</v>
      </c>
      <c r="L26" s="4">
        <f>'תקציב אגף ת.ב.ל 2021  '!L23</f>
        <v>26196794</v>
      </c>
      <c r="M26" s="4">
        <f>'תקציב אגף ת.ב.ל 2021  '!M23</f>
        <v>18206</v>
      </c>
      <c r="N26" s="4">
        <f>'תקציב אגף ת.ב.ל 2021  '!N23</f>
        <v>0</v>
      </c>
      <c r="O26" s="4">
        <f>'תקציב אגף ת.ב.ל 2021  '!O23</f>
        <v>1030000</v>
      </c>
      <c r="P26" s="4">
        <f>'תקציב אגף ת.ב.ל 2021  '!P23</f>
        <v>18206</v>
      </c>
      <c r="Q26" s="4">
        <f>'תקציב אגף ת.ב.ל 2021  '!Q23</f>
        <v>0</v>
      </c>
      <c r="R26" s="4">
        <f>'תקציב אגף ת.ב.ל 2021  '!R23</f>
        <v>0</v>
      </c>
      <c r="S26" s="4">
        <f>'תקציב אגף ת.ב.ל 2021  '!S23</f>
        <v>0</v>
      </c>
      <c r="T26" s="4">
        <f>'תקציב אגף ת.ב.ל 2021  '!T23</f>
        <v>0</v>
      </c>
      <c r="U26" s="4">
        <f>'תקציב אגף ת.ב.ל 2021  '!U23</f>
        <v>0</v>
      </c>
      <c r="V26" s="4">
        <f>'תקציב אגף ת.ב.ל 2021  '!V23</f>
        <v>0</v>
      </c>
      <c r="W26" s="4">
        <f>'תקציב אגף ת.ב.ל 2021  '!W23</f>
        <v>0</v>
      </c>
      <c r="X26" s="4">
        <f>'תקציב אגף ת.ב.ל 2021  '!X23</f>
        <v>0</v>
      </c>
      <c r="Y26" s="4">
        <f>'תקציב אגף ת.ב.ל 2021  '!Y23</f>
        <v>0</v>
      </c>
      <c r="Z26" s="4">
        <f>'תקציב אגף ת.ב.ל 2021  '!Z23</f>
        <v>0</v>
      </c>
      <c r="AA26" s="4">
        <f>'תקציב אגף ת.ב.ל 2021  '!AA23</f>
        <v>0</v>
      </c>
      <c r="AB26" s="280" t="str">
        <f>'תקציב אגף ת.ב.ל 2021  '!AB23</f>
        <v>משטחי בטיחות, מתקני חצר,גינון, דשא סינטטי.</v>
      </c>
      <c r="AC26" s="3">
        <f>'תקציב אגף ת.ב.ל 2021  '!AC23</f>
        <v>810000</v>
      </c>
      <c r="AD26" s="24"/>
      <c r="AE26" s="24"/>
      <c r="AF26" s="23"/>
      <c r="AG26" s="23"/>
      <c r="AH26" s="22"/>
      <c r="AI26" s="22"/>
      <c r="AJ26" s="22"/>
    </row>
    <row r="27" spans="1:41" s="5" customFormat="1" ht="42">
      <c r="A27" s="566">
        <f t="shared" si="1"/>
        <v>19</v>
      </c>
      <c r="B27" s="3">
        <f>'תקציב אגף ת.ב.ל 2021  '!B24</f>
        <v>1887</v>
      </c>
      <c r="C27" s="280" t="str">
        <f>'תקציב אגף ת.ב.ל 2021  '!C24</f>
        <v>שיפוץ בי"ס מפתן ארז</v>
      </c>
      <c r="D27" s="4">
        <f>'תקציב אגף ת.ב.ל 2021  '!D24</f>
        <v>5200000</v>
      </c>
      <c r="E27" s="3">
        <f>'תקציב אגף ת.ב.ל 2021  '!E24</f>
        <v>5200000</v>
      </c>
      <c r="F27" s="3">
        <f>'תקציב אגף ת.ב.ל 2021  '!F24</f>
        <v>0</v>
      </c>
      <c r="G27" s="3">
        <f>'תקציב אגף ת.ב.ל 2021  '!G24</f>
        <v>1760000</v>
      </c>
      <c r="H27" s="3">
        <f>'תקציב אגף ת.ב.ל 2021  '!H24</f>
        <v>1363742</v>
      </c>
      <c r="I27" s="3">
        <f>'תקציב אגף ת.ב.ל 2021  '!I24</f>
        <v>332775</v>
      </c>
      <c r="J27" s="3">
        <f>'תקציב אגף ת.ב.ל 2021  '!J24</f>
        <v>0</v>
      </c>
      <c r="K27" s="3">
        <f>'תקציב אגף ת.ב.ל 2021  '!K24</f>
        <v>332775</v>
      </c>
      <c r="L27" s="4">
        <f>'תקציב אגף ת.ב.ל 2021  '!L24</f>
        <v>1696517</v>
      </c>
      <c r="M27" s="4">
        <f>'תקציב אגף ת.ב.ל 2021  '!M24</f>
        <v>63483</v>
      </c>
      <c r="N27" s="4">
        <f>'תקציב אגף ת.ב.ל 2021  '!N24</f>
        <v>0</v>
      </c>
      <c r="O27" s="4">
        <f>'תקציב אגף ת.ב.ל 2021  '!O24</f>
        <v>3440000</v>
      </c>
      <c r="P27" s="4">
        <f>'תקציב אגף ת.ב.ל 2021  '!P24</f>
        <v>63483</v>
      </c>
      <c r="Q27" s="4">
        <f>'תקציב אגף ת.ב.ל 2021  '!Q24</f>
        <v>0</v>
      </c>
      <c r="R27" s="4">
        <f>'תקציב אגף ת.ב.ל 2021  '!R24</f>
        <v>0</v>
      </c>
      <c r="S27" s="4">
        <f>'תקציב אגף ת.ב.ל 2021  '!S24</f>
        <v>0</v>
      </c>
      <c r="T27" s="4">
        <f>'תקציב אגף ת.ב.ל 2021  '!T24</f>
        <v>0</v>
      </c>
      <c r="U27" s="4">
        <f>'תקציב אגף ת.ב.ל 2021  '!U24</f>
        <v>0</v>
      </c>
      <c r="V27" s="4">
        <f>'תקציב אגף ת.ב.ל 2021  '!V24</f>
        <v>0</v>
      </c>
      <c r="W27" s="4">
        <f>'תקציב אגף ת.ב.ל 2021  '!W24</f>
        <v>0</v>
      </c>
      <c r="X27" s="4">
        <f>'תקציב אגף ת.ב.ל 2021  '!X24</f>
        <v>0</v>
      </c>
      <c r="Y27" s="4">
        <f>'תקציב אגף ת.ב.ל 2021  '!Y24</f>
        <v>0</v>
      </c>
      <c r="Z27" s="4">
        <f>'תקציב אגף ת.ב.ל 2021  '!Z24</f>
        <v>0</v>
      </c>
      <c r="AA27" s="4">
        <f>'תקציב אגף ת.ב.ל 2021  '!AA24</f>
        <v>0</v>
      </c>
      <c r="AB27" s="280" t="str">
        <f>'תקציב אגף ת.ב.ל 2021  '!AB24</f>
        <v>שלב ב' של עבודות שיפוצים יסודיים הרחבות בקומת הקרקע, מטבח, חזיתות. עיכוב בהיתר.</v>
      </c>
      <c r="AC27" s="3">
        <f>'תקציב אגף ת.ב.ל 2021  '!AC24</f>
        <v>810000</v>
      </c>
      <c r="AD27" s="24"/>
      <c r="AE27" s="24"/>
      <c r="AF27" s="23"/>
      <c r="AG27" s="23"/>
      <c r="AH27" s="22"/>
      <c r="AI27" s="22"/>
      <c r="AJ27" s="22"/>
    </row>
    <row r="28" spans="1:41" s="70" customFormat="1" ht="28">
      <c r="A28" s="566">
        <f t="shared" si="1"/>
        <v>20</v>
      </c>
      <c r="B28" s="3">
        <f>'תקציב אגף ת.ב.ל 2021  '!B25</f>
        <v>1900</v>
      </c>
      <c r="C28" s="280" t="str">
        <f>'תקציב אגף ת.ב.ל 2021  '!C25</f>
        <v>התקנת מעלית בי"ס שז"ר</v>
      </c>
      <c r="D28" s="4">
        <f>'תקציב אגף ת.ב.ל 2021  '!D25</f>
        <v>600000</v>
      </c>
      <c r="E28" s="3">
        <f>'תקציב אגף ת.ב.ל 2021  '!E25</f>
        <v>700000</v>
      </c>
      <c r="F28" s="3">
        <f>'תקציב אגף ת.ב.ל 2021  '!F25</f>
        <v>-100000</v>
      </c>
      <c r="G28" s="3">
        <f>'תקציב אגף ת.ב.ל 2021  '!G25</f>
        <v>700000</v>
      </c>
      <c r="H28" s="3">
        <f>'תקציב אגף ת.ב.ל 2021  '!H25</f>
        <v>482010</v>
      </c>
      <c r="I28" s="3">
        <f>'תקציב אגף ת.ב.ל 2021  '!I25</f>
        <v>40401</v>
      </c>
      <c r="J28" s="3">
        <f>'תקציב אגף ת.ב.ל 2021  '!J25</f>
        <v>0</v>
      </c>
      <c r="K28" s="3">
        <f>'תקציב אגף ת.ב.ל 2021  '!K25</f>
        <v>40401</v>
      </c>
      <c r="L28" s="4">
        <f>'תקציב אגף ת.ב.ל 2021  '!L25</f>
        <v>522411</v>
      </c>
      <c r="M28" s="4">
        <f>'תקציב אגף ת.ב.ל 2021  '!M25</f>
        <v>77589</v>
      </c>
      <c r="N28" s="4">
        <f>'תקציב אגף ת.ב.ל 2021  '!N25</f>
        <v>0</v>
      </c>
      <c r="O28" s="4">
        <f>'תקציב אגף ת.ב.ל 2021  '!O25</f>
        <v>0</v>
      </c>
      <c r="P28" s="4">
        <f>'תקציב אגף ת.ב.ל 2021  '!P25</f>
        <v>177589</v>
      </c>
      <c r="Q28" s="4">
        <f>'תקציב אגף ת.ב.ל 2021  '!Q25</f>
        <v>0</v>
      </c>
      <c r="R28" s="4">
        <f>'תקציב אגף ת.ב.ל 2021  '!R25</f>
        <v>0</v>
      </c>
      <c r="S28" s="4">
        <f>'תקציב אגף ת.ב.ל 2021  '!S25</f>
        <v>0</v>
      </c>
      <c r="T28" s="4">
        <f>'תקציב אגף ת.ב.ל 2021  '!T25</f>
        <v>100000</v>
      </c>
      <c r="U28" s="4">
        <f>'תקציב אגף ת.ב.ל 2021  '!U25</f>
        <v>-100000</v>
      </c>
      <c r="V28" s="4">
        <f>'תקציב אגף ת.ב.ל 2021  '!V25</f>
        <v>-100000</v>
      </c>
      <c r="W28" s="4">
        <f>'תקציב אגף ת.ב.ל 2021  '!W25</f>
        <v>0</v>
      </c>
      <c r="X28" s="4">
        <f>'תקציב אגף ת.ב.ל 2021  '!X25</f>
        <v>0</v>
      </c>
      <c r="Y28" s="4">
        <f>'תקציב אגף ת.ב.ל 2021  '!Y25</f>
        <v>0</v>
      </c>
      <c r="Z28" s="4">
        <f>'תקציב אגף ת.ב.ל 2021  '!Z25</f>
        <v>0</v>
      </c>
      <c r="AA28" s="4">
        <f>'תקציב אגף ת.ב.ל 2021  '!AA25</f>
        <v>0</v>
      </c>
      <c r="AB28" s="280" t="str">
        <f>'תקציב אגף ת.ב.ל 2021  '!AB25</f>
        <v>התקנת מעלית במימון חלקי של משרד החינוך.</v>
      </c>
      <c r="AC28" s="3">
        <f>'תקציב אגף ת.ב.ל 2021  '!AC25</f>
        <v>810000</v>
      </c>
      <c r="AD28" s="24"/>
      <c r="AE28" s="24"/>
      <c r="AF28" s="23"/>
      <c r="AG28" s="23"/>
      <c r="AH28" s="23"/>
      <c r="AI28" s="23"/>
      <c r="AJ28" s="22"/>
      <c r="AK28" s="5"/>
      <c r="AL28" s="5"/>
      <c r="AM28" s="5"/>
      <c r="AN28" s="5"/>
      <c r="AO28" s="5"/>
    </row>
    <row r="29" spans="1:41" s="5" customFormat="1" ht="42">
      <c r="A29" s="566">
        <f t="shared" si="1"/>
        <v>21</v>
      </c>
      <c r="B29" s="3">
        <f>'תקציב אגף ת.ב.ל 2021  '!B30</f>
        <v>1967</v>
      </c>
      <c r="C29" s="280" t="str">
        <f>'תקציב אגף ת.ב.ל 2021  '!C30</f>
        <v>התאמות נגישות מוסדות חינוך</v>
      </c>
      <c r="D29" s="4">
        <f>'תקציב אגף ת.ב.ל 2021  '!D30</f>
        <v>12929000</v>
      </c>
      <c r="E29" s="3">
        <f>'תקציב אגף ת.ב.ל 2021  '!E30</f>
        <v>12929000</v>
      </c>
      <c r="F29" s="3">
        <f>'תקציב אגף ת.ב.ל 2021  '!F30</f>
        <v>0</v>
      </c>
      <c r="G29" s="3">
        <f>'תקציב אגף ת.ב.ל 2021  '!G30</f>
        <v>10819000</v>
      </c>
      <c r="H29" s="3">
        <f>'תקציב אגף ת.ב.ל 2021  '!H30</f>
        <v>2105132</v>
      </c>
      <c r="I29" s="3">
        <f>'תקציב אגף ת.ב.ל 2021  '!I30</f>
        <v>202825</v>
      </c>
      <c r="J29" s="3">
        <f>'תקציב אגף ת.ב.ל 2021  '!J30</f>
        <v>8508972</v>
      </c>
      <c r="K29" s="3">
        <f>'תקציב אגף ת.ב.ל 2021  '!K30</f>
        <v>8711797</v>
      </c>
      <c r="L29" s="4">
        <f>'תקציב אגף ת.ב.ל 2021  '!L30</f>
        <v>10816929</v>
      </c>
      <c r="M29" s="4">
        <f>'תקציב אגף ת.ב.ל 2021  '!M30</f>
        <v>2071</v>
      </c>
      <c r="N29" s="4">
        <f>'תקציב אגף ת.ב.ל 2021  '!N30</f>
        <v>1810000</v>
      </c>
      <c r="O29" s="4">
        <f>'תקציב אגף ת.ב.ל 2021  '!O30</f>
        <v>300000</v>
      </c>
      <c r="P29" s="4">
        <f>'תקציב אגף ת.ב.ל 2021  '!P30</f>
        <v>2071</v>
      </c>
      <c r="Q29" s="4">
        <f>'תקציב אגף ת.ב.ל 2021  '!Q30</f>
        <v>0</v>
      </c>
      <c r="R29" s="4">
        <f>'תקציב אגף ת.ב.ל 2021  '!R30</f>
        <v>0</v>
      </c>
      <c r="S29" s="4">
        <f>'תקציב אגף ת.ב.ל 2021  '!S30</f>
        <v>0</v>
      </c>
      <c r="T29" s="4">
        <f>'תקציב אגף ת.ב.ל 2021  '!T30</f>
        <v>0</v>
      </c>
      <c r="U29" s="4">
        <f>'תקציב אגף ת.ב.ל 2021  '!U30</f>
        <v>1810000</v>
      </c>
      <c r="V29" s="4">
        <f>'תקציב אגף ת.ב.ל 2021  '!V30</f>
        <v>0</v>
      </c>
      <c r="W29" s="4">
        <f>'תקציב אגף ת.ב.ל 2021  '!W30</f>
        <v>1810000</v>
      </c>
      <c r="X29" s="4">
        <f>'תקציב אגף ת.ב.ל 2021  '!X30</f>
        <v>0</v>
      </c>
      <c r="Y29" s="4">
        <f>'תקציב אגף ת.ב.ל 2021  '!Y30</f>
        <v>0</v>
      </c>
      <c r="Z29" s="4">
        <f>'תקציב אגף ת.ב.ל 2021  '!Z30</f>
        <v>0</v>
      </c>
      <c r="AA29" s="4">
        <f>'תקציב אגף ת.ב.ל 2021  '!AA30</f>
        <v>0</v>
      </c>
      <c r="AB29" s="280" t="str">
        <f>'תקציב אגף ת.ב.ל 2021  '!AB30</f>
        <v xml:space="preserve">התקנת מעליות, שרותים ,רמפות בבי"ס עפ"י תוכנית רב שנתית. מימון מ. החינוך. </v>
      </c>
      <c r="AC29" s="3">
        <f>'תקציב אגף ת.ב.ל 2021  '!AC30</f>
        <v>810000</v>
      </c>
      <c r="AD29" s="24"/>
      <c r="AE29" s="24"/>
      <c r="AF29" s="23"/>
      <c r="AG29" s="23"/>
      <c r="AH29" s="23"/>
      <c r="AI29" s="23"/>
      <c r="AJ29" s="22"/>
    </row>
    <row r="30" spans="1:41" s="5" customFormat="1" ht="42">
      <c r="A30" s="566">
        <f t="shared" si="1"/>
        <v>22</v>
      </c>
      <c r="B30" s="3">
        <f>'תקציב אגף ת.ב.ל 2021  '!B32</f>
        <v>1970</v>
      </c>
      <c r="C30" s="280" t="str">
        <f>'תקציב אגף ת.ב.ל 2021  '!C32</f>
        <v xml:space="preserve">שיפוצים שונים מוס"ח </v>
      </c>
      <c r="D30" s="4">
        <f>'תקציב אגף ת.ב.ל 2021  '!D32</f>
        <v>32500000</v>
      </c>
      <c r="E30" s="3">
        <f>'תקציב אגף ת.ב.ל 2021  '!E32</f>
        <v>34200000</v>
      </c>
      <c r="F30" s="3">
        <f>'תקציב אגף ת.ב.ל 2021  '!F32</f>
        <v>-1700000</v>
      </c>
      <c r="G30" s="3">
        <f>'תקציב אגף ת.ב.ל 2021  '!G32</f>
        <v>32500000</v>
      </c>
      <c r="H30" s="3">
        <f>'תקציב אגף ת.ב.ל 2021  '!H32</f>
        <v>25742468</v>
      </c>
      <c r="I30" s="3">
        <f>'תקציב אגף ת.ב.ל 2021  '!I32</f>
        <v>362102</v>
      </c>
      <c r="J30" s="3">
        <f>'תקציב אגף ת.ב.ל 2021  '!J32</f>
        <v>4260442</v>
      </c>
      <c r="K30" s="3">
        <f>'תקציב אגף ת.ב.ל 2021  '!K32</f>
        <v>4622544</v>
      </c>
      <c r="L30" s="4">
        <f>'תקציב אגף ת.ב.ל 2021  '!L32</f>
        <v>30365012</v>
      </c>
      <c r="M30" s="4">
        <f>'תקציב אגף ת.ב.ל 2021  '!M32</f>
        <v>2134988</v>
      </c>
      <c r="N30" s="4">
        <f>'תקציב אגף ת.ב.ל 2021  '!N32</f>
        <v>0</v>
      </c>
      <c r="O30" s="4">
        <f>'תקציב אגף ת.ב.ל 2021  '!O32</f>
        <v>0</v>
      </c>
      <c r="P30" s="4">
        <f>'תקציב אגף ת.ב.ל 2021  '!P32</f>
        <v>2134988</v>
      </c>
      <c r="Q30" s="4">
        <f>'תקציב אגף ת.ב.ל 2021  '!Q32</f>
        <v>0</v>
      </c>
      <c r="R30" s="4">
        <f>'תקציב אגף ת.ב.ל 2021  '!R32</f>
        <v>0</v>
      </c>
      <c r="S30" s="4">
        <f>'תקציב אגף ת.ב.ל 2021  '!S32</f>
        <v>0</v>
      </c>
      <c r="T30" s="4">
        <f>'תקציב אגף ת.ב.ל 2021  '!T32</f>
        <v>0</v>
      </c>
      <c r="U30" s="4">
        <f>'תקציב אגף ת.ב.ל 2021  '!U32</f>
        <v>0</v>
      </c>
      <c r="V30" s="4">
        <f>'תקציב אגף ת.ב.ל 2021  '!V32</f>
        <v>0</v>
      </c>
      <c r="W30" s="4">
        <f>'תקציב אגף ת.ב.ל 2021  '!W32</f>
        <v>0</v>
      </c>
      <c r="X30" s="4">
        <f>'תקציב אגף ת.ב.ל 2021  '!X32</f>
        <v>0</v>
      </c>
      <c r="Y30" s="4">
        <f>'תקציב אגף ת.ב.ל 2021  '!Y32</f>
        <v>0</v>
      </c>
      <c r="Z30" s="4">
        <f>'תקציב אגף ת.ב.ל 2021  '!Z32</f>
        <v>0</v>
      </c>
      <c r="AA30" s="4">
        <f>'תקציב אגף ת.ב.ל 2021  '!AA32</f>
        <v>0</v>
      </c>
      <c r="AB30" s="280" t="str">
        <f>'תקציב אגף ת.ב.ל 2021  '!AB32</f>
        <v>סל עבודות שיפוצים שונות במוס"ח לרבות שיפוצים יסודיים והתאמת מבנים גנ"י.ראה תב"ר 2177.</v>
      </c>
      <c r="AC30" s="3">
        <f>'תקציב אגף ת.ב.ל 2021  '!AC32</f>
        <v>810000</v>
      </c>
      <c r="AD30" s="24"/>
      <c r="AE30" s="24"/>
      <c r="AF30" s="23"/>
      <c r="AG30" s="23"/>
      <c r="AH30" s="23"/>
      <c r="AI30" s="23"/>
      <c r="AJ30" s="22"/>
    </row>
    <row r="31" spans="1:41" s="5" customFormat="1" ht="28">
      <c r="A31" s="566">
        <f t="shared" si="1"/>
        <v>23</v>
      </c>
      <c r="B31" s="3">
        <f>'תקציב אגף ת.ב.ל 2021  '!B33</f>
        <v>2001</v>
      </c>
      <c r="C31" s="280" t="str">
        <f>'תקציב אגף ת.ב.ל 2021  '!C33</f>
        <v>בניית בי"ס ברחוב משה (ירוק)</v>
      </c>
      <c r="D31" s="4">
        <f>'תקציב אגף ת.ב.ל 2021  '!D33</f>
        <v>18500000</v>
      </c>
      <c r="E31" s="3">
        <f>'תקציב אגף ת.ב.ל 2021  '!E33</f>
        <v>18500000</v>
      </c>
      <c r="F31" s="3">
        <f>'תקציב אגף ת.ב.ל 2021  '!F33</f>
        <v>0</v>
      </c>
      <c r="G31" s="3">
        <f>'תקציב אגף ת.ב.ל 2021  '!G33</f>
        <v>1398700</v>
      </c>
      <c r="H31" s="3">
        <f>'תקציב אגף ת.ב.ל 2021  '!H33</f>
        <v>445693</v>
      </c>
      <c r="I31" s="3">
        <f>'תקציב אגף ת.ב.ל 2021  '!I33</f>
        <v>626187</v>
      </c>
      <c r="J31" s="3">
        <f>'תקציב אגף ת.ב.ל 2021  '!J33</f>
        <v>43117</v>
      </c>
      <c r="K31" s="3">
        <f>'תקציב אגף ת.ב.ל 2021  '!K33</f>
        <v>669304</v>
      </c>
      <c r="L31" s="4">
        <f>'תקציב אגף ת.ב.ל 2021  '!L33</f>
        <v>1114997</v>
      </c>
      <c r="M31" s="4">
        <f>'תקציב אגף ת.ב.ל 2021  '!M33</f>
        <v>283703</v>
      </c>
      <c r="N31" s="4">
        <f>'תקציב אגף ת.ב.ל 2021  '!N33</f>
        <v>17101300</v>
      </c>
      <c r="O31" s="4">
        <f>'תקציב אגף ת.ב.ל 2021  '!O33</f>
        <v>0</v>
      </c>
      <c r="P31" s="4">
        <f>'תקציב אגף ת.ב.ל 2021  '!P33</f>
        <v>283703</v>
      </c>
      <c r="Q31" s="4">
        <f>'תקציב אגף ת.ב.ל 2021  '!Q33</f>
        <v>0</v>
      </c>
      <c r="R31" s="4">
        <f>'תקציב אגף ת.ב.ל 2021  '!R33</f>
        <v>0</v>
      </c>
      <c r="S31" s="4">
        <f>'תקציב אגף ת.ב.ל 2021  '!S33</f>
        <v>0</v>
      </c>
      <c r="T31" s="4">
        <f>'תקציב אגף ת.ב.ל 2021  '!T33</f>
        <v>0</v>
      </c>
      <c r="U31" s="4">
        <f>'תקציב אגף ת.ב.ל 2021  '!U33</f>
        <v>17101300</v>
      </c>
      <c r="V31" s="4">
        <f>'תקציב אגף ת.ב.ל 2021  '!V33</f>
        <v>7541300</v>
      </c>
      <c r="W31" s="4">
        <f>'תקציב אגף ת.ב.ל 2021  '!W33</f>
        <v>0</v>
      </c>
      <c r="X31" s="4">
        <f>'תקציב אגף ת.ב.ל 2021  '!X33</f>
        <v>0</v>
      </c>
      <c r="Y31" s="4">
        <f>'תקציב אגף ת.ב.ל 2021  '!Y33</f>
        <v>0</v>
      </c>
      <c r="Z31" s="4">
        <f>'תקציב אגף ת.ב.ל 2021  '!Z33</f>
        <v>0</v>
      </c>
      <c r="AA31" s="4">
        <f>'תקציב אגף ת.ב.ל 2021  '!AA33</f>
        <v>9560000</v>
      </c>
      <c r="AB31" s="280" t="str">
        <f>'תקציב אגף ת.ב.ל 2021  '!AB33</f>
        <v xml:space="preserve">בניית בית ספר ברח' משה-12 כתות. מימון מ. החינוך. היתר בשלב סופי. </v>
      </c>
      <c r="AC31" s="3">
        <f>'תקציב אגף ת.ב.ל 2021  '!AC33</f>
        <v>810000</v>
      </c>
      <c r="AD31" s="24"/>
      <c r="AE31" s="24"/>
      <c r="AF31" s="23"/>
      <c r="AG31" s="23"/>
      <c r="AH31" s="23"/>
      <c r="AI31" s="23"/>
      <c r="AJ31" s="22"/>
    </row>
    <row r="32" spans="1:41" s="5" customFormat="1" ht="28">
      <c r="A32" s="566">
        <f t="shared" si="1"/>
        <v>24</v>
      </c>
      <c r="B32" s="3">
        <f>'תקציב אגף ת.ב.ל 2021  '!B34</f>
        <v>2027</v>
      </c>
      <c r="C32" s="280" t="str">
        <f>'תקציב אגף ת.ב.ל 2021  '!C34</f>
        <v>שיפוץ יסודי מעון בן סרוק כולל הצטיידות</v>
      </c>
      <c r="D32" s="4">
        <f>'תקציב אגף ת.ב.ל 2021  '!D34</f>
        <v>1901000</v>
      </c>
      <c r="E32" s="3">
        <f>'תקציב אגף ת.ב.ל 2021  '!E34</f>
        <v>1930000</v>
      </c>
      <c r="F32" s="3">
        <f>'תקציב אגף ת.ב.ל 2021  '!F34</f>
        <v>-29000</v>
      </c>
      <c r="G32" s="3">
        <f>'תקציב אגף ת.ב.ל 2021  '!G34</f>
        <v>1901000</v>
      </c>
      <c r="H32" s="3">
        <f>'תקציב אגף ת.ב.ל 2021  '!H34</f>
        <v>1878506</v>
      </c>
      <c r="I32" s="3">
        <f>'תקציב אגף ת.ב.ל 2021  '!I34</f>
        <v>0</v>
      </c>
      <c r="J32" s="3">
        <f>'תקציב אגף ת.ב.ל 2021  '!J34</f>
        <v>22392</v>
      </c>
      <c r="K32" s="3">
        <f>'תקציב אגף ת.ב.ל 2021  '!K34</f>
        <v>22392</v>
      </c>
      <c r="L32" s="4">
        <f>'תקציב אגף ת.ב.ל 2021  '!L34</f>
        <v>1900898</v>
      </c>
      <c r="M32" s="4">
        <f>'תקציב אגף ת.ב.ל 2021  '!M34</f>
        <v>102</v>
      </c>
      <c r="N32" s="4">
        <f>'תקציב אגף ת.ב.ל 2021  '!N34</f>
        <v>0</v>
      </c>
      <c r="O32" s="4">
        <f>'תקציב אגף ת.ב.ל 2021  '!O34</f>
        <v>0</v>
      </c>
      <c r="P32" s="4">
        <f>'תקציב אגף ת.ב.ל 2021  '!P34</f>
        <v>102</v>
      </c>
      <c r="Q32" s="4">
        <f>'תקציב אגף ת.ב.ל 2021  '!Q34</f>
        <v>0</v>
      </c>
      <c r="R32" s="4">
        <f>'תקציב אגף ת.ב.ל 2021  '!R34</f>
        <v>0</v>
      </c>
      <c r="S32" s="4">
        <f>'תקציב אגף ת.ב.ל 2021  '!S34</f>
        <v>0</v>
      </c>
      <c r="T32" s="4">
        <f>'תקציב אגף ת.ב.ל 2021  '!T34</f>
        <v>0</v>
      </c>
      <c r="U32" s="4">
        <f>'תקציב אגף ת.ב.ל 2021  '!U34</f>
        <v>0</v>
      </c>
      <c r="V32" s="4">
        <f>'תקציב אגף ת.ב.ל 2021  '!V34</f>
        <v>0</v>
      </c>
      <c r="W32" s="4">
        <f>'תקציב אגף ת.ב.ל 2021  '!W34</f>
        <v>0</v>
      </c>
      <c r="X32" s="4">
        <f>'תקציב אגף ת.ב.ל 2021  '!X34</f>
        <v>0</v>
      </c>
      <c r="Y32" s="4">
        <f>'תקציב אגף ת.ב.ל 2021  '!Y34</f>
        <v>0</v>
      </c>
      <c r="Z32" s="4">
        <f>'תקציב אגף ת.ב.ל 2021  '!Z34</f>
        <v>0</v>
      </c>
      <c r="AA32" s="4">
        <f>'תקציב אגף ת.ב.ל 2021  '!AA34</f>
        <v>0</v>
      </c>
      <c r="AB32" s="280">
        <f>'תקציב אגף ת.ב.ל 2021  '!AB34</f>
        <v>0</v>
      </c>
      <c r="AC32" s="3">
        <f>'תקציב אגף ת.ב.ל 2021  '!AC34</f>
        <v>810000</v>
      </c>
      <c r="AD32" s="24"/>
      <c r="AE32" s="24"/>
      <c r="AF32" s="23"/>
      <c r="AG32" s="23"/>
      <c r="AH32" s="23"/>
      <c r="AI32" s="23"/>
      <c r="AJ32" s="22"/>
      <c r="AK32" s="567"/>
      <c r="AL32" s="567"/>
      <c r="AM32" s="567"/>
      <c r="AN32" s="567"/>
      <c r="AO32" s="567"/>
    </row>
    <row r="33" spans="1:41" s="5" customFormat="1" ht="28">
      <c r="A33" s="566">
        <f t="shared" si="1"/>
        <v>25</v>
      </c>
      <c r="B33" s="3">
        <f>'תקציב אגף ת.ב.ל 2021  '!B35</f>
        <v>2028</v>
      </c>
      <c r="C33" s="280" t="str">
        <f>'תקציב אגף ת.ב.ל 2021  '!C35</f>
        <v>שיפוץ מעבדת רובוטיקה בהנדסאים</v>
      </c>
      <c r="D33" s="4">
        <f>'תקציב אגף ת.ב.ל 2021  '!D35</f>
        <v>2435000</v>
      </c>
      <c r="E33" s="3">
        <f>'תקציב אגף ת.ב.ל 2021  '!E35</f>
        <v>2435000</v>
      </c>
      <c r="F33" s="3">
        <f>'תקציב אגף ת.ב.ל 2021  '!F35</f>
        <v>0</v>
      </c>
      <c r="G33" s="3">
        <f>'תקציב אגף ת.ב.ל 2021  '!G35</f>
        <v>2435000</v>
      </c>
      <c r="H33" s="3">
        <f>'תקציב אגף ת.ב.ל 2021  '!H35</f>
        <v>2070407</v>
      </c>
      <c r="I33" s="3">
        <f>'תקציב אגף ת.ב.ל 2021  '!I35</f>
        <v>22257</v>
      </c>
      <c r="J33" s="3">
        <f>'תקציב אגף ת.ב.ל 2021  '!J35</f>
        <v>3861</v>
      </c>
      <c r="K33" s="3">
        <f>'תקציב אגף ת.ב.ל 2021  '!K35</f>
        <v>26118</v>
      </c>
      <c r="L33" s="4">
        <f>'תקציב אגף ת.ב.ל 2021  '!L35</f>
        <v>2096525</v>
      </c>
      <c r="M33" s="4">
        <f>'תקציב אגף ת.ב.ל 2021  '!M35</f>
        <v>338475</v>
      </c>
      <c r="N33" s="4">
        <f>'תקציב אגף ת.ב.ל 2021  '!N35</f>
        <v>0</v>
      </c>
      <c r="O33" s="4">
        <f>'תקציב אגף ת.ב.ל 2021  '!O35</f>
        <v>0</v>
      </c>
      <c r="P33" s="4">
        <f>'תקציב אגף ת.ב.ל 2021  '!P35</f>
        <v>338475</v>
      </c>
      <c r="Q33" s="4">
        <f>'תקציב אגף ת.ב.ל 2021  '!Q35</f>
        <v>0</v>
      </c>
      <c r="R33" s="4">
        <f>'תקציב אגף ת.ב.ל 2021  '!R35</f>
        <v>0</v>
      </c>
      <c r="S33" s="4">
        <f>'תקציב אגף ת.ב.ל 2021  '!S35</f>
        <v>0</v>
      </c>
      <c r="T33" s="4">
        <f>'תקציב אגף ת.ב.ל 2021  '!T35</f>
        <v>0</v>
      </c>
      <c r="U33" s="4">
        <f>'תקציב אגף ת.ב.ל 2021  '!U35</f>
        <v>0</v>
      </c>
      <c r="V33" s="4">
        <f>'תקציב אגף ת.ב.ל 2021  '!V35</f>
        <v>0</v>
      </c>
      <c r="W33" s="4">
        <f>'תקציב אגף ת.ב.ל 2021  '!W35</f>
        <v>0</v>
      </c>
      <c r="X33" s="4">
        <f>'תקציב אגף ת.ב.ל 2021  '!X35</f>
        <v>0</v>
      </c>
      <c r="Y33" s="4">
        <f>'תקציב אגף ת.ב.ל 2021  '!Y35</f>
        <v>0</v>
      </c>
      <c r="Z33" s="4">
        <f>'תקציב אגף ת.ב.ל 2021  '!Z35</f>
        <v>0</v>
      </c>
      <c r="AA33" s="4">
        <f>'תקציב אגף ת.ב.ל 2021  '!AA35</f>
        <v>0</v>
      </c>
      <c r="AB33" s="280" t="str">
        <f>'תקציב אגף ת.ב.ל 2021  '!AB35</f>
        <v>עבודות חיפוי חיצוני עפ"י דרישת מינהל הנדסה.</v>
      </c>
      <c r="AC33" s="3">
        <f>'תקציב אגף ת.ב.ל 2021  '!AC35</f>
        <v>810000</v>
      </c>
      <c r="AD33" s="24"/>
      <c r="AE33" s="24"/>
      <c r="AF33" s="23"/>
      <c r="AG33" s="23"/>
      <c r="AH33" s="23"/>
      <c r="AI33" s="23"/>
      <c r="AJ33" s="22"/>
    </row>
    <row r="34" spans="1:41" s="5" customFormat="1" ht="42">
      <c r="A34" s="566">
        <f t="shared" si="1"/>
        <v>26</v>
      </c>
      <c r="B34" s="3">
        <f>'תקציב אגף ת.ב.ל 2021  '!B37</f>
        <v>2030</v>
      </c>
      <c r="C34" s="280" t="str">
        <f>'תקציב אגף ת.ב.ל 2021  '!C37</f>
        <v>תיכון ראשונים</v>
      </c>
      <c r="D34" s="4">
        <f>'תקציב אגף ת.ב.ל 2021  '!D37</f>
        <v>31500000</v>
      </c>
      <c r="E34" s="3">
        <f>'תקציב אגף ת.ב.ל 2021  '!E37</f>
        <v>31500000</v>
      </c>
      <c r="F34" s="3">
        <f>'תקציב אגף ת.ב.ל 2021  '!F37</f>
        <v>0</v>
      </c>
      <c r="G34" s="3">
        <f>'תקציב אגף ת.ב.ל 2021  '!G37</f>
        <v>9900000</v>
      </c>
      <c r="H34" s="3">
        <f>'תקציב אגף ת.ב.ל 2021  '!H37</f>
        <v>3261138</v>
      </c>
      <c r="I34" s="3">
        <f>'תקציב אגף ת.ב.ל 2021  '!I37</f>
        <v>5480195</v>
      </c>
      <c r="J34" s="3">
        <f>'תקציב אגף ת.ב.ל 2021  '!J37</f>
        <v>715988</v>
      </c>
      <c r="K34" s="3">
        <f>'תקציב אגף ת.ב.ל 2021  '!K37</f>
        <v>6196183</v>
      </c>
      <c r="L34" s="4">
        <f>'תקציב אגף ת.ב.ל 2021  '!L37</f>
        <v>9457321</v>
      </c>
      <c r="M34" s="4">
        <f>'תקציב אגף ת.ב.ל 2021  '!M37</f>
        <v>442679</v>
      </c>
      <c r="N34" s="4">
        <f>'תקציב אגף ת.ב.ל 2021  '!N37</f>
        <v>10000000</v>
      </c>
      <c r="O34" s="4">
        <f>'תקציב אגף ת.ב.ל 2021  '!O37</f>
        <v>11600000</v>
      </c>
      <c r="P34" s="4">
        <f>'תקציב אגף ת.ב.ל 2021  '!P37</f>
        <v>442679</v>
      </c>
      <c r="Q34" s="4">
        <f>'תקציב אגף ת.ב.ל 2021  '!Q37</f>
        <v>0</v>
      </c>
      <c r="R34" s="4">
        <f>'תקציב אגף ת.ב.ל 2021  '!R37</f>
        <v>0</v>
      </c>
      <c r="S34" s="4">
        <f>'תקציב אגף ת.ב.ל 2021  '!S37</f>
        <v>0</v>
      </c>
      <c r="T34" s="4">
        <f>'תקציב אגף ת.ב.ל 2021  '!T37</f>
        <v>0</v>
      </c>
      <c r="U34" s="4">
        <f>'תקציב אגף ת.ב.ל 2021  '!U37</f>
        <v>10000000</v>
      </c>
      <c r="V34" s="4">
        <f>'תקציב אגף ת.ב.ל 2021  '!V37</f>
        <v>8000000</v>
      </c>
      <c r="W34" s="4">
        <f>'תקציב אגף ת.ב.ל 2021  '!W37</f>
        <v>0</v>
      </c>
      <c r="X34" s="4">
        <f>'תקציב אגף ת.ב.ל 2021  '!X37</f>
        <v>0</v>
      </c>
      <c r="Y34" s="4">
        <f>'תקציב אגף ת.ב.ל 2021  '!Y37</f>
        <v>0</v>
      </c>
      <c r="Z34" s="4">
        <f>'תקציב אגף ת.ב.ל 2021  '!Z37</f>
        <v>0</v>
      </c>
      <c r="AA34" s="4">
        <f>'תקציב אגף ת.ב.ל 2021  '!AA37</f>
        <v>2000000</v>
      </c>
      <c r="AB34" s="280" t="str">
        <f>'תקציב אגף ת.ב.ל 2021  '!AB37</f>
        <v>פרויקט  בניית אודיטוריום ,תוספת 6 כתות ו-2 ממ"דים ,שיפוץ כללי. אודיטוריום - מימון מ.הפיס.</v>
      </c>
      <c r="AC34" s="3">
        <f>'תקציב אגף ת.ב.ל 2021  '!AC37</f>
        <v>810000</v>
      </c>
      <c r="AD34" s="24"/>
      <c r="AE34" s="24"/>
      <c r="AF34" s="23"/>
      <c r="AG34" s="23"/>
      <c r="AH34" s="22"/>
      <c r="AI34" s="22"/>
      <c r="AJ34" s="22"/>
    </row>
    <row r="35" spans="1:41" s="5" customFormat="1" ht="30" customHeight="1">
      <c r="A35" s="566">
        <f t="shared" si="1"/>
        <v>27</v>
      </c>
      <c r="B35" s="3">
        <f>'תקציב אגף ת.ב.ל 2021  '!B38</f>
        <v>2063</v>
      </c>
      <c r="C35" s="280" t="str">
        <f>'תקציב אגף ת.ב.ל 2021  '!C38</f>
        <v>תוספת כיתות /חדרי ספח ברנדיס</v>
      </c>
      <c r="D35" s="4">
        <f>'תקציב אגף ת.ב.ל 2021  '!D38</f>
        <v>2400000</v>
      </c>
      <c r="E35" s="3">
        <f>'תקציב אגף ת.ב.ל 2021  '!E38</f>
        <v>2400000</v>
      </c>
      <c r="F35" s="3">
        <f>'תקציב אגף ת.ב.ל 2021  '!F38</f>
        <v>0</v>
      </c>
      <c r="G35" s="3">
        <f>'תקציב אגף ת.ב.ל 2021  '!G38</f>
        <v>2400000</v>
      </c>
      <c r="H35" s="3">
        <f>'תקציב אגף ת.ב.ל 2021  '!H38</f>
        <v>95811</v>
      </c>
      <c r="I35" s="3">
        <f>'תקציב אגף ת.ב.ל 2021  '!I38</f>
        <v>104551</v>
      </c>
      <c r="J35" s="3">
        <f>'תקציב אגף ת.ב.ל 2021  '!J38</f>
        <v>43688</v>
      </c>
      <c r="K35" s="3">
        <f>'תקציב אגף ת.ב.ל 2021  '!K38</f>
        <v>148239</v>
      </c>
      <c r="L35" s="4">
        <f>'תקציב אגף ת.ב.ל 2021  '!L38</f>
        <v>244050</v>
      </c>
      <c r="M35" s="4">
        <f>'תקציב אגף ת.ב.ל 2021  '!M38</f>
        <v>2155950</v>
      </c>
      <c r="N35" s="4">
        <f>'תקציב אגף ת.ב.ל 2021  '!N38</f>
        <v>0</v>
      </c>
      <c r="O35" s="4">
        <f>'תקציב אגף ת.ב.ל 2021  '!O38</f>
        <v>0</v>
      </c>
      <c r="P35" s="4">
        <f>'תקציב אגף ת.ב.ל 2021  '!P38</f>
        <v>2155950</v>
      </c>
      <c r="Q35" s="4">
        <f>'תקציב אגף ת.ב.ל 2021  '!Q38</f>
        <v>0</v>
      </c>
      <c r="R35" s="4">
        <f>'תקציב אגף ת.ב.ל 2021  '!R38</f>
        <v>0</v>
      </c>
      <c r="S35" s="4">
        <f>'תקציב אגף ת.ב.ל 2021  '!S38</f>
        <v>0</v>
      </c>
      <c r="T35" s="4">
        <f>'תקציב אגף ת.ב.ל 2021  '!T38</f>
        <v>0</v>
      </c>
      <c r="U35" s="4">
        <f>'תקציב אגף ת.ב.ל 2021  '!U38</f>
        <v>0</v>
      </c>
      <c r="V35" s="4">
        <f>'תקציב אגף ת.ב.ל 2021  '!V38</f>
        <v>0</v>
      </c>
      <c r="W35" s="4">
        <f>'תקציב אגף ת.ב.ל 2021  '!W38</f>
        <v>0</v>
      </c>
      <c r="X35" s="4">
        <f>'תקציב אגף ת.ב.ל 2021  '!X38</f>
        <v>0</v>
      </c>
      <c r="Y35" s="4">
        <f>'תקציב אגף ת.ב.ל 2021  '!Y38</f>
        <v>0</v>
      </c>
      <c r="Z35" s="4">
        <f>'תקציב אגף ת.ב.ל 2021  '!Z38</f>
        <v>0</v>
      </c>
      <c r="AA35" s="4">
        <f>'תקציב אגף ת.ב.ל 2021  '!AA38</f>
        <v>0</v>
      </c>
      <c r="AB35" s="280" t="str">
        <f>'תקציב אגף ת.ב.ל 2021  '!AB38</f>
        <v xml:space="preserve">תוספת כיתות וחדרי ספח בקומת המסד בבי"ס ברנדיס. </v>
      </c>
      <c r="AC35" s="3">
        <f>'תקציב אגף ת.ב.ל 2021  '!AC38</f>
        <v>810000</v>
      </c>
      <c r="AD35" s="24"/>
      <c r="AE35" s="24"/>
      <c r="AF35" s="23"/>
      <c r="AG35" s="23"/>
      <c r="AH35" s="23"/>
      <c r="AI35" s="23"/>
      <c r="AJ35" s="22"/>
    </row>
    <row r="36" spans="1:41" s="5" customFormat="1">
      <c r="A36" s="566">
        <f t="shared" si="1"/>
        <v>28</v>
      </c>
      <c r="B36" s="278">
        <f>'תקציב אגף ת.ב.ל 2021  '!B39</f>
        <v>2071</v>
      </c>
      <c r="C36" s="643" t="str">
        <f>'תקציב אגף ת.ב.ל 2021  '!C39</f>
        <v>נגישות אקוסטית מ.החינוך 2017</v>
      </c>
      <c r="D36" s="4">
        <f>'תקציב אגף ת.ב.ל 2021  '!D39</f>
        <v>300000</v>
      </c>
      <c r="E36" s="278">
        <f>'תקציב אגף ת.ב.ל 2021  '!E39</f>
        <v>300000</v>
      </c>
      <c r="F36" s="278">
        <f>'תקציב אגף ת.ב.ל 2021  '!F39</f>
        <v>0</v>
      </c>
      <c r="G36" s="278">
        <f>'תקציב אגף ת.ב.ל 2021  '!G39</f>
        <v>300000</v>
      </c>
      <c r="H36" s="278">
        <f>'תקציב אגף ת.ב.ל 2021  '!H39</f>
        <v>270457</v>
      </c>
      <c r="I36" s="278">
        <f>'תקציב אגף ת.ב.ל 2021  '!I39</f>
        <v>0</v>
      </c>
      <c r="J36" s="278">
        <f>'תקציב אגף ת.ב.ל 2021  '!J39</f>
        <v>0</v>
      </c>
      <c r="K36" s="278">
        <f>'תקציב אגף ת.ב.ל 2021  '!K39</f>
        <v>0</v>
      </c>
      <c r="L36" s="4">
        <f>'תקציב אגף ת.ב.ל 2021  '!L39</f>
        <v>270457</v>
      </c>
      <c r="M36" s="4">
        <f>'תקציב אגף ת.ב.ל 2021  '!M39</f>
        <v>29543</v>
      </c>
      <c r="N36" s="4">
        <f>'תקציב אגף ת.ב.ל 2021  '!N39</f>
        <v>0</v>
      </c>
      <c r="O36" s="4">
        <f>'תקציב אגף ת.ב.ל 2021  '!O39</f>
        <v>0</v>
      </c>
      <c r="P36" s="4">
        <f>'תקציב אגף ת.ב.ל 2021  '!P39</f>
        <v>29543</v>
      </c>
      <c r="Q36" s="4">
        <f>'תקציב אגף ת.ב.ל 2021  '!Q39</f>
        <v>0</v>
      </c>
      <c r="R36" s="4">
        <f>'תקציב אגף ת.ב.ל 2021  '!R39</f>
        <v>0</v>
      </c>
      <c r="S36" s="4">
        <f>'תקציב אגף ת.ב.ל 2021  '!S39</f>
        <v>0</v>
      </c>
      <c r="T36" s="4">
        <f>'תקציב אגף ת.ב.ל 2021  '!T39</f>
        <v>0</v>
      </c>
      <c r="U36" s="4">
        <f>'תקציב אגף ת.ב.ל 2021  '!U39</f>
        <v>0</v>
      </c>
      <c r="V36" s="4">
        <f>'תקציב אגף ת.ב.ל 2021  '!V39</f>
        <v>0</v>
      </c>
      <c r="W36" s="4">
        <f>'תקציב אגף ת.ב.ל 2021  '!W39</f>
        <v>0</v>
      </c>
      <c r="X36" s="4">
        <f>'תקציב אגף ת.ב.ל 2021  '!X39</f>
        <v>0</v>
      </c>
      <c r="Y36" s="4">
        <f>'תקציב אגף ת.ב.ל 2021  '!Y39</f>
        <v>0</v>
      </c>
      <c r="Z36" s="4">
        <f>'תקציב אגף ת.ב.ל 2021  '!Z39</f>
        <v>0</v>
      </c>
      <c r="AA36" s="4">
        <f>'תקציב אגף ת.ב.ל 2021  '!AA39</f>
        <v>0</v>
      </c>
      <c r="AB36" s="280" t="str">
        <f>'תקציב אגף ת.ב.ל 2021  '!AB39</f>
        <v>מימון מ. החינוך. ממתין לתקבול סופי.</v>
      </c>
      <c r="AC36" s="278">
        <f>'תקציב אגף ת.ב.ל 2021  '!AC39</f>
        <v>810000</v>
      </c>
      <c r="AD36" s="24"/>
      <c r="AE36" s="24"/>
    </row>
    <row r="37" spans="1:41" s="5" customFormat="1">
      <c r="A37" s="566">
        <f t="shared" si="1"/>
        <v>29</v>
      </c>
      <c r="B37" s="3">
        <f>'תקציב אגף ת.ב.ל 2021  '!B45</f>
        <v>2132</v>
      </c>
      <c r="C37" s="280" t="str">
        <f>'תקציב אגף ת.ב.ל 2021  '!C45</f>
        <v>שיפוץ ושדרוג תיכון אחיה</v>
      </c>
      <c r="D37" s="4">
        <f>'תקציב אגף ת.ב.ל 2021  '!D45</f>
        <v>580000</v>
      </c>
      <c r="E37" s="3">
        <f>'תקציב אגף ת.ב.ל 2021  '!E45</f>
        <v>700000</v>
      </c>
      <c r="F37" s="3">
        <f>'תקציב אגף ת.ב.ל 2021  '!F45</f>
        <v>-120000</v>
      </c>
      <c r="G37" s="3">
        <f>'תקציב אגף ת.ב.ל 2021  '!G45</f>
        <v>580000</v>
      </c>
      <c r="H37" s="3">
        <f>'תקציב אגף ת.ב.ל 2021  '!H45</f>
        <v>572172</v>
      </c>
      <c r="I37" s="3">
        <f>'תקציב אגף ת.ב.ל 2021  '!I45</f>
        <v>0</v>
      </c>
      <c r="J37" s="3">
        <f>'תקציב אגף ת.ב.ל 2021  '!J45</f>
        <v>5123</v>
      </c>
      <c r="K37" s="3">
        <f>'תקציב אגף ת.ב.ל 2021  '!K45</f>
        <v>5123</v>
      </c>
      <c r="L37" s="4">
        <f>'תקציב אגף ת.ב.ל 2021  '!L45</f>
        <v>577295</v>
      </c>
      <c r="M37" s="4">
        <f>'תקציב אגף ת.ב.ל 2021  '!M45</f>
        <v>2705</v>
      </c>
      <c r="N37" s="4">
        <f>'תקציב אגף ת.ב.ל 2021  '!N45</f>
        <v>0</v>
      </c>
      <c r="O37" s="4">
        <f>'תקציב אגף ת.ב.ל 2021  '!O45</f>
        <v>0</v>
      </c>
      <c r="P37" s="4">
        <f>'תקציב אגף ת.ב.ל 2021  '!P45</f>
        <v>2705</v>
      </c>
      <c r="Q37" s="4">
        <f>'תקציב אגף ת.ב.ל 2021  '!Q45</f>
        <v>0</v>
      </c>
      <c r="R37" s="4">
        <f>'תקציב אגף ת.ב.ל 2021  '!R45</f>
        <v>0</v>
      </c>
      <c r="S37" s="4">
        <f>'תקציב אגף ת.ב.ל 2021  '!S45</f>
        <v>0</v>
      </c>
      <c r="T37" s="4">
        <f>'תקציב אגף ת.ב.ל 2021  '!T45</f>
        <v>0</v>
      </c>
      <c r="U37" s="4">
        <f>'תקציב אגף ת.ב.ל 2021  '!U45</f>
        <v>0</v>
      </c>
      <c r="V37" s="4">
        <f>'תקציב אגף ת.ב.ל 2021  '!V45</f>
        <v>0</v>
      </c>
      <c r="W37" s="4">
        <f>'תקציב אגף ת.ב.ל 2021  '!W45</f>
        <v>0</v>
      </c>
      <c r="X37" s="4">
        <f>'תקציב אגף ת.ב.ל 2021  '!X45</f>
        <v>0</v>
      </c>
      <c r="Y37" s="4">
        <f>'תקציב אגף ת.ב.ל 2021  '!Y45</f>
        <v>0</v>
      </c>
      <c r="Z37" s="4">
        <f>'תקציב אגף ת.ב.ל 2021  '!Z45</f>
        <v>0</v>
      </c>
      <c r="AA37" s="4">
        <f>'תקציב אגף ת.ב.ל 2021  '!AA45</f>
        <v>0</v>
      </c>
      <c r="AB37" s="280" t="str">
        <f>'תקציב אגף ת.ב.ל 2021  '!AB45</f>
        <v>עבודות שיפוץ ושדרוג ביה"ס.</v>
      </c>
      <c r="AC37" s="3">
        <f>'תקציב אגף ת.ב.ל 2021  '!AC45</f>
        <v>810000</v>
      </c>
      <c r="AD37" s="24"/>
      <c r="AE37" s="24"/>
      <c r="AF37" s="23"/>
      <c r="AG37" s="23"/>
      <c r="AH37" s="23"/>
      <c r="AI37" s="23"/>
      <c r="AJ37" s="22"/>
    </row>
    <row r="38" spans="1:41" s="5" customFormat="1" ht="28">
      <c r="A38" s="566">
        <f t="shared" si="1"/>
        <v>30</v>
      </c>
      <c r="B38" s="3">
        <f>'תקציב אגף ת.ב.ל 2021  '!B48</f>
        <v>2140</v>
      </c>
      <c r="C38" s="280" t="str">
        <f>'תקציב אגף ת.ב.ל 2021  '!C48</f>
        <v>נגישות אקוסטית 2019 מ. החינוך</v>
      </c>
      <c r="D38" s="4">
        <f>'תקציב אגף ת.ב.ל 2021  '!D48</f>
        <v>360000</v>
      </c>
      <c r="E38" s="3">
        <f>'תקציב אגף ת.ב.ל 2021  '!E48</f>
        <v>360000</v>
      </c>
      <c r="F38" s="3">
        <f>'תקציב אגף ת.ב.ל 2021  '!F48</f>
        <v>0</v>
      </c>
      <c r="G38" s="3">
        <f>'תקציב אגף ת.ב.ל 2021  '!G48</f>
        <v>360000</v>
      </c>
      <c r="H38" s="3">
        <f>'תקציב אגף ת.ב.ל 2021  '!H48</f>
        <v>283122</v>
      </c>
      <c r="I38" s="3">
        <f>'תקציב אגף ת.ב.ל 2021  '!I48</f>
        <v>0</v>
      </c>
      <c r="J38" s="3">
        <f>'תקציב אגף ת.ב.ל 2021  '!J48</f>
        <v>0</v>
      </c>
      <c r="K38" s="3">
        <f>'תקציב אגף ת.ב.ל 2021  '!K48</f>
        <v>0</v>
      </c>
      <c r="L38" s="4">
        <f>'תקציב אגף ת.ב.ל 2021  '!L48</f>
        <v>283122</v>
      </c>
      <c r="M38" s="4">
        <f>'תקציב אגף ת.ב.ל 2021  '!M48</f>
        <v>76878</v>
      </c>
      <c r="N38" s="4">
        <f>'תקציב אגף ת.ב.ל 2021  '!N48</f>
        <v>0</v>
      </c>
      <c r="O38" s="4">
        <f>'תקציב אגף ת.ב.ל 2021  '!O48</f>
        <v>0</v>
      </c>
      <c r="P38" s="4">
        <f>'תקציב אגף ת.ב.ל 2021  '!P48</f>
        <v>76878</v>
      </c>
      <c r="Q38" s="4">
        <f>'תקציב אגף ת.ב.ל 2021  '!Q48</f>
        <v>0</v>
      </c>
      <c r="R38" s="4">
        <f>'תקציב אגף ת.ב.ל 2021  '!R48</f>
        <v>0</v>
      </c>
      <c r="S38" s="4">
        <f>'תקציב אגף ת.ב.ל 2021  '!S48</f>
        <v>0</v>
      </c>
      <c r="T38" s="4">
        <f>'תקציב אגף ת.ב.ל 2021  '!T48</f>
        <v>0</v>
      </c>
      <c r="U38" s="4">
        <f>'תקציב אגף ת.ב.ל 2021  '!U48</f>
        <v>0</v>
      </c>
      <c r="V38" s="4">
        <f>'תקציב אגף ת.ב.ל 2021  '!V48</f>
        <v>0</v>
      </c>
      <c r="W38" s="4">
        <f>'תקציב אגף ת.ב.ל 2021  '!W48</f>
        <v>0</v>
      </c>
      <c r="X38" s="4">
        <f>'תקציב אגף ת.ב.ל 2021  '!X48</f>
        <v>0</v>
      </c>
      <c r="Y38" s="4">
        <f>'תקציב אגף ת.ב.ל 2021  '!Y48</f>
        <v>0</v>
      </c>
      <c r="Z38" s="4">
        <f>'תקציב אגף ת.ב.ל 2021  '!Z48</f>
        <v>0</v>
      </c>
      <c r="AA38" s="4">
        <f>'תקציב אגף ת.ב.ל 2021  '!AA48</f>
        <v>0</v>
      </c>
      <c r="AB38" s="280" t="str">
        <f>'תקציב אגף ת.ב.ל 2021  '!AB48</f>
        <v xml:space="preserve">מימון מ. החינוך. </v>
      </c>
      <c r="AC38" s="3">
        <f>'תקציב אגף ת.ב.ל 2021  '!AC48</f>
        <v>810000</v>
      </c>
      <c r="AD38" s="24"/>
      <c r="AE38" s="24"/>
      <c r="AF38" s="23"/>
      <c r="AG38" s="23"/>
      <c r="AH38" s="23"/>
      <c r="AI38" s="23"/>
      <c r="AJ38" s="22"/>
    </row>
    <row r="39" spans="1:41" s="5" customFormat="1" ht="42">
      <c r="A39" s="566">
        <f t="shared" si="1"/>
        <v>31</v>
      </c>
      <c r="B39" s="3">
        <f>'תקציב אגף ת.ב.ל 2021  '!B52</f>
        <v>2157</v>
      </c>
      <c r="C39" s="280" t="str">
        <f>'תקציב אגף ת.ב.ל 2021  '!C52</f>
        <v>התקנת חיבורים חיצוניים לגנרטורים מוסח/ציבור</v>
      </c>
      <c r="D39" s="4">
        <f>'תקציב אגף ת.ב.ל 2021  '!D52</f>
        <v>5200000</v>
      </c>
      <c r="E39" s="3">
        <f>'תקציב אגף ת.ב.ל 2021  '!E52</f>
        <v>5200000</v>
      </c>
      <c r="F39" s="3">
        <f>'תקציב אגף ת.ב.ל 2021  '!F52</f>
        <v>0</v>
      </c>
      <c r="G39" s="3">
        <f>'תקציב אגף ת.ב.ל 2021  '!G52</f>
        <v>0</v>
      </c>
      <c r="H39" s="3">
        <f>'תקציב אגף ת.ב.ל 2021  '!H52</f>
        <v>0</v>
      </c>
      <c r="I39" s="3">
        <f>'תקציב אגף ת.ב.ל 2021  '!I52</f>
        <v>0</v>
      </c>
      <c r="J39" s="3">
        <f>'תקציב אגף ת.ב.ל 2021  '!J52</f>
        <v>0</v>
      </c>
      <c r="K39" s="3">
        <f>'תקציב אגף ת.ב.ל 2021  '!K52</f>
        <v>0</v>
      </c>
      <c r="L39" s="4">
        <f>'תקציב אגף ת.ב.ל 2021  '!L52</f>
        <v>0</v>
      </c>
      <c r="M39" s="4">
        <f>'תקציב אגף ת.ב.ל 2021  '!M52</f>
        <v>0</v>
      </c>
      <c r="N39" s="4">
        <f>'תקציב אגף ת.ב.ל 2021  '!N52</f>
        <v>150000</v>
      </c>
      <c r="O39" s="4">
        <f>'תקציב אגף ת.ב.ל 2021  '!O52</f>
        <v>5050000</v>
      </c>
      <c r="P39" s="4">
        <f>'תקציב אגף ת.ב.ל 2021  '!P52</f>
        <v>0</v>
      </c>
      <c r="Q39" s="4">
        <f>'תקציב אגף ת.ב.ל 2021  '!Q52</f>
        <v>0</v>
      </c>
      <c r="R39" s="4">
        <f>'תקציב אגף ת.ב.ל 2021  '!R52</f>
        <v>0</v>
      </c>
      <c r="S39" s="4">
        <f>'תקציב אגף ת.ב.ל 2021  '!S52</f>
        <v>0</v>
      </c>
      <c r="T39" s="4">
        <f>'תקציב אגף ת.ב.ל 2021  '!T52</f>
        <v>0</v>
      </c>
      <c r="U39" s="4">
        <f>'תקציב אגף ת.ב.ל 2021  '!U52</f>
        <v>150000</v>
      </c>
      <c r="V39" s="4">
        <f>'תקציב אגף ת.ב.ל 2021  '!V52</f>
        <v>0</v>
      </c>
      <c r="W39" s="4">
        <f>'תקציב אגף ת.ב.ל 2021  '!W52</f>
        <v>150000</v>
      </c>
      <c r="X39" s="4">
        <f>'תקציב אגף ת.ב.ל 2021  '!X52</f>
        <v>0</v>
      </c>
      <c r="Y39" s="4">
        <f>'תקציב אגף ת.ב.ל 2021  '!Y52</f>
        <v>0</v>
      </c>
      <c r="Z39" s="4">
        <f>'תקציב אגף ת.ב.ל 2021  '!Z52</f>
        <v>0</v>
      </c>
      <c r="AA39" s="4">
        <f>'תקציב אגף ת.ב.ל 2021  '!AA52</f>
        <v>0</v>
      </c>
      <c r="AB39" s="280" t="str">
        <f>'תקציב אגף ת.ב.ל 2021  '!AB52</f>
        <v>התקנת חיבורים חיצוניים לגנרטורים  במבני חינוך וציבור לשימוש בעת הצורך.</v>
      </c>
      <c r="AC39" s="3">
        <f>'תקציב אגף ת.ב.ל 2021  '!AC52</f>
        <v>810000</v>
      </c>
      <c r="AD39" s="24"/>
      <c r="AE39" s="24"/>
    </row>
    <row r="40" spans="1:41" s="5" customFormat="1" ht="70">
      <c r="A40" s="566">
        <f t="shared" si="1"/>
        <v>32</v>
      </c>
      <c r="B40" s="3">
        <f>'תקציב אגף ת.ב.ל 2021  '!B54</f>
        <v>2177</v>
      </c>
      <c r="C40" s="280" t="str">
        <f>'תקציב אגף ת.ב.ל 2021  '!C54</f>
        <v>תוכ. אב רב שנתית שיפוצים מוס"ח (*) עדכון שם 2021  ואילך.</v>
      </c>
      <c r="D40" s="4">
        <f>'תקציב אגף ת.ב.ל 2021  '!D54</f>
        <v>5500000</v>
      </c>
      <c r="E40" s="3">
        <f>'תקציב אגף ת.ב.ל 2021  '!E54</f>
        <v>500000</v>
      </c>
      <c r="F40" s="3">
        <f>'תקציב אגף ת.ב.ל 2021  '!F54</f>
        <v>5000000</v>
      </c>
      <c r="G40" s="3">
        <f>'תקציב אגף ת.ב.ל 2021  '!G54</f>
        <v>0</v>
      </c>
      <c r="H40" s="3">
        <f>'תקציב אגף ת.ב.ל 2021  '!H54</f>
        <v>0</v>
      </c>
      <c r="I40" s="3">
        <f>'תקציב אגף ת.ב.ל 2021  '!I54</f>
        <v>0</v>
      </c>
      <c r="J40" s="3">
        <f>'תקציב אגף ת.ב.ל 2021  '!J54</f>
        <v>0</v>
      </c>
      <c r="K40" s="3">
        <f>'תקציב אגף ת.ב.ל 2021  '!K54</f>
        <v>0</v>
      </c>
      <c r="L40" s="4">
        <f>'תקציב אגף ת.ב.ל 2021  '!L54</f>
        <v>0</v>
      </c>
      <c r="M40" s="4">
        <f>'תקציב אגף ת.ב.ל 2021  '!M54</f>
        <v>0</v>
      </c>
      <c r="N40" s="4">
        <f>'תקציב אגף ת.ב.ל 2021  '!N54</f>
        <v>5500000</v>
      </c>
      <c r="O40" s="4">
        <f>'תקציב אגף ת.ב.ל 2021  '!O54</f>
        <v>0</v>
      </c>
      <c r="P40" s="4">
        <f>'תקציב אגף ת.ב.ל 2021  '!P54</f>
        <v>0</v>
      </c>
      <c r="Q40" s="4">
        <f>'תקציב אגף ת.ב.ל 2021  '!Q54</f>
        <v>0</v>
      </c>
      <c r="R40" s="4">
        <f>'תקציב אגף ת.ב.ל 2021  '!R54</f>
        <v>0</v>
      </c>
      <c r="S40" s="4">
        <f>'תקציב אגף ת.ב.ל 2021  '!S54</f>
        <v>0</v>
      </c>
      <c r="T40" s="4">
        <f>'תקציב אגף ת.ב.ל 2021  '!T54</f>
        <v>0</v>
      </c>
      <c r="U40" s="4">
        <f>'תקציב אגף ת.ב.ל 2021  '!U54</f>
        <v>5500000</v>
      </c>
      <c r="V40" s="4">
        <f>'תקציב אגף ת.ב.ל 2021  '!V54</f>
        <v>0</v>
      </c>
      <c r="W40" s="4">
        <f>'תקציב אגף ת.ב.ל 2021  '!W54</f>
        <v>5500000</v>
      </c>
      <c r="X40" s="4">
        <f>'תקציב אגף ת.ב.ל 2021  '!X54</f>
        <v>0</v>
      </c>
      <c r="Y40" s="4">
        <f>'תקציב אגף ת.ב.ל 2021  '!Y54</f>
        <v>0</v>
      </c>
      <c r="Z40" s="4">
        <f>'תקציב אגף ת.ב.ל 2021  '!Z54</f>
        <v>0</v>
      </c>
      <c r="AA40" s="4">
        <f>'תקציב אגף ת.ב.ל 2021  '!AA54</f>
        <v>0</v>
      </c>
      <c r="AB40" s="280" t="str">
        <f>'תקציב אגף ת.ב.ל 2021  '!AB54</f>
        <v>סל עבודות במוס"ח לרבות שיפוצים יסודיים , התאמת מבנים ושדרוג גנ"י על פי רשימה שתאושר ע"י הנהלת העיר. בדיקה הערכות של בניית תוכנית אב רב שנתית שיפוצים מוס"ח.</v>
      </c>
      <c r="AC40" s="3">
        <f>'תקציב אגף ת.ב.ל 2021  '!AC54</f>
        <v>810000</v>
      </c>
      <c r="AD40" s="24"/>
      <c r="AE40" s="24"/>
      <c r="AF40" s="23"/>
      <c r="AG40" s="23"/>
      <c r="AH40" s="23"/>
      <c r="AI40" s="23"/>
      <c r="AJ40" s="22"/>
    </row>
    <row r="41" spans="1:41" s="70" customFormat="1" ht="28">
      <c r="A41" s="566">
        <f t="shared" si="1"/>
        <v>33</v>
      </c>
      <c r="B41" s="3">
        <f>'תקציב אגף ת.ב.ל 2021  '!B55</f>
        <v>2178</v>
      </c>
      <c r="C41" s="280" t="str">
        <f>'תקציב אגף ת.ב.ל 2021  '!C55</f>
        <v>תיכון היובל</v>
      </c>
      <c r="D41" s="4">
        <f>'תקציב אגף ת.ב.ל 2021  '!D55</f>
        <v>3100000</v>
      </c>
      <c r="E41" s="3">
        <f>'תקציב אגף ת.ב.ל 2021  '!E55</f>
        <v>3100000</v>
      </c>
      <c r="F41" s="3">
        <f>'תקציב אגף ת.ב.ל 2021  '!F55</f>
        <v>0</v>
      </c>
      <c r="G41" s="3">
        <f>'תקציב אגף ת.ב.ל 2021  '!G55</f>
        <v>3100000</v>
      </c>
      <c r="H41" s="3">
        <f>'תקציב אגף ת.ב.ל 2021  '!H55</f>
        <v>598723</v>
      </c>
      <c r="I41" s="3">
        <f>'תקציב אגף ת.ב.ל 2021  '!I55</f>
        <v>159611</v>
      </c>
      <c r="J41" s="3">
        <f>'תקציב אגף ת.ב.ל 2021  '!J55</f>
        <v>957425</v>
      </c>
      <c r="K41" s="3">
        <f>'תקציב אגף ת.ב.ל 2021  '!K55</f>
        <v>1117036</v>
      </c>
      <c r="L41" s="4">
        <f>'תקציב אגף ת.ב.ל 2021  '!L55</f>
        <v>1715759</v>
      </c>
      <c r="M41" s="4">
        <f>'תקציב אגף ת.ב.ל 2021  '!M55</f>
        <v>1384241</v>
      </c>
      <c r="N41" s="4">
        <f>'תקציב אגף ת.ב.ל 2021  '!N55</f>
        <v>0</v>
      </c>
      <c r="O41" s="4">
        <f>'תקציב אגף ת.ב.ל 2021  '!O55</f>
        <v>0</v>
      </c>
      <c r="P41" s="4">
        <f>'תקציב אגף ת.ב.ל 2021  '!P55</f>
        <v>1384241</v>
      </c>
      <c r="Q41" s="4">
        <f>'תקציב אגף ת.ב.ל 2021  '!Q55</f>
        <v>0</v>
      </c>
      <c r="R41" s="4">
        <f>'תקציב אגף ת.ב.ל 2021  '!R55</f>
        <v>0</v>
      </c>
      <c r="S41" s="4">
        <f>'תקציב אגף ת.ב.ל 2021  '!S55</f>
        <v>0</v>
      </c>
      <c r="T41" s="4">
        <f>'תקציב אגף ת.ב.ל 2021  '!T55</f>
        <v>0</v>
      </c>
      <c r="U41" s="4">
        <f>'תקציב אגף ת.ב.ל 2021  '!U55</f>
        <v>0</v>
      </c>
      <c r="V41" s="4">
        <f>'תקציב אגף ת.ב.ל 2021  '!V55</f>
        <v>0</v>
      </c>
      <c r="W41" s="4">
        <f>'תקציב אגף ת.ב.ל 2021  '!W55</f>
        <v>0</v>
      </c>
      <c r="X41" s="4">
        <f>'תקציב אגף ת.ב.ל 2021  '!X55</f>
        <v>0</v>
      </c>
      <c r="Y41" s="4">
        <f>'תקציב אגף ת.ב.ל 2021  '!Y55</f>
        <v>0</v>
      </c>
      <c r="Z41" s="4">
        <f>'תקציב אגף ת.ב.ל 2021  '!Z55</f>
        <v>0</v>
      </c>
      <c r="AA41" s="4">
        <f>'תקציב אגף ת.ב.ל 2021  '!AA55</f>
        <v>0</v>
      </c>
      <c r="AB41" s="280" t="str">
        <f>'תקציב אגף ת.ב.ל 2021  '!AB55</f>
        <v xml:space="preserve">בניית 3 כיתות (קרוואנים), מעבדות,תכנון תוספת כיתות. </v>
      </c>
      <c r="AC41" s="3">
        <f>'תקציב אגף ת.ב.ל 2021  '!AC55</f>
        <v>810000</v>
      </c>
      <c r="AD41" s="24"/>
      <c r="AE41" s="24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s="5" customFormat="1" ht="30" customHeight="1">
      <c r="A42" s="566">
        <f t="shared" si="1"/>
        <v>34</v>
      </c>
      <c r="B42" s="3">
        <f>'תקציב אגף ת.ב.ל 2021  '!B58</f>
        <v>2187</v>
      </c>
      <c r="C42" s="280" t="str">
        <f>'תקציב אגף ת.ב.ל 2021  '!C58</f>
        <v>בי"ס חלופי בפארק הרצליה</v>
      </c>
      <c r="D42" s="4">
        <f>'תקציב אגף ת.ב.ל 2021  '!D58</f>
        <v>8600000</v>
      </c>
      <c r="E42" s="3">
        <f>'תקציב אגף ת.ב.ל 2021  '!E58</f>
        <v>800000</v>
      </c>
      <c r="F42" s="3">
        <f>'תקציב אגף ת.ב.ל 2021  '!F58</f>
        <v>7800000</v>
      </c>
      <c r="G42" s="3">
        <f>'תקציב אגף ת.ב.ל 2021  '!G58</f>
        <v>800000</v>
      </c>
      <c r="H42" s="3">
        <f>'תקציב אגף ת.ב.ל 2021  '!H58</f>
        <v>0</v>
      </c>
      <c r="I42" s="3">
        <f>'תקציב אגף ת.ב.ל 2021  '!I58</f>
        <v>0</v>
      </c>
      <c r="J42" s="3">
        <f>'תקציב אגף ת.ב.ל 2021  '!J58</f>
        <v>0</v>
      </c>
      <c r="K42" s="3">
        <f>'תקציב אגף ת.ב.ל 2021  '!K58</f>
        <v>0</v>
      </c>
      <c r="L42" s="4">
        <f>'תקציב אגף ת.ב.ל 2021  '!L58</f>
        <v>0</v>
      </c>
      <c r="M42" s="4">
        <f>'תקציב אגף ת.ב.ל 2021  '!M58</f>
        <v>800000</v>
      </c>
      <c r="N42" s="4">
        <f>'תקציב אגף ת.ב.ל 2021  '!N58</f>
        <v>7800000</v>
      </c>
      <c r="O42" s="4">
        <f>'תקציב אגף ת.ב.ל 2021  '!O58</f>
        <v>0</v>
      </c>
      <c r="P42" s="4">
        <f>'תקציב אגף ת.ב.ל 2021  '!P58</f>
        <v>800000</v>
      </c>
      <c r="Q42" s="4">
        <f>'תקציב אגף ת.ב.ל 2021  '!Q58</f>
        <v>0</v>
      </c>
      <c r="R42" s="4">
        <f>'תקציב אגף ת.ב.ל 2021  '!R58</f>
        <v>0</v>
      </c>
      <c r="S42" s="4">
        <f>'תקציב אגף ת.ב.ל 2021  '!S58</f>
        <v>0</v>
      </c>
      <c r="T42" s="4">
        <f>'תקציב אגף ת.ב.ל 2021  '!T58</f>
        <v>0</v>
      </c>
      <c r="U42" s="4">
        <f>'תקציב אגף ת.ב.ל 2021  '!U58</f>
        <v>7800000</v>
      </c>
      <c r="V42" s="4">
        <f>'תקציב אגף ת.ב.ל 2021  '!V58</f>
        <v>4500000</v>
      </c>
      <c r="W42" s="4">
        <f>'תקציב אגף ת.ב.ל 2021  '!W58</f>
        <v>3300000</v>
      </c>
      <c r="X42" s="4">
        <f>'תקציב אגף ת.ב.ל 2021  '!X58</f>
        <v>0</v>
      </c>
      <c r="Y42" s="4">
        <f>'תקציב אגף ת.ב.ל 2021  '!Y58</f>
        <v>0</v>
      </c>
      <c r="Z42" s="4">
        <f>'תקציב אגף ת.ב.ל 2021  '!Z58</f>
        <v>0</v>
      </c>
      <c r="AA42" s="4">
        <f>'תקציב אגף ת.ב.ל 2021  '!AA58</f>
        <v>0</v>
      </c>
      <c r="AB42" s="280" t="str">
        <f>'תקציב אגף ת.ב.ל 2021  '!AB58</f>
        <v>השלמת תכנון וביצוע הקמת בי"ס חלופי בפארק.</v>
      </c>
      <c r="AC42" s="3">
        <f>'תקציב אגף ת.ב.ל 2021  '!AC58</f>
        <v>810000</v>
      </c>
      <c r="AD42" s="24"/>
      <c r="AE42" s="24"/>
    </row>
    <row r="43" spans="1:41" s="5" customFormat="1" ht="28">
      <c r="A43" s="566">
        <f t="shared" si="1"/>
        <v>35</v>
      </c>
      <c r="B43" s="278">
        <f>'תקציב אגף ת.ב.ל 2021  '!B59</f>
        <v>2211</v>
      </c>
      <c r="C43" s="643" t="str">
        <f>'תקציב אגף ת.ב.ל 2021  '!C59</f>
        <v>בי"ס דמוקרטי- התאמת מבנה בחט"ב סמדר</v>
      </c>
      <c r="D43" s="4">
        <f>'תקציב אגף ת.ב.ל 2021  '!D59</f>
        <v>800000</v>
      </c>
      <c r="E43" s="278">
        <f>'תקציב אגף ת.ב.ל 2021  '!E59</f>
        <v>0</v>
      </c>
      <c r="F43" s="278">
        <f>'תקציב אגף ת.ב.ל 2021  '!F59</f>
        <v>800000</v>
      </c>
      <c r="G43" s="278">
        <f>'תקציב אגף ת.ב.ל 2021  '!G59</f>
        <v>0</v>
      </c>
      <c r="H43" s="278">
        <f>'תקציב אגף ת.ב.ל 2021  '!H59</f>
        <v>0</v>
      </c>
      <c r="I43" s="278">
        <f>'תקציב אגף ת.ב.ל 2021  '!I59</f>
        <v>0</v>
      </c>
      <c r="J43" s="278">
        <f>'תקציב אגף ת.ב.ל 2021  '!J59</f>
        <v>0</v>
      </c>
      <c r="K43" s="278">
        <f>'תקציב אגף ת.ב.ל 2021  '!K59</f>
        <v>0</v>
      </c>
      <c r="L43" s="4">
        <f>'תקציב אגף ת.ב.ל 2021  '!L59</f>
        <v>0</v>
      </c>
      <c r="M43" s="4">
        <f>'תקציב אגף ת.ב.ל 2021  '!M59</f>
        <v>0</v>
      </c>
      <c r="N43" s="4">
        <f>'תקציב אגף ת.ב.ל 2021  '!N59</f>
        <v>800000</v>
      </c>
      <c r="O43" s="4">
        <f>'תקציב אגף ת.ב.ל 2021  '!O59</f>
        <v>0</v>
      </c>
      <c r="P43" s="4">
        <f>'תקציב אגף ת.ב.ל 2021  '!P59</f>
        <v>0</v>
      </c>
      <c r="Q43" s="4">
        <f>'תקציב אגף ת.ב.ל 2021  '!Q59</f>
        <v>0</v>
      </c>
      <c r="R43" s="4">
        <f>'תקציב אגף ת.ב.ל 2021  '!R59</f>
        <v>0</v>
      </c>
      <c r="S43" s="4">
        <f>'תקציב אגף ת.ב.ל 2021  '!S59</f>
        <v>0</v>
      </c>
      <c r="T43" s="4">
        <f>'תקציב אגף ת.ב.ל 2021  '!T59</f>
        <v>0</v>
      </c>
      <c r="U43" s="4">
        <f>'תקציב אגף ת.ב.ל 2021  '!U59</f>
        <v>800000</v>
      </c>
      <c r="V43" s="4">
        <f>'תקציב אגף ת.ב.ל 2021  '!V59</f>
        <v>0</v>
      </c>
      <c r="W43" s="4">
        <f>'תקציב אגף ת.ב.ל 2021  '!W59</f>
        <v>800000</v>
      </c>
      <c r="X43" s="4">
        <f>'תקציב אגף ת.ב.ל 2021  '!X59</f>
        <v>0</v>
      </c>
      <c r="Y43" s="4">
        <f>'תקציב אגף ת.ב.ל 2021  '!Y59</f>
        <v>0</v>
      </c>
      <c r="Z43" s="4">
        <f>'תקציב אגף ת.ב.ל 2021  '!Z59</f>
        <v>0</v>
      </c>
      <c r="AA43" s="4">
        <f>'תקציב אגף ת.ב.ל 2021  '!AA59</f>
        <v>0</v>
      </c>
      <c r="AB43" s="280" t="str">
        <f>'תקציב אגף ת.ב.ל 2021  '!AB59</f>
        <v>התאמת מבנים בחט"ב סמדר לבי"ס דמוקרטי.</v>
      </c>
      <c r="AC43" s="278">
        <f>'תקציב אגף ת.ב.ל 2021  '!AC59</f>
        <v>810000</v>
      </c>
      <c r="AD43" s="24"/>
      <c r="AE43" s="24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41" s="5" customFormat="1" ht="70">
      <c r="A44" s="566">
        <f t="shared" si="1"/>
        <v>36</v>
      </c>
      <c r="B44" s="278">
        <f>'תקציב אגף ת.ב.ל 2021  '!B60</f>
        <v>2212</v>
      </c>
      <c r="C44" s="643" t="str">
        <f>'תקציב אגף ת.ב.ל 2021  '!C60</f>
        <v>שדרוג חט"ב זאב</v>
      </c>
      <c r="D44" s="4">
        <f>'תקציב אגף ת.ב.ל 2021  '!D60</f>
        <v>8000000</v>
      </c>
      <c r="E44" s="278">
        <f>'תקציב אגף ת.ב.ל 2021  '!E60</f>
        <v>0</v>
      </c>
      <c r="F44" s="278">
        <f>'תקציב אגף ת.ב.ל 2021  '!F60</f>
        <v>8000000</v>
      </c>
      <c r="G44" s="278">
        <f>'תקציב אגף ת.ב.ל 2021  '!G60</f>
        <v>0</v>
      </c>
      <c r="H44" s="278">
        <f>'תקציב אגף ת.ב.ל 2021  '!H60</f>
        <v>0</v>
      </c>
      <c r="I44" s="278">
        <f>'תקציב אגף ת.ב.ל 2021  '!I60</f>
        <v>0</v>
      </c>
      <c r="J44" s="278">
        <f>'תקציב אגף ת.ב.ל 2021  '!J60</f>
        <v>0</v>
      </c>
      <c r="K44" s="278">
        <f>'תקציב אגף ת.ב.ל 2021  '!K60</f>
        <v>0</v>
      </c>
      <c r="L44" s="4">
        <f>'תקציב אגף ת.ב.ל 2021  '!L60</f>
        <v>0</v>
      </c>
      <c r="M44" s="4">
        <f>'תקציב אגף ת.ב.ל 2021  '!M60</f>
        <v>0</v>
      </c>
      <c r="N44" s="4">
        <f>'תקציב אגף ת.ב.ל 2021  '!N60</f>
        <v>2000000</v>
      </c>
      <c r="O44" s="4">
        <f>'תקציב אגף ת.ב.ל 2021  '!O60</f>
        <v>6000000</v>
      </c>
      <c r="P44" s="4">
        <f>'תקציב אגף ת.ב.ל 2021  '!P60</f>
        <v>0</v>
      </c>
      <c r="Q44" s="4">
        <f>'תקציב אגף ת.ב.ל 2021  '!Q60</f>
        <v>0</v>
      </c>
      <c r="R44" s="4">
        <f>'תקציב אגף ת.ב.ל 2021  '!R60</f>
        <v>0</v>
      </c>
      <c r="S44" s="4">
        <f>'תקציב אגף ת.ב.ל 2021  '!S60</f>
        <v>0</v>
      </c>
      <c r="T44" s="4">
        <f>'תקציב אגף ת.ב.ל 2021  '!T60</f>
        <v>0</v>
      </c>
      <c r="U44" s="4">
        <f>'תקציב אגף ת.ב.ל 2021  '!U60</f>
        <v>2000000</v>
      </c>
      <c r="V44" s="4">
        <f>'תקציב אגף ת.ב.ל 2021  '!V60</f>
        <v>0</v>
      </c>
      <c r="W44" s="4">
        <f>'תקציב אגף ת.ב.ל 2021  '!W60</f>
        <v>2000000</v>
      </c>
      <c r="X44" s="4">
        <f>'תקציב אגף ת.ב.ל 2021  '!X60</f>
        <v>0</v>
      </c>
      <c r="Y44" s="4">
        <f>'תקציב אגף ת.ב.ל 2021  '!Y60</f>
        <v>0</v>
      </c>
      <c r="Z44" s="4">
        <f>'תקציב אגף ת.ב.ל 2021  '!Z60</f>
        <v>0</v>
      </c>
      <c r="AA44" s="4">
        <f>'תקציב אגף ת.ב.ל 2021  '!AA60</f>
        <v>0</v>
      </c>
      <c r="AB44" s="280" t="str">
        <f>'תקציב אגף ת.ב.ל 2021  '!AB60</f>
        <v>עבודות שיפוצים וחזיתות מבנה ביה"ס בשטח של כ - 2,650 מ"ר, עבודות פיתוח ותשתיות מים וביוב. הקמת אולם הספורט החדש בביצוע החב. לפיתוח.</v>
      </c>
      <c r="AC44" s="278">
        <f>'תקציב אגף ת.ב.ל 2021  '!AC60</f>
        <v>810000</v>
      </c>
      <c r="AD44" s="24"/>
      <c r="AE44" s="24"/>
    </row>
    <row r="45" spans="1:41" s="567" customFormat="1" ht="28">
      <c r="A45" s="566">
        <f t="shared" si="1"/>
        <v>37</v>
      </c>
      <c r="B45" s="278">
        <f>'תקציב אגף ת.ב.ל 2021  '!B63</f>
        <v>2215</v>
      </c>
      <c r="C45" s="643" t="str">
        <f>'תקציב אגף ת.ב.ל 2021  '!C63</f>
        <v>נגישות אקוסטית 2020 מ. החינוך</v>
      </c>
      <c r="D45" s="4">
        <f>'תקציב אגף ת.ב.ל 2021  '!D63</f>
        <v>420000</v>
      </c>
      <c r="E45" s="278">
        <f>'תקציב אגף ת.ב.ל 2021  '!E63</f>
        <v>0</v>
      </c>
      <c r="F45" s="278">
        <f>'תקציב אגף ת.ב.ל 2021  '!F63</f>
        <v>420000</v>
      </c>
      <c r="G45" s="278">
        <f>'תקציב אגף ת.ב.ל 2021  '!G63</f>
        <v>0</v>
      </c>
      <c r="H45" s="278">
        <f>'תקציב אגף ת.ב.ל 2021  '!H63</f>
        <v>0</v>
      </c>
      <c r="I45" s="278">
        <f>'תקציב אגף ת.ב.ל 2021  '!I63</f>
        <v>0</v>
      </c>
      <c r="J45" s="278">
        <f>'תקציב אגף ת.ב.ל 2021  '!J63</f>
        <v>0</v>
      </c>
      <c r="K45" s="278">
        <f>'תקציב אגף ת.ב.ל 2021  '!K63</f>
        <v>0</v>
      </c>
      <c r="L45" s="4">
        <f>'תקציב אגף ת.ב.ל 2021  '!L63</f>
        <v>0</v>
      </c>
      <c r="M45" s="4">
        <f>'תקציב אגף ת.ב.ל 2021  '!M63</f>
        <v>0</v>
      </c>
      <c r="N45" s="4">
        <f>'תקציב אגף ת.ב.ל 2021  '!N63</f>
        <v>420000</v>
      </c>
      <c r="O45" s="4">
        <f>'תקציב אגף ת.ב.ל 2021  '!O63</f>
        <v>0</v>
      </c>
      <c r="P45" s="4">
        <f>'תקציב אגף ת.ב.ל 2021  '!P63</f>
        <v>0</v>
      </c>
      <c r="Q45" s="4">
        <f>'תקציב אגף ת.ב.ל 2021  '!Q63</f>
        <v>0</v>
      </c>
      <c r="R45" s="4">
        <f>'תקציב אגף ת.ב.ל 2021  '!R63</f>
        <v>0</v>
      </c>
      <c r="S45" s="4">
        <f>'תקציב אגף ת.ב.ל 2021  '!S63</f>
        <v>0</v>
      </c>
      <c r="T45" s="4">
        <f>'תקציב אגף ת.ב.ל 2021  '!T63</f>
        <v>0</v>
      </c>
      <c r="U45" s="4">
        <f>'תקציב אגף ת.ב.ל 2021  '!U63</f>
        <v>420000</v>
      </c>
      <c r="V45" s="4">
        <f>'תקציב אגף ת.ב.ל 2021  '!V63</f>
        <v>0</v>
      </c>
      <c r="W45" s="4">
        <f>'תקציב אגף ת.ב.ל 2021  '!W63</f>
        <v>0</v>
      </c>
      <c r="X45" s="4">
        <f>'תקציב אגף ת.ב.ל 2021  '!X63</f>
        <v>0</v>
      </c>
      <c r="Y45" s="4">
        <f>'תקציב אגף ת.ב.ל 2021  '!Y63</f>
        <v>0</v>
      </c>
      <c r="Z45" s="4">
        <f>'תקציב אגף ת.ב.ל 2021  '!Z63</f>
        <v>0</v>
      </c>
      <c r="AA45" s="4">
        <f>'תקציב אגף ת.ב.ל 2021  '!AA63</f>
        <v>420000</v>
      </c>
      <c r="AB45" s="280" t="str">
        <f>'תקציב אגף ת.ב.ל 2021  '!AB63</f>
        <v>נגישות אקוסטית גנ"י וכיתות בי"ס . מימון מ.החינוך.</v>
      </c>
      <c r="AC45" s="278">
        <f>'תקציב אגף ת.ב.ל 2021  '!AC63</f>
        <v>810000</v>
      </c>
      <c r="AD45" s="24"/>
      <c r="AE45" s="24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s="5" customFormat="1" ht="28">
      <c r="A46" s="566">
        <f t="shared" si="1"/>
        <v>38</v>
      </c>
      <c r="B46" s="31">
        <f>'תקציב אגף ת.ב.ל 2021  '!B64</f>
        <v>2216</v>
      </c>
      <c r="C46" s="644" t="str">
        <f>'תקציב אגף ת.ב.ל 2021  '!C64</f>
        <v>שיקום מבנה החינוך הימי במרינה</v>
      </c>
      <c r="D46" s="4">
        <f>'תקציב אגף ת.ב.ל 2021  '!D64</f>
        <v>2600000</v>
      </c>
      <c r="E46" s="31">
        <f>'תקציב אגף ת.ב.ל 2021  '!E64</f>
        <v>0</v>
      </c>
      <c r="F46" s="31">
        <f>'תקציב אגף ת.ב.ל 2021  '!F64</f>
        <v>2600000</v>
      </c>
      <c r="G46" s="31">
        <f>'תקציב אגף ת.ב.ל 2021  '!G64</f>
        <v>0</v>
      </c>
      <c r="H46" s="31">
        <f>'תקציב אגף ת.ב.ל 2021  '!H64</f>
        <v>0</v>
      </c>
      <c r="I46" s="31">
        <f>'תקציב אגף ת.ב.ל 2021  '!I64</f>
        <v>0</v>
      </c>
      <c r="J46" s="31">
        <f>'תקציב אגף ת.ב.ל 2021  '!J64</f>
        <v>0</v>
      </c>
      <c r="K46" s="31">
        <f>'תקציב אגף ת.ב.ל 2021  '!K64</f>
        <v>0</v>
      </c>
      <c r="L46" s="4">
        <f>'תקציב אגף ת.ב.ל 2021  '!L64</f>
        <v>0</v>
      </c>
      <c r="M46" s="4">
        <f>'תקציב אגף ת.ב.ל 2021  '!M64</f>
        <v>0</v>
      </c>
      <c r="N46" s="4">
        <f>'תקציב אגף ת.ב.ל 2021  '!N64</f>
        <v>700000</v>
      </c>
      <c r="O46" s="4">
        <f>'תקציב אגף ת.ב.ל 2021  '!O64</f>
        <v>1900000</v>
      </c>
      <c r="P46" s="4">
        <f>'תקציב אגף ת.ב.ל 2021  '!P64</f>
        <v>0</v>
      </c>
      <c r="Q46" s="4">
        <f>'תקציב אגף ת.ב.ל 2021  '!Q64</f>
        <v>0</v>
      </c>
      <c r="R46" s="4">
        <f>'תקציב אגף ת.ב.ל 2021  '!R64</f>
        <v>0</v>
      </c>
      <c r="S46" s="4">
        <f>'תקציב אגף ת.ב.ל 2021  '!S64</f>
        <v>0</v>
      </c>
      <c r="T46" s="4">
        <f>'תקציב אגף ת.ב.ל 2021  '!T64</f>
        <v>0</v>
      </c>
      <c r="U46" s="4">
        <f>'תקציב אגף ת.ב.ל 2021  '!U64</f>
        <v>700000</v>
      </c>
      <c r="V46" s="4">
        <f>'תקציב אגף ת.ב.ל 2021  '!V64</f>
        <v>0</v>
      </c>
      <c r="W46" s="4">
        <f>'תקציב אגף ת.ב.ל 2021  '!W64</f>
        <v>700000</v>
      </c>
      <c r="X46" s="4">
        <f>'תקציב אגף ת.ב.ל 2021  '!X64</f>
        <v>0</v>
      </c>
      <c r="Y46" s="4">
        <f>'תקציב אגף ת.ב.ל 2021  '!Y64</f>
        <v>0</v>
      </c>
      <c r="Z46" s="4">
        <f>'תקציב אגף ת.ב.ל 2021  '!Z64</f>
        <v>0</v>
      </c>
      <c r="AA46" s="4">
        <f>'תקציב אגף ת.ב.ל 2021  '!AA64</f>
        <v>0</v>
      </c>
      <c r="AB46" s="644" t="str">
        <f>'תקציב אגף ת.ב.ל 2021  '!AB64</f>
        <v>שיקום המבנה גג המבנה, שרותים ועבודות פיתוח.</v>
      </c>
      <c r="AC46" s="31">
        <f>'תקציב אגף ת.ב.ל 2021  '!AC64</f>
        <v>810000</v>
      </c>
      <c r="AD46" s="6"/>
    </row>
    <row r="47" spans="1:41" s="5" customFormat="1" ht="28">
      <c r="A47" s="566">
        <f t="shared" si="1"/>
        <v>39</v>
      </c>
      <c r="B47" s="3">
        <f>'תקציב אגף ת.ב.ל 2021  '!B11</f>
        <v>1483</v>
      </c>
      <c r="C47" s="280" t="str">
        <f>'תקציב אגף ת.ב.ל 2021  '!C11</f>
        <v>ריהוט גנ"י</v>
      </c>
      <c r="D47" s="4">
        <f>'תקציב אגף ת.ב.ל 2021  '!D11</f>
        <v>2100000</v>
      </c>
      <c r="E47" s="3">
        <f>'תקציב אגף ת.ב.ל 2021  '!E11</f>
        <v>2700000</v>
      </c>
      <c r="F47" s="3">
        <f>'תקציב אגף ת.ב.ל 2021  '!F11</f>
        <v>-600000</v>
      </c>
      <c r="G47" s="3">
        <f>'תקציב אגף ת.ב.ל 2021  '!G11</f>
        <v>2100000</v>
      </c>
      <c r="H47" s="3">
        <f>'תקציב אגף ת.ב.ל 2021  '!H11</f>
        <v>2039800</v>
      </c>
      <c r="I47" s="3">
        <f>'תקציב אגף ת.ב.ל 2021  '!I11</f>
        <v>0</v>
      </c>
      <c r="J47" s="3">
        <f>'תקציב אגף ת.ב.ל 2021  '!J11</f>
        <v>59675</v>
      </c>
      <c r="K47" s="3">
        <f>'תקציב אגף ת.ב.ל 2021  '!K11</f>
        <v>59675</v>
      </c>
      <c r="L47" s="4">
        <f>'תקציב אגף ת.ב.ל 2021  '!L11</f>
        <v>2099475</v>
      </c>
      <c r="M47" s="4">
        <f>'תקציב אגף ת.ב.ל 2021  '!M11</f>
        <v>525</v>
      </c>
      <c r="N47" s="4">
        <f>'תקציב אגף ת.ב.ל 2021  '!N11</f>
        <v>0</v>
      </c>
      <c r="O47" s="4">
        <f>'תקציב אגף ת.ב.ל 2021  '!O11</f>
        <v>0</v>
      </c>
      <c r="P47" s="4">
        <f>'תקציב אגף ת.ב.ל 2021  '!P11</f>
        <v>525</v>
      </c>
      <c r="Q47" s="4">
        <f>'תקציב אגף ת.ב.ל 2021  '!Q11</f>
        <v>0</v>
      </c>
      <c r="R47" s="4">
        <f>'תקציב אגף ת.ב.ל 2021  '!R11</f>
        <v>0</v>
      </c>
      <c r="S47" s="4">
        <f>'תקציב אגף ת.ב.ל 2021  '!S11</f>
        <v>0</v>
      </c>
      <c r="T47" s="4">
        <f>'תקציב אגף ת.ב.ל 2021  '!T11</f>
        <v>0</v>
      </c>
      <c r="U47" s="4">
        <f>'תקציב אגף ת.ב.ל 2021  '!U11</f>
        <v>0</v>
      </c>
      <c r="V47" s="4">
        <f>'תקציב אגף ת.ב.ל 2021  '!V11</f>
        <v>0</v>
      </c>
      <c r="W47" s="4">
        <f>'תקציב אגף ת.ב.ל 2021  '!W11</f>
        <v>0</v>
      </c>
      <c r="X47" s="4">
        <f>'תקציב אגף ת.ב.ל 2021  '!X11</f>
        <v>0</v>
      </c>
      <c r="Y47" s="4">
        <f>'תקציב אגף ת.ב.ל 2021  '!Y11</f>
        <v>0</v>
      </c>
      <c r="Z47" s="4">
        <f>'תקציב אגף ת.ב.ל 2021  '!Z11</f>
        <v>0</v>
      </c>
      <c r="AA47" s="4">
        <f>'תקציב אגף ת.ב.ל 2021  '!AA11</f>
        <v>0</v>
      </c>
      <c r="AB47" s="280" t="str">
        <f>'תקציב אגף ת.ב.ל 2021  '!AB11</f>
        <v>סל לשדרוג ריהוט בגני ילדים.התב"ר לסגירה.</v>
      </c>
      <c r="AC47" s="3">
        <f>'תקציב אגף ת.ב.ל 2021  '!AC11</f>
        <v>812000</v>
      </c>
      <c r="AD47" s="24"/>
      <c r="AE47" s="24"/>
      <c r="AF47" s="23"/>
      <c r="AG47" s="23"/>
      <c r="AH47" s="23"/>
      <c r="AI47" s="23"/>
      <c r="AJ47" s="22"/>
    </row>
    <row r="48" spans="1:41" s="70" customFormat="1">
      <c r="A48" s="632"/>
      <c r="B48" s="33"/>
      <c r="C48" s="412" t="s">
        <v>1482</v>
      </c>
      <c r="D48" s="73">
        <f>SUM(D21:D47)</f>
        <v>237988201</v>
      </c>
      <c r="E48" s="73">
        <f t="shared" ref="E48:AA48" si="5">SUM(E21:E47)</f>
        <v>214931105</v>
      </c>
      <c r="F48" s="73">
        <f t="shared" si="5"/>
        <v>23057096</v>
      </c>
      <c r="G48" s="73">
        <f t="shared" si="5"/>
        <v>147616901</v>
      </c>
      <c r="H48" s="73">
        <f t="shared" si="5"/>
        <v>114437870</v>
      </c>
      <c r="I48" s="73">
        <f t="shared" si="5"/>
        <v>8677272</v>
      </c>
      <c r="J48" s="73">
        <f t="shared" si="5"/>
        <v>15655085</v>
      </c>
      <c r="K48" s="73">
        <f t="shared" si="5"/>
        <v>24332357</v>
      </c>
      <c r="L48" s="73">
        <f t="shared" si="5"/>
        <v>138770227</v>
      </c>
      <c r="M48" s="73">
        <f t="shared" si="5"/>
        <v>8746674</v>
      </c>
      <c r="N48" s="73">
        <f t="shared" si="5"/>
        <v>47981300</v>
      </c>
      <c r="O48" s="73">
        <f t="shared" si="5"/>
        <v>42490000</v>
      </c>
      <c r="P48" s="73">
        <f t="shared" si="5"/>
        <v>8846674</v>
      </c>
      <c r="Q48" s="73">
        <f t="shared" si="5"/>
        <v>0</v>
      </c>
      <c r="R48" s="73">
        <f t="shared" si="5"/>
        <v>0</v>
      </c>
      <c r="S48" s="73">
        <f t="shared" si="5"/>
        <v>0</v>
      </c>
      <c r="T48" s="73">
        <f t="shared" si="5"/>
        <v>100000</v>
      </c>
      <c r="U48" s="73">
        <f t="shared" si="5"/>
        <v>47881300</v>
      </c>
      <c r="V48" s="73">
        <f t="shared" si="5"/>
        <v>19941300</v>
      </c>
      <c r="W48" s="73">
        <f t="shared" si="5"/>
        <v>15960000</v>
      </c>
      <c r="X48" s="73">
        <f t="shared" si="5"/>
        <v>0</v>
      </c>
      <c r="Y48" s="73">
        <f t="shared" si="5"/>
        <v>0</v>
      </c>
      <c r="Z48" s="73">
        <f t="shared" si="5"/>
        <v>0</v>
      </c>
      <c r="AA48" s="73">
        <f t="shared" si="5"/>
        <v>11980000</v>
      </c>
      <c r="AB48" s="412"/>
      <c r="AC48" s="33"/>
      <c r="AD48" s="349"/>
      <c r="AE48" s="349"/>
      <c r="AF48" s="266"/>
      <c r="AG48" s="266"/>
      <c r="AH48" s="266"/>
      <c r="AI48" s="266"/>
      <c r="AJ48" s="265"/>
    </row>
    <row r="49" spans="1:41" s="5" customFormat="1" ht="28">
      <c r="A49" s="566">
        <f>A47+1</f>
        <v>40</v>
      </c>
      <c r="B49" s="3">
        <f>'תקציב אגף ת.ב.ל 2021  '!B27</f>
        <v>1933</v>
      </c>
      <c r="C49" s="280" t="str">
        <f>'תקציב אגף ת.ב.ל 2021  '!C27</f>
        <v>שיפוצים ובטיחות אש מוזיאון</v>
      </c>
      <c r="D49" s="4">
        <f>'תקציב אגף ת.ב.ל 2021  '!D27</f>
        <v>1370000</v>
      </c>
      <c r="E49" s="3">
        <f>'תקציב אגף ת.ב.ל 2021  '!E27</f>
        <v>1420000</v>
      </c>
      <c r="F49" s="3">
        <f>'תקציב אגף ת.ב.ל 2021  '!F27</f>
        <v>-50000</v>
      </c>
      <c r="G49" s="3">
        <f>'תקציב אגף ת.ב.ל 2021  '!G27</f>
        <v>1370000</v>
      </c>
      <c r="H49" s="3">
        <f>'תקציב אגף ת.ב.ל 2021  '!H27</f>
        <v>1196722</v>
      </c>
      <c r="I49" s="3">
        <f>'תקציב אגף ת.ב.ל 2021  '!I27</f>
        <v>144734</v>
      </c>
      <c r="J49" s="3">
        <f>'תקציב אגף ת.ב.ל 2021  '!J27</f>
        <v>18454</v>
      </c>
      <c r="K49" s="3">
        <f>'תקציב אגף ת.ב.ל 2021  '!K27</f>
        <v>163188</v>
      </c>
      <c r="L49" s="4">
        <f>'תקציב אגף ת.ב.ל 2021  '!L27</f>
        <v>1359910</v>
      </c>
      <c r="M49" s="4">
        <f>'תקציב אגף ת.ב.ל 2021  '!M27</f>
        <v>10090</v>
      </c>
      <c r="N49" s="4">
        <f>'תקציב אגף ת.ב.ל 2021  '!N27</f>
        <v>0</v>
      </c>
      <c r="O49" s="4">
        <f>'תקציב אגף ת.ב.ל 2021  '!O27</f>
        <v>0</v>
      </c>
      <c r="P49" s="4">
        <f>'תקציב אגף ת.ב.ל 2021  '!P27</f>
        <v>10090</v>
      </c>
      <c r="Q49" s="4">
        <f>'תקציב אגף ת.ב.ל 2021  '!Q27</f>
        <v>0</v>
      </c>
      <c r="R49" s="4">
        <f>'תקציב אגף ת.ב.ל 2021  '!R27</f>
        <v>0</v>
      </c>
      <c r="S49" s="4">
        <f>'תקציב אגף ת.ב.ל 2021  '!S27</f>
        <v>0</v>
      </c>
      <c r="T49" s="4">
        <f>'תקציב אגף ת.ב.ל 2021  '!T27</f>
        <v>0</v>
      </c>
      <c r="U49" s="4">
        <f>'תקציב אגף ת.ב.ל 2021  '!U27</f>
        <v>0</v>
      </c>
      <c r="V49" s="4">
        <f>'תקציב אגף ת.ב.ל 2021  '!V27</f>
        <v>0</v>
      </c>
      <c r="W49" s="4">
        <f>'תקציב אגף ת.ב.ל 2021  '!W27</f>
        <v>0</v>
      </c>
      <c r="X49" s="4">
        <f>'תקציב אגף ת.ב.ל 2021  '!X27</f>
        <v>0</v>
      </c>
      <c r="Y49" s="4">
        <f>'תקציב אגף ת.ב.ל 2021  '!Y27</f>
        <v>0</v>
      </c>
      <c r="Z49" s="4">
        <f>'תקציב אגף ת.ב.ל 2021  '!Z27</f>
        <v>0</v>
      </c>
      <c r="AA49" s="4">
        <f>'תקציב אגף ת.ב.ל 2021  '!AA27</f>
        <v>0</v>
      </c>
      <c r="AB49" s="280" t="str">
        <f>'תקציב אגף ת.ב.ל 2021  '!AB27</f>
        <v xml:space="preserve">עבודות במסגרת מערכות כיבוי אש והמשך שדרוג מערכת מיזוג במוזיאון. </v>
      </c>
      <c r="AC49" s="3">
        <f>'תקציב אגף ת.ב.ל 2021  '!AC27</f>
        <v>826000</v>
      </c>
      <c r="AD49" s="24"/>
      <c r="AE49" s="24"/>
      <c r="AF49" s="23"/>
      <c r="AG49" s="23"/>
      <c r="AH49" s="23"/>
      <c r="AI49" s="23"/>
      <c r="AJ49" s="22"/>
    </row>
    <row r="50" spans="1:41" s="5" customFormat="1" ht="30" customHeight="1">
      <c r="A50" s="566">
        <f t="shared" si="1"/>
        <v>41</v>
      </c>
      <c r="B50" s="3">
        <f>'תקציב אגף ת.ב.ל 2021  '!B47</f>
        <v>2134</v>
      </c>
      <c r="C50" s="280" t="str">
        <f>'תקציב אגף ת.ב.ל 2021  '!C47</f>
        <v>שיפוץ אולם ספורט נווה ישראל</v>
      </c>
      <c r="D50" s="4">
        <f>'תקציב אגף ת.ב.ל 2021  '!D47</f>
        <v>494000</v>
      </c>
      <c r="E50" s="3">
        <f>'תקציב אגף ת.ב.ל 2021  '!E47</f>
        <v>494000</v>
      </c>
      <c r="F50" s="3">
        <f>'תקציב אגף ת.ב.ל 2021  '!F47</f>
        <v>0</v>
      </c>
      <c r="G50" s="3">
        <f>'תקציב אגף ת.ב.ל 2021  '!G47</f>
        <v>494000</v>
      </c>
      <c r="H50" s="3">
        <f>'תקציב אגף ת.ב.ל 2021  '!H47</f>
        <v>413088</v>
      </c>
      <c r="I50" s="3">
        <f>'תקציב אגף ת.ב.ל 2021  '!I47</f>
        <v>0</v>
      </c>
      <c r="J50" s="3">
        <f>'תקציב אגף ת.ב.ל 2021  '!J47</f>
        <v>66991</v>
      </c>
      <c r="K50" s="3">
        <f>'תקציב אגף ת.ב.ל 2021  '!K47</f>
        <v>66991</v>
      </c>
      <c r="L50" s="4">
        <f>'תקציב אגף ת.ב.ל 2021  '!L47</f>
        <v>480079</v>
      </c>
      <c r="M50" s="4">
        <f>'תקציב אגף ת.ב.ל 2021  '!M47</f>
        <v>13921</v>
      </c>
      <c r="N50" s="4">
        <f>'תקציב אגף ת.ב.ל 2021  '!N47</f>
        <v>0</v>
      </c>
      <c r="O50" s="4">
        <f>'תקציב אגף ת.ב.ל 2021  '!O47</f>
        <v>0</v>
      </c>
      <c r="P50" s="4">
        <f>'תקציב אגף ת.ב.ל 2021  '!P47</f>
        <v>13921</v>
      </c>
      <c r="Q50" s="4">
        <f>'תקציב אגף ת.ב.ל 2021  '!Q47</f>
        <v>0</v>
      </c>
      <c r="R50" s="4">
        <f>'תקציב אגף ת.ב.ל 2021  '!R47</f>
        <v>0</v>
      </c>
      <c r="S50" s="4">
        <f>'תקציב אגף ת.ב.ל 2021  '!S47</f>
        <v>0</v>
      </c>
      <c r="T50" s="4">
        <f>'תקציב אגף ת.ב.ל 2021  '!T47</f>
        <v>0</v>
      </c>
      <c r="U50" s="4">
        <f>'תקציב אגף ת.ב.ל 2021  '!U47</f>
        <v>0</v>
      </c>
      <c r="V50" s="4">
        <f>'תקציב אגף ת.ב.ל 2021  '!V47</f>
        <v>0</v>
      </c>
      <c r="W50" s="4">
        <f>'תקציב אגף ת.ב.ל 2021  '!W47</f>
        <v>0</v>
      </c>
      <c r="X50" s="4">
        <f>'תקציב אגף ת.ב.ל 2021  '!X47</f>
        <v>0</v>
      </c>
      <c r="Y50" s="4">
        <f>'תקציב אגף ת.ב.ל 2021  '!Y47</f>
        <v>0</v>
      </c>
      <c r="Z50" s="4">
        <f>'תקציב אגף ת.ב.ל 2021  '!Z47</f>
        <v>0</v>
      </c>
      <c r="AA50" s="4">
        <f>'תקציב אגף ת.ב.ל 2021  '!AA47</f>
        <v>0</v>
      </c>
      <c r="AB50" s="280" t="str">
        <f>'תקציב אגף ת.ב.ל 2021  '!AB47</f>
        <v>עבודות שיפוץ האולם כולל הצטיידות. לקראת סיום.</v>
      </c>
      <c r="AC50" s="3">
        <f>'תקציב אגף ת.ב.ל 2021  '!AC47</f>
        <v>829000</v>
      </c>
      <c r="AD50" s="24"/>
      <c r="AE50" s="24"/>
      <c r="AF50" s="23"/>
      <c r="AG50" s="23"/>
      <c r="AH50" s="23"/>
      <c r="AI50" s="23"/>
      <c r="AJ50" s="22"/>
    </row>
    <row r="51" spans="1:41" s="567" customFormat="1" ht="42">
      <c r="A51" s="566">
        <f t="shared" si="1"/>
        <v>42</v>
      </c>
      <c r="B51" s="3">
        <f>'תקציב אגף ת.ב.ל 2021  '!B53</f>
        <v>2176</v>
      </c>
      <c r="C51" s="280" t="str">
        <f>'תקציב אגף ת.ב.ל 2021  '!C53</f>
        <v>עב.הק מבני כיתות  חלופי איצטדיון</v>
      </c>
      <c r="D51" s="4">
        <f>'תקציב אגף ת.ב.ל 2021  '!D53</f>
        <v>2100000</v>
      </c>
      <c r="E51" s="3">
        <f>'תקציב אגף ת.ב.ל 2021  '!E53</f>
        <v>2100000</v>
      </c>
      <c r="F51" s="3">
        <f>'תקציב אגף ת.ב.ל 2021  '!F53</f>
        <v>0</v>
      </c>
      <c r="G51" s="3">
        <f>'תקציב אגף ת.ב.ל 2021  '!G53</f>
        <v>0</v>
      </c>
      <c r="H51" s="3">
        <f>'תקציב אגף ת.ב.ל 2021  '!H53</f>
        <v>0</v>
      </c>
      <c r="I51" s="3">
        <f>'תקציב אגף ת.ב.ל 2021  '!I53</f>
        <v>0</v>
      </c>
      <c r="J51" s="3">
        <f>'תקציב אגף ת.ב.ל 2021  '!J53</f>
        <v>0</v>
      </c>
      <c r="K51" s="3">
        <f>'תקציב אגף ת.ב.ל 2021  '!K53</f>
        <v>0</v>
      </c>
      <c r="L51" s="4">
        <f>'תקציב אגף ת.ב.ל 2021  '!L53</f>
        <v>0</v>
      </c>
      <c r="M51" s="4">
        <f>'תקציב אגף ת.ב.ל 2021  '!M53</f>
        <v>0</v>
      </c>
      <c r="N51" s="4">
        <f>'תקציב אגף ת.ב.ל 2021  '!N53</f>
        <v>0</v>
      </c>
      <c r="O51" s="4">
        <f>'תקציב אגף ת.ב.ל 2021  '!O53</f>
        <v>2100000</v>
      </c>
      <c r="P51" s="4">
        <f>'תקציב אגף ת.ב.ל 2021  '!P53</f>
        <v>0</v>
      </c>
      <c r="Q51" s="4">
        <f>'תקציב אגף ת.ב.ל 2021  '!Q53</f>
        <v>0</v>
      </c>
      <c r="R51" s="4">
        <f>'תקציב אגף ת.ב.ל 2021  '!R53</f>
        <v>0</v>
      </c>
      <c r="S51" s="4">
        <f>'תקציב אגף ת.ב.ל 2021  '!S53</f>
        <v>0</v>
      </c>
      <c r="T51" s="4">
        <f>'תקציב אגף ת.ב.ל 2021  '!T53</f>
        <v>0</v>
      </c>
      <c r="U51" s="4">
        <f>'תקציב אגף ת.ב.ל 2021  '!U53</f>
        <v>0</v>
      </c>
      <c r="V51" s="4">
        <f>'תקציב אגף ת.ב.ל 2021  '!V53</f>
        <v>0</v>
      </c>
      <c r="W51" s="4">
        <f>'תקציב אגף ת.ב.ל 2021  '!W53</f>
        <v>0</v>
      </c>
      <c r="X51" s="4">
        <f>'תקציב אגף ת.ב.ל 2021  '!X53</f>
        <v>0</v>
      </c>
      <c r="Y51" s="4">
        <f>'תקציב אגף ת.ב.ל 2021  '!Y53</f>
        <v>0</v>
      </c>
      <c r="Z51" s="4">
        <f>'תקציב אגף ת.ב.ל 2021  '!Z53</f>
        <v>0</v>
      </c>
      <c r="AA51" s="4">
        <f>'תקציב אגף ת.ב.ל 2021  '!AA53</f>
        <v>0</v>
      </c>
      <c r="AB51" s="280" t="str">
        <f>'תקציב אגף ת.ב.ל 2021  '!AB53</f>
        <v>כיתות לימוד ומבני שרותים כולל פיתוח חלופי למבנים באיצטדיון העירוני.</v>
      </c>
      <c r="AC51" s="3">
        <f>'תקציב אגף ת.ב.ל 2021  '!AC53</f>
        <v>829000</v>
      </c>
      <c r="AD51" s="24"/>
      <c r="AE51" s="24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633" customFormat="1">
      <c r="A52" s="632"/>
      <c r="B52" s="33"/>
      <c r="C52" s="412" t="s">
        <v>1483</v>
      </c>
      <c r="D52" s="73">
        <f>SUM(D49:D51)</f>
        <v>3964000</v>
      </c>
      <c r="E52" s="73">
        <f t="shared" ref="E52:AA52" si="6">SUM(E49:E51)</f>
        <v>4014000</v>
      </c>
      <c r="F52" s="73">
        <f t="shared" si="6"/>
        <v>-50000</v>
      </c>
      <c r="G52" s="73">
        <f t="shared" si="6"/>
        <v>1864000</v>
      </c>
      <c r="H52" s="73">
        <f t="shared" si="6"/>
        <v>1609810</v>
      </c>
      <c r="I52" s="73">
        <f t="shared" si="6"/>
        <v>144734</v>
      </c>
      <c r="J52" s="73">
        <f t="shared" si="6"/>
        <v>85445</v>
      </c>
      <c r="K52" s="73">
        <f t="shared" si="6"/>
        <v>230179</v>
      </c>
      <c r="L52" s="73">
        <f t="shared" si="6"/>
        <v>1839989</v>
      </c>
      <c r="M52" s="73">
        <f t="shared" si="6"/>
        <v>24011</v>
      </c>
      <c r="N52" s="73">
        <f t="shared" si="6"/>
        <v>0</v>
      </c>
      <c r="O52" s="73">
        <f t="shared" si="6"/>
        <v>2100000</v>
      </c>
      <c r="P52" s="73">
        <f t="shared" si="6"/>
        <v>24011</v>
      </c>
      <c r="Q52" s="73">
        <f t="shared" si="6"/>
        <v>0</v>
      </c>
      <c r="R52" s="73">
        <f t="shared" si="6"/>
        <v>0</v>
      </c>
      <c r="S52" s="73">
        <f t="shared" si="6"/>
        <v>0</v>
      </c>
      <c r="T52" s="73">
        <f t="shared" si="6"/>
        <v>0</v>
      </c>
      <c r="U52" s="73">
        <f t="shared" si="6"/>
        <v>0</v>
      </c>
      <c r="V52" s="73">
        <f t="shared" si="6"/>
        <v>0</v>
      </c>
      <c r="W52" s="73">
        <f t="shared" si="6"/>
        <v>0</v>
      </c>
      <c r="X52" s="73">
        <f t="shared" si="6"/>
        <v>0</v>
      </c>
      <c r="Y52" s="73">
        <f t="shared" si="6"/>
        <v>0</v>
      </c>
      <c r="Z52" s="73">
        <f t="shared" si="6"/>
        <v>0</v>
      </c>
      <c r="AA52" s="73">
        <f t="shared" si="6"/>
        <v>0</v>
      </c>
      <c r="AB52" s="412"/>
      <c r="AC52" s="33"/>
      <c r="AD52" s="349"/>
      <c r="AE52" s="349"/>
      <c r="AF52" s="70"/>
      <c r="AG52" s="70"/>
      <c r="AH52" s="70"/>
      <c r="AI52" s="70"/>
      <c r="AJ52" s="70"/>
      <c r="AK52" s="70"/>
      <c r="AL52" s="70"/>
      <c r="AM52" s="70"/>
      <c r="AN52" s="70"/>
      <c r="AO52" s="70"/>
    </row>
    <row r="53" spans="1:41" s="5" customFormat="1" ht="28">
      <c r="A53" s="566">
        <f>A51+1</f>
        <v>43</v>
      </c>
      <c r="B53" s="3">
        <f>'תקציב אגף ת.ב.ל 2021  '!B43</f>
        <v>2129</v>
      </c>
      <c r="C53" s="280" t="str">
        <f>'תקציב אגף ת.ב.ל 2021  '!C43</f>
        <v>שיפוצים מוס.רווחה</v>
      </c>
      <c r="D53" s="4">
        <f>'תקציב אגף ת.ב.ל 2021  '!D43</f>
        <v>624000</v>
      </c>
      <c r="E53" s="3">
        <f>'תקציב אגף ת.ב.ל 2021  '!E43</f>
        <v>624000</v>
      </c>
      <c r="F53" s="3">
        <f>'תקציב אגף ת.ב.ל 2021  '!F43</f>
        <v>0</v>
      </c>
      <c r="G53" s="3">
        <f>'תקציב אגף ת.ב.ל 2021  '!G43</f>
        <v>624000</v>
      </c>
      <c r="H53" s="3">
        <f>'תקציב אגף ת.ב.ל 2021  '!H43</f>
        <v>514816</v>
      </c>
      <c r="I53" s="3">
        <f>'תקציב אגף ת.ב.ל 2021  '!I43</f>
        <v>0</v>
      </c>
      <c r="J53" s="3">
        <f>'תקציב אגף ת.ב.ל 2021  '!J43</f>
        <v>1975</v>
      </c>
      <c r="K53" s="3">
        <f>'תקציב אגף ת.ב.ל 2021  '!K43</f>
        <v>1975</v>
      </c>
      <c r="L53" s="4">
        <f>'תקציב אגף ת.ב.ל 2021  '!L43</f>
        <v>516791</v>
      </c>
      <c r="M53" s="4">
        <f>'תקציב אגף ת.ב.ל 2021  '!M43</f>
        <v>107209</v>
      </c>
      <c r="N53" s="4">
        <f>'תקציב אגף ת.ב.ל 2021  '!N43</f>
        <v>0</v>
      </c>
      <c r="O53" s="4">
        <f>'תקציב אגף ת.ב.ל 2021  '!O43</f>
        <v>0</v>
      </c>
      <c r="P53" s="4">
        <f>'תקציב אגף ת.ב.ל 2021  '!P43</f>
        <v>107209</v>
      </c>
      <c r="Q53" s="4">
        <f>'תקציב אגף ת.ב.ל 2021  '!Q43</f>
        <v>0</v>
      </c>
      <c r="R53" s="4">
        <f>'תקציב אגף ת.ב.ל 2021  '!R43</f>
        <v>0</v>
      </c>
      <c r="S53" s="4">
        <f>'תקציב אגף ת.ב.ל 2021  '!S43</f>
        <v>0</v>
      </c>
      <c r="T53" s="4">
        <f>'תקציב אגף ת.ב.ל 2021  '!T43</f>
        <v>0</v>
      </c>
      <c r="U53" s="4">
        <f>'תקציב אגף ת.ב.ל 2021  '!U43</f>
        <v>0</v>
      </c>
      <c r="V53" s="4">
        <f>'תקציב אגף ת.ב.ל 2021  '!V43</f>
        <v>0</v>
      </c>
      <c r="W53" s="4">
        <f>'תקציב אגף ת.ב.ל 2021  '!W43</f>
        <v>0</v>
      </c>
      <c r="X53" s="4">
        <f>'תקציב אגף ת.ב.ל 2021  '!X43</f>
        <v>0</v>
      </c>
      <c r="Y53" s="4">
        <f>'תקציב אגף ת.ב.ל 2021  '!Y43</f>
        <v>0</v>
      </c>
      <c r="Z53" s="4">
        <f>'תקציב אגף ת.ב.ל 2021  '!Z43</f>
        <v>0</v>
      </c>
      <c r="AA53" s="4">
        <f>'תקציב אגף ת.ב.ל 2021  '!AA43</f>
        <v>0</v>
      </c>
      <c r="AB53" s="280" t="str">
        <f>'תקציב אגף ת.ב.ל 2021  '!AB43</f>
        <v>מרכז שלום המשפחה בהסתדרות 4 , נתיבים להורות בויצמן 19.</v>
      </c>
      <c r="AC53" s="3">
        <f>'תקציב אגף ת.ב.ל 2021  '!AC43</f>
        <v>840000</v>
      </c>
      <c r="AD53" s="24"/>
      <c r="AE53" s="24"/>
      <c r="AF53" s="23"/>
      <c r="AG53" s="23"/>
      <c r="AH53" s="23"/>
      <c r="AI53" s="23"/>
      <c r="AJ53" s="22"/>
    </row>
    <row r="54" spans="1:41" s="70" customFormat="1">
      <c r="A54" s="632"/>
      <c r="B54" s="33"/>
      <c r="C54" s="412"/>
      <c r="D54" s="4">
        <f>SUM(D53)</f>
        <v>624000</v>
      </c>
      <c r="E54" s="73">
        <f t="shared" ref="E54:AA54" si="7">SUM(E53)</f>
        <v>624000</v>
      </c>
      <c r="F54" s="73">
        <f t="shared" si="7"/>
        <v>0</v>
      </c>
      <c r="G54" s="73">
        <f t="shared" si="7"/>
        <v>624000</v>
      </c>
      <c r="H54" s="73">
        <f t="shared" si="7"/>
        <v>514816</v>
      </c>
      <c r="I54" s="73">
        <f t="shared" si="7"/>
        <v>0</v>
      </c>
      <c r="J54" s="73">
        <f t="shared" si="7"/>
        <v>1975</v>
      </c>
      <c r="K54" s="73">
        <f t="shared" si="7"/>
        <v>1975</v>
      </c>
      <c r="L54" s="4">
        <f t="shared" si="7"/>
        <v>516791</v>
      </c>
      <c r="M54" s="4">
        <f t="shared" si="7"/>
        <v>107209</v>
      </c>
      <c r="N54" s="4">
        <f t="shared" si="7"/>
        <v>0</v>
      </c>
      <c r="O54" s="4">
        <f t="shared" si="7"/>
        <v>0</v>
      </c>
      <c r="P54" s="4">
        <f t="shared" si="7"/>
        <v>107209</v>
      </c>
      <c r="Q54" s="4">
        <f t="shared" si="7"/>
        <v>0</v>
      </c>
      <c r="R54" s="4">
        <f t="shared" si="7"/>
        <v>0</v>
      </c>
      <c r="S54" s="4">
        <f t="shared" si="7"/>
        <v>0</v>
      </c>
      <c r="T54" s="4">
        <f t="shared" si="7"/>
        <v>0</v>
      </c>
      <c r="U54" s="4">
        <f t="shared" si="7"/>
        <v>0</v>
      </c>
      <c r="V54" s="4">
        <f t="shared" si="7"/>
        <v>0</v>
      </c>
      <c r="W54" s="4">
        <f t="shared" si="7"/>
        <v>0</v>
      </c>
      <c r="X54" s="4">
        <f t="shared" si="7"/>
        <v>0</v>
      </c>
      <c r="Y54" s="4">
        <f t="shared" si="7"/>
        <v>0</v>
      </c>
      <c r="Z54" s="4">
        <f t="shared" si="7"/>
        <v>0</v>
      </c>
      <c r="AA54" s="4">
        <f t="shared" si="7"/>
        <v>0</v>
      </c>
      <c r="AB54" s="412"/>
      <c r="AC54" s="33"/>
      <c r="AD54" s="349"/>
      <c r="AE54" s="349"/>
      <c r="AF54" s="266"/>
      <c r="AG54" s="266"/>
      <c r="AH54" s="266"/>
      <c r="AI54" s="266"/>
      <c r="AJ54" s="265"/>
    </row>
    <row r="55" spans="1:41" s="5" customFormat="1">
      <c r="A55" s="566">
        <f>A53+1</f>
        <v>44</v>
      </c>
      <c r="B55" s="3">
        <f>'תקציב אגף ת.ב.ל 2021  '!B31</f>
        <v>1968</v>
      </c>
      <c r="C55" s="280" t="str">
        <f>'תקציב אגף ת.ב.ל 2021  '!C31</f>
        <v>שדרוג המרחב הציבורי</v>
      </c>
      <c r="D55" s="4">
        <f>'תקציב אגף ת.ב.ל 2021  '!D31</f>
        <v>2070000</v>
      </c>
      <c r="E55" s="3">
        <f>'תקציב אגף ת.ב.ל 2021  '!E31</f>
        <v>1950000</v>
      </c>
      <c r="F55" s="3">
        <f>'תקציב אגף ת.ב.ל 2021  '!F31</f>
        <v>120000</v>
      </c>
      <c r="G55" s="3">
        <f>'תקציב אגף ת.ב.ל 2021  '!G31</f>
        <v>1770000</v>
      </c>
      <c r="H55" s="3">
        <f>'תקציב אגף ת.ב.ל 2021  '!H31</f>
        <v>1591436</v>
      </c>
      <c r="I55" s="3">
        <f>'תקציב אגף ת.ב.ל 2021  '!I31</f>
        <v>0</v>
      </c>
      <c r="J55" s="3">
        <f>'תקציב אגף ת.ב.ל 2021  '!J31</f>
        <v>164011</v>
      </c>
      <c r="K55" s="3">
        <f>'תקציב אגף ת.ב.ל 2021  '!K31</f>
        <v>164011</v>
      </c>
      <c r="L55" s="4">
        <f>'תקציב אגף ת.ב.ל 2021  '!L31</f>
        <v>1755447</v>
      </c>
      <c r="M55" s="4">
        <f>'תקציב אגף ת.ב.ל 2021  '!M31</f>
        <v>14553</v>
      </c>
      <c r="N55" s="4">
        <f>'תקציב אגף ת.ב.ל 2021  '!N31</f>
        <v>100000</v>
      </c>
      <c r="O55" s="4">
        <f>'תקציב אגף ת.ב.ל 2021  '!O31</f>
        <v>200000</v>
      </c>
      <c r="P55" s="4">
        <f>'תקציב אגף ת.ב.ל 2021  '!P31</f>
        <v>14553</v>
      </c>
      <c r="Q55" s="4">
        <f>'תקציב אגף ת.ב.ל 2021  '!Q31</f>
        <v>0</v>
      </c>
      <c r="R55" s="4">
        <f>'תקציב אגף ת.ב.ל 2021  '!R31</f>
        <v>0</v>
      </c>
      <c r="S55" s="4">
        <f>'תקציב אגף ת.ב.ל 2021  '!S31</f>
        <v>0</v>
      </c>
      <c r="T55" s="4">
        <f>'תקציב אגף ת.ב.ל 2021  '!T31</f>
        <v>0</v>
      </c>
      <c r="U55" s="4">
        <f>'תקציב אגף ת.ב.ל 2021  '!U31</f>
        <v>100000</v>
      </c>
      <c r="V55" s="4">
        <f>'תקציב אגף ת.ב.ל 2021  '!V31</f>
        <v>0</v>
      </c>
      <c r="W55" s="4">
        <f>'תקציב אגף ת.ב.ל 2021  '!W31</f>
        <v>100000</v>
      </c>
      <c r="X55" s="4">
        <f>'תקציב אגף ת.ב.ל 2021  '!X31</f>
        <v>0</v>
      </c>
      <c r="Y55" s="4">
        <f>'תקציב אגף ת.ב.ל 2021  '!Y31</f>
        <v>0</v>
      </c>
      <c r="Z55" s="4">
        <f>'תקציב אגף ת.ב.ל 2021  '!Z31</f>
        <v>0</v>
      </c>
      <c r="AA55" s="4">
        <f>'תקציב אגף ת.ב.ל 2021  '!AA31</f>
        <v>0</v>
      </c>
      <c r="AB55" s="280" t="str">
        <f>'תקציב אגף ת.ב.ל 2021  '!AB31</f>
        <v>מסגרת עבודות במרחב הציבורי.</v>
      </c>
      <c r="AC55" s="3">
        <f>'תקציב אגף ת.ב.ל 2021  '!AC31</f>
        <v>848500</v>
      </c>
      <c r="AD55" s="24"/>
      <c r="AE55" s="24"/>
      <c r="AF55" s="23"/>
      <c r="AG55" s="23"/>
      <c r="AH55" s="23"/>
      <c r="AI55" s="23"/>
      <c r="AJ55" s="22"/>
    </row>
    <row r="56" spans="1:41" s="70" customFormat="1">
      <c r="A56" s="632"/>
      <c r="B56" s="33"/>
      <c r="C56" s="412" t="s">
        <v>1501</v>
      </c>
      <c r="D56" s="73">
        <f>SUM(D55)</f>
        <v>2070000</v>
      </c>
      <c r="E56" s="73">
        <f t="shared" ref="E56:AA56" si="8">SUM(E55)</f>
        <v>1950000</v>
      </c>
      <c r="F56" s="73">
        <f t="shared" si="8"/>
        <v>120000</v>
      </c>
      <c r="G56" s="73">
        <f t="shared" si="8"/>
        <v>1770000</v>
      </c>
      <c r="H56" s="73">
        <f t="shared" si="8"/>
        <v>1591436</v>
      </c>
      <c r="I56" s="73">
        <f t="shared" si="8"/>
        <v>0</v>
      </c>
      <c r="J56" s="73">
        <f t="shared" si="8"/>
        <v>164011</v>
      </c>
      <c r="K56" s="73">
        <f t="shared" si="8"/>
        <v>164011</v>
      </c>
      <c r="L56" s="73">
        <f t="shared" si="8"/>
        <v>1755447</v>
      </c>
      <c r="M56" s="73">
        <f t="shared" si="8"/>
        <v>14553</v>
      </c>
      <c r="N56" s="73">
        <f t="shared" si="8"/>
        <v>100000</v>
      </c>
      <c r="O56" s="73">
        <f t="shared" si="8"/>
        <v>200000</v>
      </c>
      <c r="P56" s="73">
        <f t="shared" si="8"/>
        <v>14553</v>
      </c>
      <c r="Q56" s="73">
        <f t="shared" si="8"/>
        <v>0</v>
      </c>
      <c r="R56" s="73">
        <f t="shared" si="8"/>
        <v>0</v>
      </c>
      <c r="S56" s="73">
        <f t="shared" si="8"/>
        <v>0</v>
      </c>
      <c r="T56" s="73">
        <f t="shared" si="8"/>
        <v>0</v>
      </c>
      <c r="U56" s="73">
        <f t="shared" si="8"/>
        <v>100000</v>
      </c>
      <c r="V56" s="73">
        <f t="shared" si="8"/>
        <v>0</v>
      </c>
      <c r="W56" s="73">
        <f t="shared" si="8"/>
        <v>100000</v>
      </c>
      <c r="X56" s="73">
        <f t="shared" si="8"/>
        <v>0</v>
      </c>
      <c r="Y56" s="73">
        <f t="shared" si="8"/>
        <v>0</v>
      </c>
      <c r="Z56" s="73">
        <f t="shared" si="8"/>
        <v>0</v>
      </c>
      <c r="AA56" s="73">
        <f t="shared" si="8"/>
        <v>0</v>
      </c>
      <c r="AB56" s="412"/>
      <c r="AC56" s="33"/>
      <c r="AD56" s="349"/>
      <c r="AE56" s="349"/>
      <c r="AF56" s="266"/>
      <c r="AG56" s="266"/>
      <c r="AH56" s="266"/>
      <c r="AI56" s="266"/>
      <c r="AJ56" s="265"/>
    </row>
    <row r="57" spans="1:41" s="5" customFormat="1" ht="28">
      <c r="A57" s="566">
        <f>A55+1</f>
        <v>45</v>
      </c>
      <c r="B57" s="3">
        <f>'תקציב אגף ת.ב.ל 2021  '!B6</f>
        <v>1253</v>
      </c>
      <c r="C57" s="280" t="str">
        <f>'תקציב אגף ת.ב.ל 2021  '!C6</f>
        <v>שיפוץ מבני דת ציבוריים</v>
      </c>
      <c r="D57" s="4">
        <f>'תקציב אגף ת.ב.ל 2021  '!D6</f>
        <v>5200000</v>
      </c>
      <c r="E57" s="3">
        <f>'תקציב אגף ת.ב.ל 2021  '!E6</f>
        <v>5200000</v>
      </c>
      <c r="F57" s="3">
        <f>'תקציב אגף ת.ב.ל 2021  '!F6</f>
        <v>0</v>
      </c>
      <c r="G57" s="3">
        <f>'תקציב אגף ת.ב.ל 2021  '!G6</f>
        <v>4600000</v>
      </c>
      <c r="H57" s="3">
        <f>'תקציב אגף ת.ב.ל 2021  '!H6</f>
        <v>4516607</v>
      </c>
      <c r="I57" s="3">
        <f>'תקציב אגף ת.ב.ל 2021  '!I6</f>
        <v>0</v>
      </c>
      <c r="J57" s="3">
        <f>'תקציב אגף ת.ב.ל 2021  '!J6</f>
        <v>18424</v>
      </c>
      <c r="K57" s="3">
        <f>'תקציב אגף ת.ב.ל 2021  '!K6</f>
        <v>18424</v>
      </c>
      <c r="L57" s="4">
        <f>'תקציב אגף ת.ב.ל 2021  '!L6</f>
        <v>4535031</v>
      </c>
      <c r="M57" s="4">
        <f>'תקציב אגף ת.ב.ל 2021  '!M6</f>
        <v>64969</v>
      </c>
      <c r="N57" s="4">
        <f>'תקציב אגף ת.ב.ל 2021  '!N6</f>
        <v>500000</v>
      </c>
      <c r="O57" s="4">
        <f>'תקציב אגף ת.ב.ל 2021  '!O6</f>
        <v>100000</v>
      </c>
      <c r="P57" s="4">
        <f>'תקציב אגף ת.ב.ל 2021  '!P6</f>
        <v>64969</v>
      </c>
      <c r="Q57" s="4">
        <f>'תקציב אגף ת.ב.ל 2021  '!Q6</f>
        <v>0</v>
      </c>
      <c r="R57" s="4">
        <f>'תקציב אגף ת.ב.ל 2021  '!R6</f>
        <v>0</v>
      </c>
      <c r="S57" s="4">
        <f>'תקציב אגף ת.ב.ל 2021  '!S6</f>
        <v>0</v>
      </c>
      <c r="T57" s="4">
        <f>'תקציב אגף ת.ב.ל 2021  '!T6</f>
        <v>0</v>
      </c>
      <c r="U57" s="4">
        <f>'תקציב אגף ת.ב.ל 2021  '!U6</f>
        <v>500000</v>
      </c>
      <c r="V57" s="4">
        <f>'תקציב אגף ת.ב.ל 2021  '!V6</f>
        <v>0</v>
      </c>
      <c r="W57" s="4">
        <f>'תקציב אגף ת.ב.ל 2021  '!W6</f>
        <v>500000</v>
      </c>
      <c r="X57" s="4">
        <f>'תקציב אגף ת.ב.ל 2021  '!X6</f>
        <v>0</v>
      </c>
      <c r="Y57" s="4">
        <f>'תקציב אגף ת.ב.ל 2021  '!Y6</f>
        <v>0</v>
      </c>
      <c r="Z57" s="4">
        <f>'תקציב אגף ת.ב.ל 2021  '!Z6</f>
        <v>0</v>
      </c>
      <c r="AA57" s="4">
        <f>'תקציב אגף ת.ב.ל 2021  '!AA6</f>
        <v>0</v>
      </c>
      <c r="AB57" s="280" t="str">
        <f>'תקציב אגף ת.ב.ל 2021  '!AB6</f>
        <v>סל לשיפוץ בתי כנסת ע"פ תוכנית שתוגש במהלך השנה.</v>
      </c>
      <c r="AC57" s="3">
        <f>'תקציב אגף ת.ב.ל 2021  '!AC6</f>
        <v>850000</v>
      </c>
      <c r="AD57" s="24"/>
      <c r="AE57" s="24"/>
      <c r="AF57" s="23"/>
      <c r="AG57" s="23"/>
      <c r="AH57" s="23"/>
      <c r="AI57" s="23"/>
      <c r="AJ57" s="22"/>
      <c r="AK57" s="70"/>
      <c r="AL57" s="70"/>
      <c r="AM57" s="70"/>
      <c r="AN57" s="70"/>
      <c r="AO57" s="70"/>
    </row>
    <row r="58" spans="1:41" s="5" customFormat="1" ht="28">
      <c r="A58" s="566">
        <f t="shared" si="1"/>
        <v>46</v>
      </c>
      <c r="B58" s="3">
        <f>'תקציב אגף ת.ב.ל 2021  '!B18</f>
        <v>1794</v>
      </c>
      <c r="C58" s="280" t="str">
        <f>'תקציב אגף ת.ב.ל 2021  '!C18</f>
        <v>שיפוץ המקווה העירוני</v>
      </c>
      <c r="D58" s="4">
        <f>'תקציב אגף ת.ב.ל 2021  '!D18</f>
        <v>970000</v>
      </c>
      <c r="E58" s="3">
        <f>'תקציב אגף ת.ב.ל 2021  '!E18</f>
        <v>1100000</v>
      </c>
      <c r="F58" s="3">
        <f>'תקציב אגף ת.ב.ל 2021  '!F18</f>
        <v>-130000</v>
      </c>
      <c r="G58" s="3">
        <f>'תקציב אגף ת.ב.ל 2021  '!G18</f>
        <v>970000</v>
      </c>
      <c r="H58" s="3">
        <f>'תקציב אגף ת.ב.ל 2021  '!H18</f>
        <v>949009</v>
      </c>
      <c r="I58" s="3">
        <f>'תקציב אגף ת.ב.ל 2021  '!I18</f>
        <v>20093</v>
      </c>
      <c r="J58" s="3">
        <f>'תקציב אגף ת.ב.ל 2021  '!J18</f>
        <v>0</v>
      </c>
      <c r="K58" s="3">
        <f>'תקציב אגף ת.ב.ל 2021  '!K18</f>
        <v>20093</v>
      </c>
      <c r="L58" s="4">
        <f>'תקציב אגף ת.ב.ל 2021  '!L18</f>
        <v>969102</v>
      </c>
      <c r="M58" s="4">
        <f>'תקציב אגף ת.ב.ל 2021  '!M18</f>
        <v>898</v>
      </c>
      <c r="N58" s="4">
        <f>'תקציב אגף ת.ב.ל 2021  '!N18</f>
        <v>0</v>
      </c>
      <c r="O58" s="4">
        <f>'תקציב אגף ת.ב.ל 2021  '!O18</f>
        <v>0</v>
      </c>
      <c r="P58" s="4">
        <f>'תקציב אגף ת.ב.ל 2021  '!P18</f>
        <v>898</v>
      </c>
      <c r="Q58" s="4">
        <f>'תקציב אגף ת.ב.ל 2021  '!Q18</f>
        <v>0</v>
      </c>
      <c r="R58" s="4">
        <f>'תקציב אגף ת.ב.ל 2021  '!R18</f>
        <v>0</v>
      </c>
      <c r="S58" s="4">
        <f>'תקציב אגף ת.ב.ל 2021  '!S18</f>
        <v>0</v>
      </c>
      <c r="T58" s="4">
        <f>'תקציב אגף ת.ב.ל 2021  '!T18</f>
        <v>0</v>
      </c>
      <c r="U58" s="4">
        <f>'תקציב אגף ת.ב.ל 2021  '!U18</f>
        <v>0</v>
      </c>
      <c r="V58" s="4">
        <f>'תקציב אגף ת.ב.ל 2021  '!V18</f>
        <v>0</v>
      </c>
      <c r="W58" s="4">
        <f>'תקציב אגף ת.ב.ל 2021  '!W18</f>
        <v>0</v>
      </c>
      <c r="X58" s="4">
        <f>'תקציב אגף ת.ב.ל 2021  '!X18</f>
        <v>0</v>
      </c>
      <c r="Y58" s="4">
        <f>'תקציב אגף ת.ב.ל 2021  '!Y18</f>
        <v>0</v>
      </c>
      <c r="Z58" s="4">
        <f>'תקציב אגף ת.ב.ל 2021  '!Z18</f>
        <v>0</v>
      </c>
      <c r="AA58" s="4">
        <f>'תקציב אגף ת.ב.ל 2021  '!AA18</f>
        <v>0</v>
      </c>
      <c r="AB58" s="280" t="str">
        <f>'תקציב אגף ת.ב.ל 2021  '!AB18</f>
        <v>עבודות שיקום חזיתות המקווה. ח-ן סופיים.</v>
      </c>
      <c r="AC58" s="3">
        <f>'תקציב אגף ת.ב.ל 2021  '!AC18</f>
        <v>850000</v>
      </c>
      <c r="AD58" s="24"/>
      <c r="AE58" s="24"/>
      <c r="AF58" s="23"/>
      <c r="AG58" s="23"/>
      <c r="AH58" s="23"/>
      <c r="AI58" s="23"/>
      <c r="AJ58" s="22"/>
    </row>
    <row r="59" spans="1:41" s="5" customFormat="1" ht="56">
      <c r="A59" s="566">
        <f t="shared" si="1"/>
        <v>47</v>
      </c>
      <c r="B59" s="3">
        <f>'תקציב אגף ת.ב.ל 2021  '!B28</f>
        <v>1947</v>
      </c>
      <c r="C59" s="280" t="str">
        <f>'תקציב אגף ת.ב.ל 2021  '!C28</f>
        <v xml:space="preserve">פיר מעלית ומעלית בנין המועצה הדתית </v>
      </c>
      <c r="D59" s="4">
        <f>'תקציב אגף ת.ב.ל 2021  '!D28</f>
        <v>2500000</v>
      </c>
      <c r="E59" s="3">
        <f>'תקציב אגף ת.ב.ל 2021  '!E28</f>
        <v>2500000</v>
      </c>
      <c r="F59" s="3">
        <f>'תקציב אגף ת.ב.ל 2021  '!F28</f>
        <v>0</v>
      </c>
      <c r="G59" s="3">
        <f>'תקציב אגף ת.ב.ל 2021  '!G28</f>
        <v>950000</v>
      </c>
      <c r="H59" s="3">
        <f>'תקציב אגף ת.ב.ל 2021  '!H28</f>
        <v>19881</v>
      </c>
      <c r="I59" s="3">
        <f>'תקציב אגף ת.ב.ל 2021  '!I28</f>
        <v>204750</v>
      </c>
      <c r="J59" s="3">
        <f>'תקציב אגף ת.ב.ל 2021  '!J28</f>
        <v>0</v>
      </c>
      <c r="K59" s="3">
        <f>'תקציב אגף ת.ב.ל 2021  '!K28</f>
        <v>204750</v>
      </c>
      <c r="L59" s="4">
        <f>'תקציב אגף ת.ב.ל 2021  '!L28</f>
        <v>224631</v>
      </c>
      <c r="M59" s="4">
        <f>'תקציב אגף ת.ב.ל 2021  '!M28</f>
        <v>725369</v>
      </c>
      <c r="N59" s="4">
        <f>'תקציב אגף ת.ב.ל 2021  '!N28</f>
        <v>1550000</v>
      </c>
      <c r="O59" s="4">
        <f>'תקציב אגף ת.ב.ל 2021  '!O28</f>
        <v>0</v>
      </c>
      <c r="P59" s="4">
        <f>'תקציב אגף ת.ב.ל 2021  '!P28</f>
        <v>725369</v>
      </c>
      <c r="Q59" s="4">
        <f>'תקציב אגף ת.ב.ל 2021  '!Q28</f>
        <v>0</v>
      </c>
      <c r="R59" s="4">
        <f>'תקציב אגף ת.ב.ל 2021  '!R28</f>
        <v>0</v>
      </c>
      <c r="S59" s="4">
        <f>'תקציב אגף ת.ב.ל 2021  '!S28</f>
        <v>0</v>
      </c>
      <c r="T59" s="4">
        <f>'תקציב אגף ת.ב.ל 2021  '!T28</f>
        <v>0</v>
      </c>
      <c r="U59" s="4">
        <f>'תקציב אגף ת.ב.ל 2021  '!U28</f>
        <v>1550000</v>
      </c>
      <c r="V59" s="4">
        <f>'תקציב אגף ת.ב.ל 2021  '!V28</f>
        <v>1550000</v>
      </c>
      <c r="W59" s="4">
        <f>'תקציב אגף ת.ב.ל 2021  '!W28</f>
        <v>0</v>
      </c>
      <c r="X59" s="4">
        <f>'תקציב אגף ת.ב.ל 2021  '!X28</f>
        <v>0</v>
      </c>
      <c r="Y59" s="4">
        <f>'תקציב אגף ת.ב.ל 2021  '!Y28</f>
        <v>0</v>
      </c>
      <c r="Z59" s="4">
        <f>'תקציב אגף ת.ב.ל 2021  '!Z28</f>
        <v>0</v>
      </c>
      <c r="AA59" s="4">
        <f>'תקציב אגף ת.ב.ל 2021  '!AA28</f>
        <v>0</v>
      </c>
      <c r="AB59" s="280" t="str">
        <f>'תקציב אגף ת.ב.ל 2021  '!AB28</f>
        <v>בנית פיר מעלית חיצוני בעקבות ביקורת של יועץ נגישות וקושי הנדסי לבנות את הפיר בתוך המבנה. ממומן מ. הדתות. ההיתר בשלבים מתקדמים.</v>
      </c>
      <c r="AC59" s="3">
        <f>'תקציב אגף ת.ב.ל 2021  '!AC28</f>
        <v>850000</v>
      </c>
      <c r="AD59" s="24"/>
      <c r="AE59" s="24"/>
      <c r="AF59" s="23"/>
      <c r="AG59" s="23"/>
      <c r="AH59" s="23"/>
      <c r="AI59" s="23"/>
      <c r="AJ59" s="22"/>
    </row>
    <row r="60" spans="1:41" s="5" customFormat="1" ht="42">
      <c r="A60" s="566">
        <f t="shared" si="1"/>
        <v>48</v>
      </c>
      <c r="B60" s="3">
        <f>'תקציב אגף ת.ב.ל 2021  '!B36</f>
        <v>2029</v>
      </c>
      <c r="C60" s="280" t="str">
        <f>'תקציב אגף ת.ב.ל 2021  '!C36</f>
        <v>שיפוץ אולם אירועים, מרפסת,מדרגות  מועצה דתית</v>
      </c>
      <c r="D60" s="4">
        <f>'תקציב אגף ת.ב.ל 2021  '!D36</f>
        <v>300000</v>
      </c>
      <c r="E60" s="3">
        <f>'תקציב אגף ת.ב.ל 2021  '!E36</f>
        <v>300000</v>
      </c>
      <c r="F60" s="3">
        <f>'תקציב אגף ת.ב.ל 2021  '!F36</f>
        <v>0</v>
      </c>
      <c r="G60" s="3">
        <f>'תקציב אגף ת.ב.ל 2021  '!G36</f>
        <v>10000</v>
      </c>
      <c r="H60" s="3">
        <f>'תקציב אגף ת.ב.ל 2021  '!H36</f>
        <v>2905</v>
      </c>
      <c r="I60" s="3">
        <f>'תקציב אגף ת.ב.ל 2021  '!I36</f>
        <v>0</v>
      </c>
      <c r="J60" s="3">
        <f>'תקציב אגף ת.ב.ל 2021  '!J36</f>
        <v>0</v>
      </c>
      <c r="K60" s="3">
        <f>'תקציב אגף ת.ב.ל 2021  '!K36</f>
        <v>0</v>
      </c>
      <c r="L60" s="4">
        <f>'תקציב אגף ת.ב.ל 2021  '!L36</f>
        <v>2905</v>
      </c>
      <c r="M60" s="4">
        <f>'תקציב אגף ת.ב.ל 2021  '!M36</f>
        <v>7095</v>
      </c>
      <c r="N60" s="4">
        <f>'תקציב אגף ת.ב.ל 2021  '!N36</f>
        <v>0</v>
      </c>
      <c r="O60" s="4">
        <f>'תקציב אגף ת.ב.ל 2021  '!O36</f>
        <v>290000</v>
      </c>
      <c r="P60" s="4">
        <f>'תקציב אגף ת.ב.ל 2021  '!P36</f>
        <v>7095</v>
      </c>
      <c r="Q60" s="4">
        <f>'תקציב אגף ת.ב.ל 2021  '!Q36</f>
        <v>0</v>
      </c>
      <c r="R60" s="4">
        <f>'תקציב אגף ת.ב.ל 2021  '!R36</f>
        <v>0</v>
      </c>
      <c r="S60" s="4">
        <f>'תקציב אגף ת.ב.ל 2021  '!S36</f>
        <v>0</v>
      </c>
      <c r="T60" s="4">
        <f>'תקציב אגף ת.ב.ל 2021  '!T36</f>
        <v>0</v>
      </c>
      <c r="U60" s="4">
        <f>'תקציב אגף ת.ב.ל 2021  '!U36</f>
        <v>0</v>
      </c>
      <c r="V60" s="4">
        <f>'תקציב אגף ת.ב.ל 2021  '!V36</f>
        <v>0</v>
      </c>
      <c r="W60" s="4">
        <f>'תקציב אגף ת.ב.ל 2021  '!W36</f>
        <v>0</v>
      </c>
      <c r="X60" s="4">
        <f>'תקציב אגף ת.ב.ל 2021  '!X36</f>
        <v>0</v>
      </c>
      <c r="Y60" s="4">
        <f>'תקציב אגף ת.ב.ל 2021  '!Y36</f>
        <v>0</v>
      </c>
      <c r="Z60" s="4">
        <f>'תקציב אגף ת.ב.ל 2021  '!Z36</f>
        <v>0</v>
      </c>
      <c r="AA60" s="4">
        <f>'תקציב אגף ת.ב.ל 2021  '!AA36</f>
        <v>0</v>
      </c>
      <c r="AB60" s="280" t="str">
        <f>'תקציב אגף ת.ב.ל 2021  '!AB36</f>
        <v>עבודות הנגשה כולל מעלית ושיפוץ אולם והכשרת היתר הבניה לכל המבנה. ממתין להיתר.</v>
      </c>
      <c r="AC60" s="3">
        <f>'תקציב אגף ת.ב.ל 2021  '!AC36</f>
        <v>850000</v>
      </c>
      <c r="AD60" s="24"/>
      <c r="AE60" s="24"/>
      <c r="AF60" s="23"/>
      <c r="AG60" s="23"/>
      <c r="AH60" s="23"/>
      <c r="AI60" s="23"/>
      <c r="AJ60" s="22"/>
    </row>
    <row r="61" spans="1:41" s="70" customFormat="1">
      <c r="A61" s="632"/>
      <c r="B61" s="33"/>
      <c r="C61" s="412" t="s">
        <v>1485</v>
      </c>
      <c r="D61" s="73">
        <f>SUM(D57:D60)</f>
        <v>8970000</v>
      </c>
      <c r="E61" s="73">
        <f t="shared" ref="E61:AA61" si="9">SUM(E57:E60)</f>
        <v>9100000</v>
      </c>
      <c r="F61" s="73">
        <f t="shared" si="9"/>
        <v>-130000</v>
      </c>
      <c r="G61" s="73">
        <f t="shared" si="9"/>
        <v>6530000</v>
      </c>
      <c r="H61" s="73">
        <f t="shared" si="9"/>
        <v>5488402</v>
      </c>
      <c r="I61" s="73">
        <f t="shared" si="9"/>
        <v>224843</v>
      </c>
      <c r="J61" s="73">
        <f t="shared" si="9"/>
        <v>18424</v>
      </c>
      <c r="K61" s="73">
        <f t="shared" si="9"/>
        <v>243267</v>
      </c>
      <c r="L61" s="73">
        <f t="shared" si="9"/>
        <v>5731669</v>
      </c>
      <c r="M61" s="73">
        <f t="shared" si="9"/>
        <v>798331</v>
      </c>
      <c r="N61" s="73">
        <f t="shared" si="9"/>
        <v>2050000</v>
      </c>
      <c r="O61" s="73">
        <f t="shared" si="9"/>
        <v>390000</v>
      </c>
      <c r="P61" s="73">
        <f t="shared" si="9"/>
        <v>798331</v>
      </c>
      <c r="Q61" s="73">
        <f t="shared" si="9"/>
        <v>0</v>
      </c>
      <c r="R61" s="73">
        <f t="shared" si="9"/>
        <v>0</v>
      </c>
      <c r="S61" s="73">
        <f t="shared" si="9"/>
        <v>0</v>
      </c>
      <c r="T61" s="73">
        <f t="shared" si="9"/>
        <v>0</v>
      </c>
      <c r="U61" s="73">
        <f t="shared" si="9"/>
        <v>2050000</v>
      </c>
      <c r="V61" s="73">
        <f t="shared" si="9"/>
        <v>1550000</v>
      </c>
      <c r="W61" s="73">
        <f t="shared" si="9"/>
        <v>500000</v>
      </c>
      <c r="X61" s="73">
        <f t="shared" si="9"/>
        <v>0</v>
      </c>
      <c r="Y61" s="73">
        <f t="shared" si="9"/>
        <v>0</v>
      </c>
      <c r="Z61" s="73">
        <f t="shared" si="9"/>
        <v>0</v>
      </c>
      <c r="AA61" s="73">
        <f t="shared" si="9"/>
        <v>0</v>
      </c>
      <c r="AB61" s="412"/>
      <c r="AC61" s="33"/>
      <c r="AD61" s="349"/>
      <c r="AE61" s="349"/>
      <c r="AF61" s="266"/>
      <c r="AG61" s="266"/>
      <c r="AH61" s="266"/>
      <c r="AI61" s="266"/>
      <c r="AJ61" s="265"/>
    </row>
    <row r="62" spans="1:41" s="5" customFormat="1" ht="42">
      <c r="A62" s="566">
        <f>A60+1</f>
        <v>49</v>
      </c>
      <c r="B62" s="3">
        <f>'תקציב אגף ת.ב.ל 2021  '!B14</f>
        <v>1662</v>
      </c>
      <c r="C62" s="280" t="str">
        <f>'תקציב אגף ת.ב.ל 2021  '!C14</f>
        <v>החלפת תאורה באולמות ספורט</v>
      </c>
      <c r="D62" s="4">
        <f>'תקציב אגף ת.ב.ל 2021  '!D14</f>
        <v>1815000</v>
      </c>
      <c r="E62" s="3">
        <f>'תקציב אגף ת.ב.ל 2021  '!E14</f>
        <v>815000</v>
      </c>
      <c r="F62" s="3">
        <f>'תקציב אגף ת.ב.ל 2021  '!F14</f>
        <v>1000000</v>
      </c>
      <c r="G62" s="3">
        <f>'תקציב אגף ת.ב.ל 2021  '!G14</f>
        <v>675000</v>
      </c>
      <c r="H62" s="3">
        <f>'תקציב אגף ת.ב.ל 2021  '!H14</f>
        <v>671205</v>
      </c>
      <c r="I62" s="3">
        <f>'תקציב אגף ת.ב.ל 2021  '!I14</f>
        <v>0</v>
      </c>
      <c r="J62" s="3">
        <f>'תקציב אגף ת.ב.ל 2021  '!J14</f>
        <v>0</v>
      </c>
      <c r="K62" s="3">
        <f>'תקציב אגף ת.ב.ל 2021  '!K14</f>
        <v>0</v>
      </c>
      <c r="L62" s="4">
        <f>'תקציב אגף ת.ב.ל 2021  '!L14</f>
        <v>671205</v>
      </c>
      <c r="M62" s="4">
        <f>'תקציב אגף ת.ב.ל 2021  '!M14</f>
        <v>3795</v>
      </c>
      <c r="N62" s="4">
        <f>'תקציב אגף ת.ב.ל 2021  '!N14</f>
        <v>0</v>
      </c>
      <c r="O62" s="4">
        <f>'תקציב אגף ת.ב.ל 2021  '!O14</f>
        <v>1140000</v>
      </c>
      <c r="P62" s="4">
        <f>'תקציב אגף ת.ב.ל 2021  '!P14</f>
        <v>3795</v>
      </c>
      <c r="Q62" s="4">
        <f>'תקציב אגף ת.ב.ל 2021  '!Q14</f>
        <v>0</v>
      </c>
      <c r="R62" s="4">
        <f>'תקציב אגף ת.ב.ל 2021  '!R14</f>
        <v>0</v>
      </c>
      <c r="S62" s="4">
        <f>'תקציב אגף ת.ב.ל 2021  '!S14</f>
        <v>0</v>
      </c>
      <c r="T62" s="4">
        <f>'תקציב אגף ת.ב.ל 2021  '!T14</f>
        <v>0</v>
      </c>
      <c r="U62" s="4">
        <f>'תקציב אגף ת.ב.ל 2021  '!U14</f>
        <v>0</v>
      </c>
      <c r="V62" s="4">
        <f>'תקציב אגף ת.ב.ל 2021  '!V14</f>
        <v>0</v>
      </c>
      <c r="W62" s="4">
        <f>'תקציב אגף ת.ב.ל 2021  '!W14</f>
        <v>0</v>
      </c>
      <c r="X62" s="4">
        <f>'תקציב אגף ת.ב.ל 2021  '!X14</f>
        <v>0</v>
      </c>
      <c r="Y62" s="4">
        <f>'תקציב אגף ת.ב.ל 2021  '!Y14</f>
        <v>0</v>
      </c>
      <c r="Z62" s="4">
        <f>'תקציב אגף ת.ב.ל 2021  '!Z14</f>
        <v>0</v>
      </c>
      <c r="AA62" s="4">
        <f>'תקציב אגף ת.ב.ל 2021  '!AA14</f>
        <v>0</v>
      </c>
      <c r="AB62" s="280" t="str">
        <f>'תקציב אגף ת.ב.ל 2021  '!AB14</f>
        <v xml:space="preserve">החלפת תאורת לדים 10 אולמות ספורט עפ"י רשימה. יוגש קול קורא התייעלות מימון מ. הכלכלה והתעשיה. </v>
      </c>
      <c r="AC62" s="3">
        <f>'תקציב אגף ת.ב.ל 2021  '!AC14</f>
        <v>870000</v>
      </c>
      <c r="AD62" s="24"/>
      <c r="AE62" s="24"/>
      <c r="AF62" s="23"/>
      <c r="AG62" s="23"/>
      <c r="AH62" s="23"/>
      <c r="AI62" s="23"/>
      <c r="AJ62" s="22"/>
    </row>
    <row r="63" spans="1:41" s="5" customFormat="1" ht="42">
      <c r="A63" s="566">
        <f t="shared" si="1"/>
        <v>50</v>
      </c>
      <c r="B63" s="3">
        <f>'תקציב אגף ת.ב.ל 2021  '!B29</f>
        <v>1966</v>
      </c>
      <c r="C63" s="280" t="str">
        <f>'תקציב אגף ת.ב.ל 2021  '!C29</f>
        <v>החלפת צילרים אולמות ספורט נ. ישראל,סמדר ,נוף ים</v>
      </c>
      <c r="D63" s="4">
        <f>'תקציב אגף ת.ב.ל 2021  '!D29</f>
        <v>1700000</v>
      </c>
      <c r="E63" s="3">
        <f>'תקציב אגף ת.ב.ל 2021  '!E29</f>
        <v>1700000</v>
      </c>
      <c r="F63" s="3">
        <f>'תקציב אגף ת.ב.ל 2021  '!F29</f>
        <v>0</v>
      </c>
      <c r="G63" s="3">
        <f>'תקציב אגף ת.ב.ל 2021  '!G29</f>
        <v>1700000</v>
      </c>
      <c r="H63" s="3">
        <f>'תקציב אגף ת.ב.ל 2021  '!H29</f>
        <v>0</v>
      </c>
      <c r="I63" s="3">
        <f>'תקציב אגף ת.ב.ל 2021  '!I29</f>
        <v>1699999</v>
      </c>
      <c r="J63" s="3">
        <f>'תקציב אגף ת.ב.ל 2021  '!J29</f>
        <v>0</v>
      </c>
      <c r="K63" s="3">
        <f>'תקציב אגף ת.ב.ל 2021  '!K29</f>
        <v>1699999</v>
      </c>
      <c r="L63" s="4">
        <f>'תקציב אגף ת.ב.ל 2021  '!L29</f>
        <v>1699999</v>
      </c>
      <c r="M63" s="4">
        <f>'תקציב אגף ת.ב.ל 2021  '!M29</f>
        <v>1</v>
      </c>
      <c r="N63" s="4">
        <f>'תקציב אגף ת.ב.ל 2021  '!N29</f>
        <v>0</v>
      </c>
      <c r="O63" s="4">
        <f>'תקציב אגף ת.ב.ל 2021  '!O29</f>
        <v>0</v>
      </c>
      <c r="P63" s="4">
        <f>'תקציב אגף ת.ב.ל 2021  '!P29</f>
        <v>1</v>
      </c>
      <c r="Q63" s="4">
        <f>'תקציב אגף ת.ב.ל 2021  '!Q29</f>
        <v>0</v>
      </c>
      <c r="R63" s="4">
        <f>'תקציב אגף ת.ב.ל 2021  '!R29</f>
        <v>0</v>
      </c>
      <c r="S63" s="4">
        <f>'תקציב אגף ת.ב.ל 2021  '!S29</f>
        <v>0</v>
      </c>
      <c r="T63" s="4">
        <f>'תקציב אגף ת.ב.ל 2021  '!T29</f>
        <v>0</v>
      </c>
      <c r="U63" s="4">
        <f>'תקציב אגף ת.ב.ל 2021  '!U29</f>
        <v>0</v>
      </c>
      <c r="V63" s="4">
        <f>'תקציב אגף ת.ב.ל 2021  '!V29</f>
        <v>0</v>
      </c>
      <c r="W63" s="4">
        <f>'תקציב אגף ת.ב.ל 2021  '!W29</f>
        <v>0</v>
      </c>
      <c r="X63" s="4">
        <f>'תקציב אגף ת.ב.ל 2021  '!X29</f>
        <v>0</v>
      </c>
      <c r="Y63" s="4">
        <f>'תקציב אגף ת.ב.ל 2021  '!Y29</f>
        <v>0</v>
      </c>
      <c r="Z63" s="4">
        <f>'תקציב אגף ת.ב.ל 2021  '!Z29</f>
        <v>0</v>
      </c>
      <c r="AA63" s="4">
        <f>'תקציב אגף ת.ב.ל 2021  '!AA29</f>
        <v>0</v>
      </c>
      <c r="AB63" s="280" t="str">
        <f>'תקציב אגף ת.ב.ל 2021  '!AB29</f>
        <v xml:space="preserve">החלפת מערכות צ'לרים באולמות הספורט מימון מ. הכלכלה והתעשיה. </v>
      </c>
      <c r="AC63" s="3">
        <f>'תקציב אגף ת.ב.ל 2021  '!AC29</f>
        <v>870000</v>
      </c>
      <c r="AD63" s="24"/>
      <c r="AE63" s="24"/>
      <c r="AF63" s="23"/>
      <c r="AG63" s="23"/>
      <c r="AH63" s="22"/>
      <c r="AI63" s="22"/>
      <c r="AJ63" s="22"/>
    </row>
    <row r="64" spans="1:41" s="5" customFormat="1" ht="28">
      <c r="A64" s="566">
        <f t="shared" si="1"/>
        <v>51</v>
      </c>
      <c r="B64" s="3">
        <f>'תקציב אגף ת.ב.ל 2021  '!B44</f>
        <v>2131</v>
      </c>
      <c r="C64" s="280" t="str">
        <f>'תקציב אגף ת.ב.ל 2021  '!C44</f>
        <v>חסכון,התייע' אנרגטית מוסח/ציבור</v>
      </c>
      <c r="D64" s="4">
        <f>'תקציב אגף ת.ב.ל 2021  '!D44</f>
        <v>7500000</v>
      </c>
      <c r="E64" s="3">
        <f>'תקציב אגף ת.ב.ל 2021  '!E44</f>
        <v>7500000</v>
      </c>
      <c r="F64" s="3">
        <f>'תקציב אגף ת.ב.ל 2021  '!F44</f>
        <v>0</v>
      </c>
      <c r="G64" s="3">
        <f>'תקציב אגף ת.ב.ל 2021  '!G44</f>
        <v>4020000</v>
      </c>
      <c r="H64" s="3">
        <f>'תקציב אגף ת.ב.ל 2021  '!H44</f>
        <v>270472</v>
      </c>
      <c r="I64" s="3">
        <f>'תקציב אגף ת.ב.ל 2021  '!I44</f>
        <v>2020613</v>
      </c>
      <c r="J64" s="3">
        <f>'תקציב אגף ת.ב.ל 2021  '!J44</f>
        <v>468333</v>
      </c>
      <c r="K64" s="3">
        <f>'תקציב אגף ת.ב.ל 2021  '!K44</f>
        <v>2488946</v>
      </c>
      <c r="L64" s="4">
        <f>'תקציב אגף ת.ב.ל 2021  '!L44</f>
        <v>2759418</v>
      </c>
      <c r="M64" s="4">
        <f>'תקציב אגף ת.ב.ל 2021  '!M44</f>
        <v>1260582</v>
      </c>
      <c r="N64" s="4">
        <f>'תקציב אגף ת.ב.ל 2021  '!N44</f>
        <v>0</v>
      </c>
      <c r="O64" s="4">
        <f>'תקציב אגף ת.ב.ל 2021  '!O44</f>
        <v>3480000</v>
      </c>
      <c r="P64" s="4">
        <f>'תקציב אגף ת.ב.ל 2021  '!P44</f>
        <v>1260582</v>
      </c>
      <c r="Q64" s="4">
        <f>'תקציב אגף ת.ב.ל 2021  '!Q44</f>
        <v>0</v>
      </c>
      <c r="R64" s="4">
        <f>'תקציב אגף ת.ב.ל 2021  '!R44</f>
        <v>0</v>
      </c>
      <c r="S64" s="4">
        <f>'תקציב אגף ת.ב.ל 2021  '!S44</f>
        <v>0</v>
      </c>
      <c r="T64" s="4">
        <f>'תקציב אגף ת.ב.ל 2021  '!T44</f>
        <v>0</v>
      </c>
      <c r="U64" s="4">
        <f>'תקציב אגף ת.ב.ל 2021  '!U44</f>
        <v>0</v>
      </c>
      <c r="V64" s="4">
        <f>'תקציב אגף ת.ב.ל 2021  '!V44</f>
        <v>0</v>
      </c>
      <c r="W64" s="4">
        <f>'תקציב אגף ת.ב.ל 2021  '!W44</f>
        <v>0</v>
      </c>
      <c r="X64" s="4">
        <f>'תקציב אגף ת.ב.ל 2021  '!X44</f>
        <v>0</v>
      </c>
      <c r="Y64" s="4">
        <f>'תקציב אגף ת.ב.ל 2021  '!Y44</f>
        <v>0</v>
      </c>
      <c r="Z64" s="4">
        <f>'תקציב אגף ת.ב.ל 2021  '!Z44</f>
        <v>0</v>
      </c>
      <c r="AA64" s="4">
        <f>'תקציב אגף ת.ב.ל 2021  '!AA44</f>
        <v>0</v>
      </c>
      <c r="AB64" s="280" t="str">
        <f>'תקציב אגף ת.ב.ל 2021  '!AB44</f>
        <v xml:space="preserve">החלפת מזגנים והחלפת תאורה ללדים במוס"ח. מימון מ. הכלכלה והתעשיה.  </v>
      </c>
      <c r="AC64" s="3">
        <f>'תקציב אגף ת.ב.ל 2021  '!AC44</f>
        <v>870000</v>
      </c>
      <c r="AD64" s="24"/>
      <c r="AE64" s="24"/>
      <c r="AF64" s="23"/>
      <c r="AG64" s="23"/>
      <c r="AH64" s="23"/>
      <c r="AI64" s="23"/>
      <c r="AJ64" s="22"/>
    </row>
    <row r="65" spans="1:41" s="5" customFormat="1" ht="56">
      <c r="A65" s="566">
        <f t="shared" si="1"/>
        <v>52</v>
      </c>
      <c r="B65" s="3">
        <f>'תקציב אגף ת.ב.ל 2021  '!B49</f>
        <v>2154</v>
      </c>
      <c r="C65" s="280" t="str">
        <f>'תקציב אגף ת.ב.ל 2021  '!C49</f>
        <v>חסכון, התיעלות אנרגטית מוסח/ציבור 2020</v>
      </c>
      <c r="D65" s="4">
        <f>'תקציב אגף ת.ב.ל 2021  '!D49</f>
        <v>10500000</v>
      </c>
      <c r="E65" s="3">
        <f>'תקציב אגף ת.ב.ל 2021  '!E49</f>
        <v>10500000</v>
      </c>
      <c r="F65" s="3">
        <f>'תקציב אגף ת.ב.ל 2021  '!F49</f>
        <v>0</v>
      </c>
      <c r="G65" s="3">
        <f>'תקציב אגף ת.ב.ל 2021  '!G49</f>
        <v>0</v>
      </c>
      <c r="H65" s="3">
        <f>'תקציב אגף ת.ב.ל 2021  '!H49</f>
        <v>0</v>
      </c>
      <c r="I65" s="3">
        <f>'תקציב אגף ת.ב.ל 2021  '!I49</f>
        <v>0</v>
      </c>
      <c r="J65" s="3">
        <f>'תקציב אגף ת.ב.ל 2021  '!J49</f>
        <v>0</v>
      </c>
      <c r="K65" s="3">
        <f>'תקציב אגף ת.ב.ל 2021  '!K49</f>
        <v>0</v>
      </c>
      <c r="L65" s="4">
        <f>'תקציב אגף ת.ב.ל 2021  '!L49</f>
        <v>0</v>
      </c>
      <c r="M65" s="4">
        <f>'תקציב אגף ת.ב.ל 2021  '!M49</f>
        <v>0</v>
      </c>
      <c r="N65" s="4">
        <f>'תקציב אגף ת.ב.ל 2021  '!N49</f>
        <v>2500000</v>
      </c>
      <c r="O65" s="4">
        <f>'תקציב אגף ת.ב.ל 2021  '!O49</f>
        <v>8000000</v>
      </c>
      <c r="P65" s="4">
        <f>'תקציב אגף ת.ב.ל 2021  '!P49</f>
        <v>0</v>
      </c>
      <c r="Q65" s="4">
        <f>'תקציב אגף ת.ב.ל 2021  '!Q49</f>
        <v>0</v>
      </c>
      <c r="R65" s="4">
        <f>'תקציב אגף ת.ב.ל 2021  '!R49</f>
        <v>0</v>
      </c>
      <c r="S65" s="4">
        <f>'תקציב אגף ת.ב.ל 2021  '!S49</f>
        <v>0</v>
      </c>
      <c r="T65" s="4">
        <f>'תקציב אגף ת.ב.ל 2021  '!T49</f>
        <v>0</v>
      </c>
      <c r="U65" s="4">
        <f>'תקציב אגף ת.ב.ל 2021  '!U49</f>
        <v>2500000</v>
      </c>
      <c r="V65" s="4">
        <f>'תקציב אגף ת.ב.ל 2021  '!V49</f>
        <v>0</v>
      </c>
      <c r="W65" s="4">
        <f>'תקציב אגף ת.ב.ל 2021  '!W49</f>
        <v>1264113</v>
      </c>
      <c r="X65" s="4">
        <f>'תקציב אגף ת.ב.ל 2021  '!X49</f>
        <v>0</v>
      </c>
      <c r="Y65" s="4">
        <f>'תקציב אגף ת.ב.ל 2021  '!Y49</f>
        <v>0</v>
      </c>
      <c r="Z65" s="4">
        <f>'תקציב אגף ת.ב.ל 2021  '!Z49</f>
        <v>0</v>
      </c>
      <c r="AA65" s="4">
        <f>'תקציב אגף ת.ב.ל 2021  '!AA49</f>
        <v>1235887</v>
      </c>
      <c r="AB65" s="280" t="str">
        <f>'תקציב אגף ת.ב.ל 2021  '!AB49</f>
        <v>החלפת מזגנים , החלפת תאורה ללדים  ובקרת מבנים במוס"ח ובמוסדות עירוניים. מימון מ. הכלכלה והתעשיה.</v>
      </c>
      <c r="AC65" s="3">
        <f>'תקציב אגף ת.ב.ל 2021  '!AC49</f>
        <v>870000</v>
      </c>
      <c r="AD65" s="24"/>
      <c r="AE65" s="24"/>
    </row>
    <row r="66" spans="1:41" s="5" customFormat="1" ht="56">
      <c r="A66" s="566">
        <f t="shared" si="1"/>
        <v>53</v>
      </c>
      <c r="B66" s="278">
        <f>'תקציב אגף ת.ב.ל 2021  '!B61</f>
        <v>2213</v>
      </c>
      <c r="C66" s="643" t="str">
        <f>'תקציב אגף ת.ב.ל 2021  '!C61</f>
        <v>הקמת מערכות pv מעל גגות מבני ציבור בהרצליה</v>
      </c>
      <c r="D66" s="4">
        <f>'תקציב אגף ת.ב.ל 2021  '!D61</f>
        <v>7100000</v>
      </c>
      <c r="E66" s="278">
        <f>'תקציב אגף ת.ב.ל 2021  '!E61</f>
        <v>0</v>
      </c>
      <c r="F66" s="278">
        <f>'תקציב אגף ת.ב.ל 2021  '!F61</f>
        <v>7100000</v>
      </c>
      <c r="G66" s="278">
        <f>'תקציב אגף ת.ב.ל 2021  '!G61</f>
        <v>0</v>
      </c>
      <c r="H66" s="278">
        <f>'תקציב אגף ת.ב.ל 2021  '!H61</f>
        <v>0</v>
      </c>
      <c r="I66" s="278">
        <f>'תקציב אגף ת.ב.ל 2021  '!I61</f>
        <v>0</v>
      </c>
      <c r="J66" s="278">
        <f>'תקציב אגף ת.ב.ל 2021  '!J61</f>
        <v>0</v>
      </c>
      <c r="K66" s="278">
        <f>'תקציב אגף ת.ב.ל 2021  '!K61</f>
        <v>0</v>
      </c>
      <c r="L66" s="4">
        <f>'תקציב אגף ת.ב.ל 2021  '!L61</f>
        <v>0</v>
      </c>
      <c r="M66" s="4">
        <f>'תקציב אגף ת.ב.ל 2021  '!M61</f>
        <v>0</v>
      </c>
      <c r="N66" s="4">
        <f>'תקציב אגף ת.ב.ל 2021  '!N61</f>
        <v>7100000</v>
      </c>
      <c r="O66" s="4">
        <f>'תקציב אגף ת.ב.ל 2021  '!O61</f>
        <v>0</v>
      </c>
      <c r="P66" s="4">
        <f>'תקציב אגף ת.ב.ל 2021  '!P61</f>
        <v>0</v>
      </c>
      <c r="Q66" s="4">
        <f>'תקציב אגף ת.ב.ל 2021  '!Q61</f>
        <v>0</v>
      </c>
      <c r="R66" s="4">
        <f>'תקציב אגף ת.ב.ל 2021  '!R61</f>
        <v>0</v>
      </c>
      <c r="S66" s="4">
        <f>'תקציב אגף ת.ב.ל 2021  '!S61</f>
        <v>0</v>
      </c>
      <c r="T66" s="4">
        <f>'תקציב אגף ת.ב.ל 2021  '!T61</f>
        <v>0</v>
      </c>
      <c r="U66" s="4">
        <f>'תקציב אגף ת.ב.ל 2021  '!U61</f>
        <v>7100000</v>
      </c>
      <c r="V66" s="4">
        <f>'תקציב אגף ת.ב.ל 2021  '!V61</f>
        <v>0</v>
      </c>
      <c r="W66" s="4">
        <f>'תקציב אגף ת.ב.ל 2021  '!W61</f>
        <v>0</v>
      </c>
      <c r="X66" s="4">
        <f>'תקציב אגף ת.ב.ל 2021  '!X61</f>
        <v>0</v>
      </c>
      <c r="Y66" s="4">
        <f>'תקציב אגף ת.ב.ל 2021  '!Y61</f>
        <v>0</v>
      </c>
      <c r="Z66" s="4">
        <f>'תקציב אגף ת.ב.ל 2021  '!Z61</f>
        <v>7100000</v>
      </c>
      <c r="AA66" s="4">
        <f>'תקציב אגף ת.ב.ל 2021  '!AA61</f>
        <v>0</v>
      </c>
      <c r="AB66" s="280" t="str">
        <f>'תקציב אגף ת.ב.ל 2021  '!AB61</f>
        <v>הקמת מערכות סולאריות על גגות אולמות ספורט ומתנ"סים 14 במספר עפ"י רשימה. מימון הלוואות במסגרת מיזם  מאושר מפעל הפייס.</v>
      </c>
      <c r="AC66" s="278">
        <f>'תקציב אגף ת.ב.ל 2021  '!AC61</f>
        <v>870000</v>
      </c>
      <c r="AD66" s="24"/>
      <c r="AE66" s="24"/>
    </row>
    <row r="67" spans="1:41" s="70" customFormat="1">
      <c r="A67" s="632"/>
      <c r="B67" s="346"/>
      <c r="C67" s="412" t="s">
        <v>1486</v>
      </c>
      <c r="D67" s="73">
        <f>SUM(D62:D66)</f>
        <v>28615000</v>
      </c>
      <c r="E67" s="73">
        <f t="shared" ref="E67:AA67" si="10">SUM(E62:E66)</f>
        <v>20515000</v>
      </c>
      <c r="F67" s="73">
        <f t="shared" si="10"/>
        <v>8100000</v>
      </c>
      <c r="G67" s="73">
        <f t="shared" si="10"/>
        <v>6395000</v>
      </c>
      <c r="H67" s="73">
        <f t="shared" si="10"/>
        <v>941677</v>
      </c>
      <c r="I67" s="73">
        <f t="shared" si="10"/>
        <v>3720612</v>
      </c>
      <c r="J67" s="73">
        <f t="shared" si="10"/>
        <v>468333</v>
      </c>
      <c r="K67" s="73">
        <f t="shared" si="10"/>
        <v>4188945</v>
      </c>
      <c r="L67" s="73">
        <f t="shared" si="10"/>
        <v>5130622</v>
      </c>
      <c r="M67" s="73">
        <f t="shared" si="10"/>
        <v>1264378</v>
      </c>
      <c r="N67" s="73">
        <f t="shared" si="10"/>
        <v>9600000</v>
      </c>
      <c r="O67" s="73">
        <f t="shared" si="10"/>
        <v>12620000</v>
      </c>
      <c r="P67" s="73">
        <f t="shared" si="10"/>
        <v>1264378</v>
      </c>
      <c r="Q67" s="73">
        <f t="shared" si="10"/>
        <v>0</v>
      </c>
      <c r="R67" s="73">
        <f t="shared" si="10"/>
        <v>0</v>
      </c>
      <c r="S67" s="73">
        <f t="shared" si="10"/>
        <v>0</v>
      </c>
      <c r="T67" s="73">
        <f t="shared" si="10"/>
        <v>0</v>
      </c>
      <c r="U67" s="73">
        <f t="shared" si="10"/>
        <v>9600000</v>
      </c>
      <c r="V67" s="73">
        <f t="shared" si="10"/>
        <v>0</v>
      </c>
      <c r="W67" s="73">
        <f t="shared" si="10"/>
        <v>1264113</v>
      </c>
      <c r="X67" s="73">
        <f t="shared" si="10"/>
        <v>0</v>
      </c>
      <c r="Y67" s="73">
        <f t="shared" si="10"/>
        <v>0</v>
      </c>
      <c r="Z67" s="73">
        <f t="shared" si="10"/>
        <v>7100000</v>
      </c>
      <c r="AA67" s="73">
        <f t="shared" si="10"/>
        <v>1235887</v>
      </c>
      <c r="AB67" s="412"/>
      <c r="AC67" s="33"/>
      <c r="AD67" s="349"/>
      <c r="AE67" s="349"/>
    </row>
    <row r="68" spans="1:41" s="5" customFormat="1" ht="42">
      <c r="A68" s="566">
        <f>A66+1</f>
        <v>54</v>
      </c>
      <c r="B68" s="3">
        <f>'תקציב אגף ת.ב.ל 2021  '!B7</f>
        <v>1415</v>
      </c>
      <c r="C68" s="280" t="str">
        <f>'תקציב אגף ת.ב.ל 2021  '!C7</f>
        <v>התקנה שדרוג מזגנים במוס"ח  במוסדות ועיריה (*) עדכון שם</v>
      </c>
      <c r="D68" s="4">
        <f>'תקציב אגף ת.ב.ל 2021  '!D7</f>
        <v>1400000</v>
      </c>
      <c r="E68" s="3">
        <f>'תקציב אגף ת.ב.ל 2021  '!E7</f>
        <v>1200000</v>
      </c>
      <c r="F68" s="3">
        <f>'תקציב אגף ת.ב.ל 2021  '!F7</f>
        <v>200000</v>
      </c>
      <c r="G68" s="3">
        <f>'תקציב אגף ת.ב.ל 2021  '!G7</f>
        <v>1200000</v>
      </c>
      <c r="H68" s="3">
        <f>'תקציב אגף ת.ב.ל 2021  '!H7</f>
        <v>1062219</v>
      </c>
      <c r="I68" s="3">
        <f>'תקציב אגף ת.ב.ל 2021  '!I7</f>
        <v>0</v>
      </c>
      <c r="J68" s="3">
        <f>'תקציב אגף ת.ב.ל 2021  '!J7</f>
        <v>82178</v>
      </c>
      <c r="K68" s="3">
        <f>'תקציב אגף ת.ב.ל 2021  '!K7</f>
        <v>82178</v>
      </c>
      <c r="L68" s="4">
        <f>'תקציב אגף ת.ב.ל 2021  '!L7</f>
        <v>1144397</v>
      </c>
      <c r="M68" s="4">
        <f>'תקציב אגף ת.ב.ל 2021  '!M7</f>
        <v>55603</v>
      </c>
      <c r="N68" s="4">
        <f>'תקציב אגף ת.ב.ל 2021  '!N7</f>
        <v>200000</v>
      </c>
      <c r="O68" s="4">
        <f>'תקציב אגף ת.ב.ל 2021  '!O7</f>
        <v>0</v>
      </c>
      <c r="P68" s="4">
        <f>'תקציב אגף ת.ב.ל 2021  '!P7</f>
        <v>55603</v>
      </c>
      <c r="Q68" s="4">
        <f>'תקציב אגף ת.ב.ל 2021  '!Q7</f>
        <v>0</v>
      </c>
      <c r="R68" s="4">
        <f>'תקציב אגף ת.ב.ל 2021  '!R7</f>
        <v>0</v>
      </c>
      <c r="S68" s="4">
        <f>'תקציב אגף ת.ב.ל 2021  '!S7</f>
        <v>0</v>
      </c>
      <c r="T68" s="4">
        <f>'תקציב אגף ת.ב.ל 2021  '!T7</f>
        <v>0</v>
      </c>
      <c r="U68" s="4">
        <f>'תקציב אגף ת.ב.ל 2021  '!U7</f>
        <v>200000</v>
      </c>
      <c r="V68" s="4">
        <f>'תקציב אגף ת.ב.ל 2021  '!V7</f>
        <v>0</v>
      </c>
      <c r="W68" s="4">
        <f>'תקציב אגף ת.ב.ל 2021  '!W7</f>
        <v>200000</v>
      </c>
      <c r="X68" s="4">
        <f>'תקציב אגף ת.ב.ל 2021  '!X7</f>
        <v>0</v>
      </c>
      <c r="Y68" s="4">
        <f>'תקציב אגף ת.ב.ל 2021  '!Y7</f>
        <v>0</v>
      </c>
      <c r="Z68" s="4">
        <f>'תקציב אגף ת.ב.ל 2021  '!Z7</f>
        <v>0</v>
      </c>
      <c r="AA68" s="4">
        <f>'תקציב אגף ת.ב.ל 2021  '!AA7</f>
        <v>0</v>
      </c>
      <c r="AB68" s="280" t="str">
        <f>'תקציב אגף ת.ב.ל 2021  '!AB7</f>
        <v>סל להחלפה ושדרוג מזגנים במוסדות חינוך ועירייה. איחוד עם תב"ר 1472.</v>
      </c>
      <c r="AC68" s="3">
        <f>'תקציב אגף ת.ב.ל 2021  '!AC7</f>
        <v>930000</v>
      </c>
      <c r="AD68" s="24"/>
      <c r="AE68" s="24"/>
      <c r="AF68" s="23"/>
      <c r="AG68" s="23"/>
      <c r="AH68" s="23"/>
      <c r="AI68" s="23"/>
      <c r="AJ68" s="22"/>
      <c r="AK68" s="567"/>
      <c r="AL68" s="567"/>
      <c r="AM68" s="567"/>
      <c r="AN68" s="567"/>
      <c r="AO68" s="567"/>
    </row>
    <row r="69" spans="1:41" ht="28">
      <c r="A69" s="566">
        <f t="shared" si="1"/>
        <v>55</v>
      </c>
      <c r="B69" s="3">
        <f>'תקציב אגף ת.ב.ל 2021  '!B8</f>
        <v>1416</v>
      </c>
      <c r="C69" s="280" t="str">
        <f>'תקציב אגף ת.ב.ל 2021  '!C8</f>
        <v>שיפוץ ובינוי נכסים עירוניים כולל תשתיות</v>
      </c>
      <c r="D69" s="4">
        <f>'תקציב אגף ת.ב.ל 2021  '!D8</f>
        <v>2100000</v>
      </c>
      <c r="E69" s="3">
        <f>'תקציב אגף ת.ב.ל 2021  '!E8</f>
        <v>1800000</v>
      </c>
      <c r="F69" s="3">
        <f>'תקציב אגף ת.ב.ל 2021  '!F8</f>
        <v>300000</v>
      </c>
      <c r="G69" s="3">
        <f>'תקציב אגף ת.ב.ל 2021  '!G8</f>
        <v>1800000</v>
      </c>
      <c r="H69" s="3">
        <f>'תקציב אגף ת.ב.ל 2021  '!H8</f>
        <v>1677529</v>
      </c>
      <c r="I69" s="3">
        <f>'תקציב אגף ת.ב.ל 2021  '!I8</f>
        <v>0</v>
      </c>
      <c r="J69" s="3">
        <f>'תקציב אגף ת.ב.ל 2021  '!J8</f>
        <v>108908</v>
      </c>
      <c r="K69" s="3">
        <f>'תקציב אגף ת.ב.ל 2021  '!K8</f>
        <v>108908</v>
      </c>
      <c r="L69" s="4">
        <f>'תקציב אגף ת.ב.ל 2021  '!L8</f>
        <v>1786437</v>
      </c>
      <c r="M69" s="4">
        <f>'תקציב אגף ת.ב.ל 2021  '!M8</f>
        <v>13563</v>
      </c>
      <c r="N69" s="4">
        <f>'תקציב אגף ת.ב.ל 2021  '!N8</f>
        <v>300000</v>
      </c>
      <c r="O69" s="4">
        <f>'תקציב אגף ת.ב.ל 2021  '!O8</f>
        <v>0</v>
      </c>
      <c r="P69" s="4">
        <f>'תקציב אגף ת.ב.ל 2021  '!P8</f>
        <v>13563</v>
      </c>
      <c r="Q69" s="4">
        <f>'תקציב אגף ת.ב.ל 2021  '!Q8</f>
        <v>0</v>
      </c>
      <c r="R69" s="4">
        <f>'תקציב אגף ת.ב.ל 2021  '!R8</f>
        <v>0</v>
      </c>
      <c r="S69" s="4">
        <f>'תקציב אגף ת.ב.ל 2021  '!S8</f>
        <v>0</v>
      </c>
      <c r="T69" s="4">
        <f>'תקציב אגף ת.ב.ל 2021  '!T8</f>
        <v>0</v>
      </c>
      <c r="U69" s="4">
        <f>'תקציב אגף ת.ב.ל 2021  '!U8</f>
        <v>300000</v>
      </c>
      <c r="V69" s="4">
        <f>'תקציב אגף ת.ב.ל 2021  '!V8</f>
        <v>0</v>
      </c>
      <c r="W69" s="4">
        <f>'תקציב אגף ת.ב.ל 2021  '!W8</f>
        <v>300000</v>
      </c>
      <c r="X69" s="4">
        <f>'תקציב אגף ת.ב.ל 2021  '!X8</f>
        <v>0</v>
      </c>
      <c r="Y69" s="4">
        <f>'תקציב אגף ת.ב.ל 2021  '!Y8</f>
        <v>0</v>
      </c>
      <c r="Z69" s="4">
        <f>'תקציב אגף ת.ב.ל 2021  '!Z8</f>
        <v>0</v>
      </c>
      <c r="AA69" s="4">
        <f>'תקציב אגף ת.ב.ל 2021  '!AA8</f>
        <v>0</v>
      </c>
      <c r="AB69" s="280" t="str">
        <f>'תקציב אגף ת.ב.ל 2021  '!AB8</f>
        <v>סל לשיפוץ ובינוי נכסים עירוניים.</v>
      </c>
      <c r="AC69" s="3">
        <f>'תקציב אגף ת.ב.ל 2021  '!AC8</f>
        <v>930000</v>
      </c>
      <c r="AF69" s="23"/>
      <c r="AG69" s="23"/>
      <c r="AH69" s="23"/>
      <c r="AI69" s="23"/>
      <c r="AJ69" s="22"/>
      <c r="AK69" s="5"/>
      <c r="AL69" s="5"/>
      <c r="AM69" s="5"/>
      <c r="AN69" s="5"/>
      <c r="AO69" s="5"/>
    </row>
    <row r="70" spans="1:41" s="5" customFormat="1" ht="61.75" customHeight="1">
      <c r="A70" s="566">
        <f t="shared" si="1"/>
        <v>56</v>
      </c>
      <c r="B70" s="3">
        <f>'תקציב אגף ת.ב.ל 2021  '!B40</f>
        <v>2074</v>
      </c>
      <c r="C70" s="280" t="str">
        <f>'תקציב אגף ת.ב.ל 2021  '!C40</f>
        <v>שיפוץ מבנה אגף תבל ואגף הבטחון</v>
      </c>
      <c r="D70" s="4">
        <f>'תקציב אגף ת.ב.ל 2021  '!D40</f>
        <v>2000000</v>
      </c>
      <c r="E70" s="3">
        <f>'תקציב אגף ת.ב.ל 2021  '!E40</f>
        <v>2000000</v>
      </c>
      <c r="F70" s="3">
        <f>'תקציב אגף ת.ב.ל 2021  '!F40</f>
        <v>0</v>
      </c>
      <c r="G70" s="3">
        <f>'תקציב אגף ת.ב.ל 2021  '!G40</f>
        <v>920000</v>
      </c>
      <c r="H70" s="3">
        <f>'תקציב אגף ת.ב.ל 2021  '!H40</f>
        <v>889513</v>
      </c>
      <c r="I70" s="3">
        <f>'תקציב אגף ת.ב.ל 2021  '!I40</f>
        <v>0</v>
      </c>
      <c r="J70" s="3">
        <f>'תקציב אגף ת.ב.ל 2021  '!J40</f>
        <v>30482</v>
      </c>
      <c r="K70" s="3">
        <f>'תקציב אגף ת.ב.ל 2021  '!K40</f>
        <v>30482</v>
      </c>
      <c r="L70" s="4">
        <f>'תקציב אגף ת.ב.ל 2021  '!L40</f>
        <v>919995</v>
      </c>
      <c r="M70" s="4">
        <f>'תקציב אגף ת.ב.ל 2021  '!M40</f>
        <v>5</v>
      </c>
      <c r="N70" s="4">
        <f>'תקציב אגף ת.ב.ל 2021  '!N40</f>
        <v>580000</v>
      </c>
      <c r="O70" s="4">
        <f>'תקציב אגף ת.ב.ל 2021  '!O40</f>
        <v>500000</v>
      </c>
      <c r="P70" s="4">
        <f>'תקציב אגף ת.ב.ל 2021  '!P40</f>
        <v>5</v>
      </c>
      <c r="Q70" s="4">
        <f>'תקציב אגף ת.ב.ל 2021  '!Q40</f>
        <v>0</v>
      </c>
      <c r="R70" s="4">
        <f>'תקציב אגף ת.ב.ל 2021  '!R40</f>
        <v>0</v>
      </c>
      <c r="S70" s="4">
        <f>'תקציב אגף ת.ב.ל 2021  '!S40</f>
        <v>0</v>
      </c>
      <c r="T70" s="4">
        <f>'תקציב אגף ת.ב.ל 2021  '!T40</f>
        <v>0</v>
      </c>
      <c r="U70" s="4">
        <f>'תקציב אגף ת.ב.ל 2021  '!U40</f>
        <v>580000</v>
      </c>
      <c r="V70" s="4">
        <f>'תקציב אגף ת.ב.ל 2021  '!V40</f>
        <v>0</v>
      </c>
      <c r="W70" s="4">
        <f>'תקציב אגף ת.ב.ל 2021  '!W40</f>
        <v>580000</v>
      </c>
      <c r="X70" s="4">
        <f>'תקציב אגף ת.ב.ל 2021  '!X40</f>
        <v>0</v>
      </c>
      <c r="Y70" s="4">
        <f>'תקציב אגף ת.ב.ל 2021  '!Y40</f>
        <v>0</v>
      </c>
      <c r="Z70" s="4">
        <f>'תקציב אגף ת.ב.ל 2021  '!Z40</f>
        <v>0</v>
      </c>
      <c r="AA70" s="4">
        <f>'תקציב אגף ת.ב.ל 2021  '!AA40</f>
        <v>0</v>
      </c>
      <c r="AB70" s="280" t="str">
        <f>'תקציב אגף ת.ב.ל 2021  '!AB40</f>
        <v>עבודות שיפוץ כללי למשרדי האגפים כולל חדר ישיבות.</v>
      </c>
      <c r="AC70" s="3">
        <f>'תקציב אגף ת.ב.ל 2021  '!AC40</f>
        <v>930000</v>
      </c>
      <c r="AD70" s="24"/>
      <c r="AE70" s="24"/>
      <c r="AF70" s="23"/>
      <c r="AG70" s="23"/>
      <c r="AH70" s="23"/>
      <c r="AI70" s="23"/>
      <c r="AJ70" s="22"/>
    </row>
    <row r="71" spans="1:41" s="5" customFormat="1" ht="42">
      <c r="A71" s="566">
        <f t="shared" si="1"/>
        <v>57</v>
      </c>
      <c r="B71" s="3">
        <f>'תקציב אגף ת.ב.ל 2021  '!B42</f>
        <v>2096</v>
      </c>
      <c r="C71" s="280" t="str">
        <f>'תקציב אגף ת.ב.ל 2021  '!C42</f>
        <v>הצטיידות לחמ"ל החדש</v>
      </c>
      <c r="D71" s="4">
        <f>'תקציב אגף ת.ב.ל 2021  '!D42</f>
        <v>1215000</v>
      </c>
      <c r="E71" s="3">
        <f>'תקציב אגף ת.ב.ל 2021  '!E42</f>
        <v>1215000</v>
      </c>
      <c r="F71" s="3">
        <f>'תקציב אגף ת.ב.ל 2021  '!F42</f>
        <v>0</v>
      </c>
      <c r="G71" s="3">
        <f>'תקציב אגף ת.ב.ל 2021  '!G42</f>
        <v>1215000</v>
      </c>
      <c r="H71" s="3">
        <f>'תקציב אגף ת.ב.ל 2021  '!H42</f>
        <v>137010</v>
      </c>
      <c r="I71" s="3">
        <f>'תקציב אגף ת.ב.ל 2021  '!I42</f>
        <v>0</v>
      </c>
      <c r="J71" s="3">
        <f>'תקציב אגף ת.ב.ל 2021  '!J42</f>
        <v>10092</v>
      </c>
      <c r="K71" s="3">
        <f>'תקציב אגף ת.ב.ל 2021  '!K42</f>
        <v>10092</v>
      </c>
      <c r="L71" s="4">
        <f>'תקציב אגף ת.ב.ל 2021  '!L42</f>
        <v>147102</v>
      </c>
      <c r="M71" s="4">
        <f>'תקציב אגף ת.ב.ל 2021  '!M42</f>
        <v>1067898</v>
      </c>
      <c r="N71" s="4">
        <f>'תקציב אגף ת.ב.ל 2021  '!N42</f>
        <v>0</v>
      </c>
      <c r="O71" s="4">
        <f>'תקציב אגף ת.ב.ל 2021  '!O42</f>
        <v>0</v>
      </c>
      <c r="P71" s="4">
        <f>'תקציב אגף ת.ב.ל 2021  '!P42</f>
        <v>1067898</v>
      </c>
      <c r="Q71" s="4">
        <f>'תקציב אגף ת.ב.ל 2021  '!Q42</f>
        <v>0</v>
      </c>
      <c r="R71" s="4">
        <f>'תקציב אגף ת.ב.ל 2021  '!R42</f>
        <v>0</v>
      </c>
      <c r="S71" s="4">
        <f>'תקציב אגף ת.ב.ל 2021  '!S42</f>
        <v>0</v>
      </c>
      <c r="T71" s="4">
        <f>'תקציב אגף ת.ב.ל 2021  '!T42</f>
        <v>0</v>
      </c>
      <c r="U71" s="4">
        <f>'תקציב אגף ת.ב.ל 2021  '!U42</f>
        <v>0</v>
      </c>
      <c r="V71" s="4">
        <f>'תקציב אגף ת.ב.ל 2021  '!V42</f>
        <v>0</v>
      </c>
      <c r="W71" s="4">
        <f>'תקציב אגף ת.ב.ל 2021  '!W42</f>
        <v>-350000</v>
      </c>
      <c r="X71" s="4">
        <f>'תקציב אגף ת.ב.ל 2021  '!X42</f>
        <v>0</v>
      </c>
      <c r="Y71" s="4">
        <f>'תקציב אגף ת.ב.ל 2021  '!Y42</f>
        <v>0</v>
      </c>
      <c r="Z71" s="4">
        <f>'תקציב אגף ת.ב.ל 2021  '!Z42</f>
        <v>0</v>
      </c>
      <c r="AA71" s="4">
        <f>'תקציב אגף ת.ב.ל 2021  '!AA42</f>
        <v>350000</v>
      </c>
      <c r="AB71" s="280" t="str">
        <f>'תקציב אגף ת.ב.ל 2021  '!AB42</f>
        <v>עבודות מיזוג, חשמל, נגרות תקשורת  והצטיידות לחמ"ל האחורי. מימון מ. הפנים.</v>
      </c>
      <c r="AC71" s="3">
        <f>'תקציב אגף ת.ב.ל 2021  '!AC42</f>
        <v>930000</v>
      </c>
      <c r="AD71" s="24"/>
      <c r="AE71" s="24"/>
      <c r="AF71" s="23"/>
      <c r="AG71" s="23"/>
      <c r="AH71" s="23"/>
      <c r="AI71" s="23"/>
      <c r="AJ71" s="22"/>
    </row>
    <row r="72" spans="1:41" s="5" customFormat="1" ht="28">
      <c r="A72" s="566">
        <f t="shared" si="1"/>
        <v>58</v>
      </c>
      <c r="B72" s="3">
        <f>'תקציב אגף ת.ב.ל 2021  '!B46</f>
        <v>2133</v>
      </c>
      <c r="C72" s="280" t="str">
        <f>'תקציב אגף ת.ב.ל 2021  '!C46</f>
        <v>רכישת רכבים</v>
      </c>
      <c r="D72" s="4">
        <f>'תקציב אגף ת.ב.ל 2021  '!D46</f>
        <v>3150000</v>
      </c>
      <c r="E72" s="3">
        <f>'תקציב אגף ת.ב.ל 2021  '!E46</f>
        <v>3000000</v>
      </c>
      <c r="F72" s="3">
        <f>'תקציב אגף ת.ב.ל 2021  '!F46</f>
        <v>150000</v>
      </c>
      <c r="G72" s="3">
        <f>'תקציב אגף ת.ב.ל 2021  '!G46</f>
        <v>1000000</v>
      </c>
      <c r="H72" s="3">
        <f>'תקציב אגף ת.ב.ל 2021  '!H46</f>
        <v>611193</v>
      </c>
      <c r="I72" s="3">
        <f>'תקציב אגף ת.ב.ל 2021  '!I46</f>
        <v>0</v>
      </c>
      <c r="J72" s="3">
        <f>'תקציב אגף ת.ב.ל 2021  '!J46</f>
        <v>0</v>
      </c>
      <c r="K72" s="3">
        <f>'תקציב אגף ת.ב.ל 2021  '!K46</f>
        <v>0</v>
      </c>
      <c r="L72" s="4">
        <f>'תקציב אגף ת.ב.ל 2021  '!L46</f>
        <v>611193</v>
      </c>
      <c r="M72" s="4">
        <f>'תקציב אגף ת.ב.ל 2021  '!M46</f>
        <v>388807</v>
      </c>
      <c r="N72" s="4">
        <f>'תקציב אגף ת.ב.ל 2021  '!N46</f>
        <v>2150000</v>
      </c>
      <c r="O72" s="4">
        <f>'תקציב אגף ת.ב.ל 2021  '!O46</f>
        <v>0</v>
      </c>
      <c r="P72" s="4">
        <f>'תקציב אגף ת.ב.ל 2021  '!P46</f>
        <v>388807</v>
      </c>
      <c r="Q72" s="4">
        <f>'תקציב אגף ת.ב.ל 2021  '!Q46</f>
        <v>0</v>
      </c>
      <c r="R72" s="4">
        <f>'תקציב אגף ת.ב.ל 2021  '!R46</f>
        <v>0</v>
      </c>
      <c r="S72" s="4">
        <f>'תקציב אגף ת.ב.ל 2021  '!S46</f>
        <v>0</v>
      </c>
      <c r="T72" s="4">
        <f>'תקציב אגף ת.ב.ל 2021  '!T46</f>
        <v>0</v>
      </c>
      <c r="U72" s="4">
        <f>'תקציב אגף ת.ב.ל 2021  '!U46</f>
        <v>2150000</v>
      </c>
      <c r="V72" s="4">
        <f>'תקציב אגף ת.ב.ל 2021  '!V46</f>
        <v>0</v>
      </c>
      <c r="W72" s="4">
        <f>'תקציב אגף ת.ב.ל 2021  '!W46</f>
        <v>2150000</v>
      </c>
      <c r="X72" s="4">
        <f>'תקציב אגף ת.ב.ל 2021  '!X46</f>
        <v>0</v>
      </c>
      <c r="Y72" s="4">
        <f>'תקציב אגף ת.ב.ל 2021  '!Y46</f>
        <v>0</v>
      </c>
      <c r="Z72" s="4">
        <f>'תקציב אגף ת.ב.ל 2021  '!Z46</f>
        <v>0</v>
      </c>
      <c r="AA72" s="4">
        <f>'תקציב אגף ת.ב.ל 2021  '!AA46</f>
        <v>0</v>
      </c>
      <c r="AB72" s="280" t="str">
        <f>'תקציב אגף ת.ב.ל 2021  '!AB46</f>
        <v>החלפת רכבים קיימים ורכישת תוספת רכבים עפ"י רשימה.</v>
      </c>
      <c r="AC72" s="3">
        <f>'תקציב אגף ת.ב.ל 2021  '!AC46</f>
        <v>930000</v>
      </c>
      <c r="AD72" s="24"/>
      <c r="AE72" s="24"/>
      <c r="AF72" s="23"/>
      <c r="AG72" s="23"/>
      <c r="AH72" s="23"/>
      <c r="AI72" s="23"/>
      <c r="AJ72" s="22"/>
    </row>
    <row r="73" spans="1:41" s="5" customFormat="1" ht="28">
      <c r="A73" s="566">
        <f t="shared" si="1"/>
        <v>59</v>
      </c>
      <c r="B73" s="3">
        <f>'תקציב אגף ת.ב.ל 2021  '!B57</f>
        <v>2184</v>
      </c>
      <c r="C73" s="280" t="str">
        <f>'תקציב אגף ת.ב.ל 2021  '!C57</f>
        <v>שיקום חזית מבנה דיור לקשיש</v>
      </c>
      <c r="D73" s="4">
        <f>'תקציב אגף ת.ב.ל 2021  '!D57</f>
        <v>2180000</v>
      </c>
      <c r="E73" s="3">
        <f>'תקציב אגף ת.ב.ל 2021  '!E57</f>
        <v>2180000</v>
      </c>
      <c r="F73" s="3">
        <f>'תקציב אגף ת.ב.ל 2021  '!F57</f>
        <v>0</v>
      </c>
      <c r="G73" s="3">
        <f>'תקציב אגף ת.ב.ל 2021  '!G57</f>
        <v>560000</v>
      </c>
      <c r="H73" s="3">
        <f>'תקציב אגף ת.ב.ל 2021  '!H57</f>
        <v>0</v>
      </c>
      <c r="I73" s="3">
        <f>'תקציב אגף ת.ב.ל 2021  '!I57</f>
        <v>0</v>
      </c>
      <c r="J73" s="3">
        <f>'תקציב אגף ת.ב.ל 2021  '!J57</f>
        <v>25887</v>
      </c>
      <c r="K73" s="3">
        <f>'תקציב אגף ת.ב.ל 2021  '!K57</f>
        <v>25887</v>
      </c>
      <c r="L73" s="4">
        <f>'תקציב אגף ת.ב.ל 2021  '!L57</f>
        <v>25887</v>
      </c>
      <c r="M73" s="4">
        <f>'תקציב אגף ת.ב.ל 2021  '!M57</f>
        <v>534113</v>
      </c>
      <c r="N73" s="4">
        <f>'תקציב אגף ת.ב.ל 2021  '!N57</f>
        <v>0</v>
      </c>
      <c r="O73" s="4">
        <f>'תקציב אגף ת.ב.ל 2021  '!O57</f>
        <v>1620000</v>
      </c>
      <c r="P73" s="4">
        <f>'תקציב אגף ת.ב.ל 2021  '!P57</f>
        <v>534113</v>
      </c>
      <c r="Q73" s="4">
        <f>'תקציב אגף ת.ב.ל 2021  '!Q57</f>
        <v>0</v>
      </c>
      <c r="R73" s="4">
        <f>'תקציב אגף ת.ב.ל 2021  '!R57</f>
        <v>0</v>
      </c>
      <c r="S73" s="4">
        <f>'תקציב אגף ת.ב.ל 2021  '!S57</f>
        <v>0</v>
      </c>
      <c r="T73" s="4">
        <f>'תקציב אגף ת.ב.ל 2021  '!T57</f>
        <v>0</v>
      </c>
      <c r="U73" s="4">
        <f>'תקציב אגף ת.ב.ל 2021  '!U57</f>
        <v>0</v>
      </c>
      <c r="V73" s="4">
        <f>'תקציב אגף ת.ב.ל 2021  '!V57</f>
        <v>0</v>
      </c>
      <c r="W73" s="4">
        <f>'תקציב אגף ת.ב.ל 2021  '!W57</f>
        <v>0</v>
      </c>
      <c r="X73" s="4">
        <f>'תקציב אגף ת.ב.ל 2021  '!X57</f>
        <v>0</v>
      </c>
      <c r="Y73" s="4">
        <f>'תקציב אגף ת.ב.ל 2021  '!Y57</f>
        <v>0</v>
      </c>
      <c r="Z73" s="4">
        <f>'תקציב אגף ת.ב.ל 2021  '!Z57</f>
        <v>0</v>
      </c>
      <c r="AA73" s="4">
        <f>'תקציב אגף ת.ב.ל 2021  '!AA57</f>
        <v>0</v>
      </c>
      <c r="AB73" s="280" t="str">
        <f>'תקציב אגף ת.ב.ל 2021  '!AB57</f>
        <v xml:space="preserve">שיקום חזיתות בנין דיור לקשיש ברח' שמאי. שלב א' חזית דרומית בביצוע. </v>
      </c>
      <c r="AC73" s="3">
        <f>'תקציב אגף ת.ב.ל 2021  '!AC57</f>
        <v>930000</v>
      </c>
      <c r="AD73" s="24"/>
      <c r="AE73" s="24"/>
    </row>
    <row r="74" spans="1:41" s="5" customFormat="1" ht="28">
      <c r="A74" s="566">
        <f t="shared" si="1"/>
        <v>60</v>
      </c>
      <c r="B74" s="278">
        <f>'תקציב אגף ת.ב.ל 2021  '!B62</f>
        <v>2214</v>
      </c>
      <c r="C74" s="643" t="str">
        <f>'תקציב אגף ת.ב.ל 2021  '!C62</f>
        <v>רישוי תחנת הדלק העירונית</v>
      </c>
      <c r="D74" s="4">
        <f>'תקציב אגף ת.ב.ל 2021  '!D62</f>
        <v>200000</v>
      </c>
      <c r="E74" s="278">
        <f>'תקציב אגף ת.ב.ל 2021  '!E62</f>
        <v>0</v>
      </c>
      <c r="F74" s="278">
        <f>'תקציב אגף ת.ב.ל 2021  '!F62</f>
        <v>200000</v>
      </c>
      <c r="G74" s="278">
        <f>'תקציב אגף ת.ב.ל 2021  '!G62</f>
        <v>0</v>
      </c>
      <c r="H74" s="278">
        <f>'תקציב אגף ת.ב.ל 2021  '!H62</f>
        <v>0</v>
      </c>
      <c r="I74" s="278">
        <f>'תקציב אגף ת.ב.ל 2021  '!I62</f>
        <v>0</v>
      </c>
      <c r="J74" s="278">
        <f>'תקציב אגף ת.ב.ל 2021  '!J62</f>
        <v>0</v>
      </c>
      <c r="K74" s="278">
        <f>'תקציב אגף ת.ב.ל 2021  '!K62</f>
        <v>0</v>
      </c>
      <c r="L74" s="4">
        <f>'תקציב אגף ת.ב.ל 2021  '!L62</f>
        <v>0</v>
      </c>
      <c r="M74" s="4">
        <f>'תקציב אגף ת.ב.ל 2021  '!M62</f>
        <v>0</v>
      </c>
      <c r="N74" s="4">
        <f>'תקציב אגף ת.ב.ל 2021  '!N62</f>
        <v>200000</v>
      </c>
      <c r="O74" s="4">
        <f>'תקציב אגף ת.ב.ל 2021  '!O62</f>
        <v>0</v>
      </c>
      <c r="P74" s="4">
        <f>'תקציב אגף ת.ב.ל 2021  '!P62</f>
        <v>0</v>
      </c>
      <c r="Q74" s="4">
        <f>'תקציב אגף ת.ב.ל 2021  '!Q62</f>
        <v>0</v>
      </c>
      <c r="R74" s="4">
        <f>'תקציב אגף ת.ב.ל 2021  '!R62</f>
        <v>0</v>
      </c>
      <c r="S74" s="4">
        <f>'תקציב אגף ת.ב.ל 2021  '!S62</f>
        <v>0</v>
      </c>
      <c r="T74" s="4">
        <f>'תקציב אגף ת.ב.ל 2021  '!T62</f>
        <v>0</v>
      </c>
      <c r="U74" s="4">
        <f>'תקציב אגף ת.ב.ל 2021  '!U62</f>
        <v>200000</v>
      </c>
      <c r="V74" s="4">
        <f>'תקציב אגף ת.ב.ל 2021  '!V62</f>
        <v>0</v>
      </c>
      <c r="W74" s="4">
        <f>'תקציב אגף ת.ב.ל 2021  '!W62</f>
        <v>200000</v>
      </c>
      <c r="X74" s="4">
        <f>'תקציב אגף ת.ב.ל 2021  '!X62</f>
        <v>0</v>
      </c>
      <c r="Y74" s="4">
        <f>'תקציב אגף ת.ב.ל 2021  '!Y62</f>
        <v>0</v>
      </c>
      <c r="Z74" s="4">
        <f>'תקציב אגף ת.ב.ל 2021  '!Z62</f>
        <v>0</v>
      </c>
      <c r="AA74" s="4">
        <f>'תקציב אגף ת.ב.ל 2021  '!AA62</f>
        <v>0</v>
      </c>
      <c r="AB74" s="280" t="str">
        <f>'תקציב אגף ת.ב.ל 2021  '!AB62</f>
        <v>עלויות רישוי/היתר לתחנת הדלק העירונית במתחם אגף תבל.</v>
      </c>
      <c r="AC74" s="278">
        <f>'תקציב אגף ת.ב.ל 2021  '!AC62</f>
        <v>930000</v>
      </c>
      <c r="AD74" s="24"/>
      <c r="AE74" s="24"/>
    </row>
    <row r="75" spans="1:41" s="70" customFormat="1">
      <c r="A75" s="632"/>
      <c r="B75" s="346"/>
      <c r="C75" s="412" t="s">
        <v>1487</v>
      </c>
      <c r="D75" s="73">
        <f>SUM(D68:D74)</f>
        <v>12245000</v>
      </c>
      <c r="E75" s="73">
        <f t="shared" ref="E75:AA75" si="11">SUM(E68:E74)</f>
        <v>11395000</v>
      </c>
      <c r="F75" s="73">
        <f t="shared" si="11"/>
        <v>850000</v>
      </c>
      <c r="G75" s="73">
        <f t="shared" si="11"/>
        <v>6695000</v>
      </c>
      <c r="H75" s="73">
        <f t="shared" si="11"/>
        <v>4377464</v>
      </c>
      <c r="I75" s="73">
        <f t="shared" si="11"/>
        <v>0</v>
      </c>
      <c r="J75" s="73">
        <f t="shared" si="11"/>
        <v>257547</v>
      </c>
      <c r="K75" s="73">
        <f t="shared" si="11"/>
        <v>257547</v>
      </c>
      <c r="L75" s="73">
        <f t="shared" si="11"/>
        <v>4635011</v>
      </c>
      <c r="M75" s="73">
        <f t="shared" si="11"/>
        <v>2059989</v>
      </c>
      <c r="N75" s="73">
        <f t="shared" si="11"/>
        <v>3430000</v>
      </c>
      <c r="O75" s="73">
        <f t="shared" si="11"/>
        <v>2120000</v>
      </c>
      <c r="P75" s="73">
        <f t="shared" si="11"/>
        <v>2059989</v>
      </c>
      <c r="Q75" s="73">
        <f t="shared" si="11"/>
        <v>0</v>
      </c>
      <c r="R75" s="73">
        <f t="shared" si="11"/>
        <v>0</v>
      </c>
      <c r="S75" s="73">
        <f t="shared" si="11"/>
        <v>0</v>
      </c>
      <c r="T75" s="73">
        <f t="shared" si="11"/>
        <v>0</v>
      </c>
      <c r="U75" s="73">
        <f t="shared" si="11"/>
        <v>3430000</v>
      </c>
      <c r="V75" s="73">
        <f t="shared" si="11"/>
        <v>0</v>
      </c>
      <c r="W75" s="73">
        <f t="shared" si="11"/>
        <v>3080000</v>
      </c>
      <c r="X75" s="73">
        <f t="shared" si="11"/>
        <v>0</v>
      </c>
      <c r="Y75" s="73">
        <f t="shared" si="11"/>
        <v>0</v>
      </c>
      <c r="Z75" s="73">
        <f t="shared" si="11"/>
        <v>0</v>
      </c>
      <c r="AA75" s="73">
        <f t="shared" si="11"/>
        <v>350000</v>
      </c>
      <c r="AB75" s="33"/>
      <c r="AC75" s="33"/>
      <c r="AD75" s="349"/>
      <c r="AE75" s="349"/>
    </row>
    <row r="76" spans="1:41" s="426" customFormat="1" ht="30" customHeight="1">
      <c r="A76" s="568">
        <f>A74</f>
        <v>60</v>
      </c>
      <c r="B76" s="346"/>
      <c r="C76" s="412" t="s">
        <v>961</v>
      </c>
      <c r="D76" s="73">
        <f>D75+D67+D61+D56+D52+D48+D20+D11+D9+D6+D54</f>
        <v>449596201</v>
      </c>
      <c r="E76" s="425">
        <f t="shared" ref="E76:AA76" si="12">E75+E67+E61+E56+E52+E48+E20+E11+E9+E6+E54</f>
        <v>410399105</v>
      </c>
      <c r="F76" s="425">
        <f t="shared" si="12"/>
        <v>39197096</v>
      </c>
      <c r="G76" s="425">
        <f t="shared" si="12"/>
        <v>271815901</v>
      </c>
      <c r="H76" s="425">
        <f t="shared" si="12"/>
        <v>208629485</v>
      </c>
      <c r="I76" s="425">
        <f t="shared" si="12"/>
        <v>12784862</v>
      </c>
      <c r="J76" s="425">
        <f t="shared" si="12"/>
        <v>33564893</v>
      </c>
      <c r="K76" s="425">
        <f t="shared" si="12"/>
        <v>46349755</v>
      </c>
      <c r="L76" s="73">
        <f t="shared" si="12"/>
        <v>254979240</v>
      </c>
      <c r="M76" s="73">
        <f t="shared" si="12"/>
        <v>15956661</v>
      </c>
      <c r="N76" s="73">
        <f t="shared" si="12"/>
        <v>68461300</v>
      </c>
      <c r="O76" s="73">
        <f t="shared" si="12"/>
        <v>110199000</v>
      </c>
      <c r="P76" s="73">
        <f t="shared" si="12"/>
        <v>16836661</v>
      </c>
      <c r="Q76" s="73">
        <f t="shared" si="12"/>
        <v>0</v>
      </c>
      <c r="R76" s="73">
        <f t="shared" si="12"/>
        <v>0</v>
      </c>
      <c r="S76" s="73">
        <f t="shared" si="12"/>
        <v>0</v>
      </c>
      <c r="T76" s="73">
        <f t="shared" si="12"/>
        <v>880000</v>
      </c>
      <c r="U76" s="73">
        <f t="shared" si="12"/>
        <v>67581300</v>
      </c>
      <c r="V76" s="73">
        <f t="shared" si="12"/>
        <v>22191300</v>
      </c>
      <c r="W76" s="73">
        <f t="shared" si="12"/>
        <v>24724113</v>
      </c>
      <c r="X76" s="73">
        <f t="shared" si="12"/>
        <v>0</v>
      </c>
      <c r="Y76" s="73">
        <f t="shared" si="12"/>
        <v>0</v>
      </c>
      <c r="Z76" s="73">
        <f t="shared" si="12"/>
        <v>7100000</v>
      </c>
      <c r="AA76" s="73">
        <f t="shared" si="12"/>
        <v>13565887</v>
      </c>
      <c r="AB76" s="425"/>
      <c r="AC76" s="346"/>
      <c r="AD76" s="349"/>
      <c r="AE76" s="349"/>
    </row>
    <row r="77" spans="1:41" hidden="1">
      <c r="A77" s="12"/>
      <c r="D77" s="12"/>
      <c r="E77" s="12"/>
      <c r="F77" s="12"/>
      <c r="G77" s="12"/>
      <c r="H77" s="12"/>
      <c r="I77" s="12"/>
      <c r="J77" s="12"/>
      <c r="K77" s="12"/>
      <c r="L77" s="14">
        <f>K76+H76</f>
        <v>254979240</v>
      </c>
      <c r="M77" s="14">
        <f>P76+S76-T76</f>
        <v>15956661</v>
      </c>
      <c r="N77" s="21"/>
      <c r="O77" s="21"/>
      <c r="P77" s="21"/>
      <c r="Q77" s="21"/>
      <c r="R77" s="21"/>
      <c r="S77" s="21"/>
      <c r="T77" s="21"/>
      <c r="U77" s="17"/>
    </row>
    <row r="78" spans="1:41">
      <c r="A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21"/>
      <c r="O78" s="21"/>
      <c r="P78" s="21"/>
      <c r="Q78" s="21"/>
      <c r="R78" s="21"/>
      <c r="S78" s="21"/>
      <c r="T78" s="21"/>
      <c r="U78" s="17"/>
    </row>
    <row r="79" spans="1:41">
      <c r="A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21"/>
      <c r="O79" s="21"/>
      <c r="P79" s="21"/>
      <c r="Q79" s="21"/>
      <c r="R79" s="21"/>
      <c r="S79" s="21"/>
      <c r="T79" s="21"/>
      <c r="U79" s="17"/>
    </row>
    <row r="81" spans="1:36">
      <c r="A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S81" s="34"/>
    </row>
    <row r="82" spans="1:36">
      <c r="A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S82" s="34"/>
    </row>
    <row r="83" spans="1:36">
      <c r="A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S83" s="34"/>
    </row>
    <row r="84" spans="1:36">
      <c r="A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S84" s="34"/>
      <c r="AJ84" s="21"/>
    </row>
    <row r="85" spans="1:36">
      <c r="A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S85" s="34"/>
    </row>
    <row r="87" spans="1:36">
      <c r="A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S87" s="34"/>
    </row>
    <row r="88" spans="1:36">
      <c r="A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AJ88" s="21"/>
    </row>
    <row r="89" spans="1:36">
      <c r="A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T89" s="12"/>
      <c r="U89" s="14"/>
    </row>
    <row r="90" spans="1:36">
      <c r="A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4"/>
      <c r="AB90" s="12"/>
      <c r="AF90" s="12"/>
      <c r="AG90" s="12"/>
      <c r="AH90" s="12"/>
      <c r="AI90" s="12"/>
      <c r="AJ90" s="12"/>
    </row>
  </sheetData>
  <sheetProtection formatCells="0" formatColumns="0" formatRows="0" insertColumns="0" insertRows="0" insertHyperlinks="0" deleteColumns="0" deleteRows="0" sort="0" autoFilter="0" pivotTables="0"/>
  <sortState ref="A5:AO64">
    <sortCondition ref="AC5:AC64"/>
  </sortState>
  <conditionalFormatting sqref="AB4">
    <cfRule type="cellIs" dxfId="230" priority="2" operator="equal">
      <formula>0</formula>
    </cfRule>
  </conditionalFormatting>
  <conditionalFormatting sqref="AD74:AD75">
    <cfRule type="cellIs" dxfId="22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2" spans="1:17" ht="20.5">
      <c r="E2" s="234"/>
    </row>
    <row r="3" spans="1:17" ht="20.5">
      <c r="A3" s="232"/>
      <c r="C3" s="234" t="s">
        <v>321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1180</v>
      </c>
      <c r="D5" s="232"/>
      <c r="E5" s="232"/>
      <c r="F5" s="236">
        <f>'תקציב אגף בטחון פיקוח סד"צ 2021'!U7</f>
        <v>0</v>
      </c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322</v>
      </c>
      <c r="D7" s="232"/>
      <c r="F7" s="244">
        <f>'תקציב אגף בטחון פיקוח סד"צ 2021'!A7</f>
        <v>2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1495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5.5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 hidden="1">
      <c r="D11" s="245" t="s">
        <v>311</v>
      </c>
      <c r="E11" s="246" t="s">
        <v>312</v>
      </c>
      <c r="F11" s="247" t="s">
        <v>314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 hidden="1">
      <c r="C12" s="235"/>
      <c r="D12" s="239" t="s">
        <v>14</v>
      </c>
      <c r="E12" s="260" t="e">
        <f>#REF!</f>
        <v>#REF!</v>
      </c>
      <c r="F12" s="249" t="e">
        <f>E12/E13</f>
        <v>#REF!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6" hidden="1" thickBot="1">
      <c r="C13" s="235"/>
      <c r="D13" s="242" t="s">
        <v>105</v>
      </c>
      <c r="E13" s="261" t="e">
        <f>SUM(E12)</f>
        <v>#REF!</v>
      </c>
      <c r="F13" s="148" t="e">
        <f>SUM(F12)</f>
        <v>#REF!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 hidden="1">
      <c r="B14" s="235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 hidden="1">
      <c r="B15" s="235"/>
      <c r="C15" s="232"/>
      <c r="D15" s="232"/>
      <c r="F15" s="232"/>
      <c r="H15" s="241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 hidden="1">
      <c r="B16" s="235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ht="15.5" hidden="1">
      <c r="B17" s="235" t="s">
        <v>187</v>
      </c>
      <c r="C17" s="232" t="s">
        <v>829</v>
      </c>
      <c r="D17" s="232"/>
      <c r="F17" s="232"/>
      <c r="H17" s="241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ht="15.5">
      <c r="B18" s="235"/>
      <c r="C18" s="232"/>
      <c r="D18" s="232"/>
      <c r="F18" s="232"/>
      <c r="H18" s="241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ht="15.5">
      <c r="B19" s="235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1" spans="2:17">
      <c r="C21" s="63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8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1796875" defaultRowHeight="18"/>
  <cols>
    <col min="1" max="1" width="3.1796875" style="286" customWidth="1"/>
    <col min="2" max="2" width="4.81640625" style="166" customWidth="1"/>
    <col min="3" max="3" width="19.81640625" style="166" customWidth="1"/>
    <col min="4" max="6" width="9.81640625" style="167" customWidth="1"/>
    <col min="7" max="11" width="9.81640625" style="167" hidden="1" customWidth="1"/>
    <col min="12" max="15" width="9.81640625" style="167" customWidth="1"/>
    <col min="16" max="18" width="9.81640625" style="167" hidden="1" customWidth="1"/>
    <col min="19" max="19" width="9.81640625" style="555" hidden="1" customWidth="1"/>
    <col min="20" max="20" width="9.81640625" style="167" customWidth="1"/>
    <col min="21" max="21" width="9.81640625" style="166" customWidth="1"/>
    <col min="22" max="22" width="9.81640625" style="166" hidden="1" customWidth="1"/>
    <col min="23" max="23" width="9.81640625" style="166" customWidth="1"/>
    <col min="24" max="27" width="9.1796875" style="166" hidden="1" customWidth="1"/>
    <col min="28" max="28" width="40.90625" style="286" customWidth="1"/>
    <col min="29" max="29" width="7.81640625" style="166" hidden="1" customWidth="1"/>
    <col min="30" max="30" width="22.453125" style="283" customWidth="1"/>
    <col min="31" max="31" width="27.453125" style="283" customWidth="1"/>
    <col min="32" max="32" width="9.1796875" style="166" customWidth="1"/>
    <col min="33" max="33" width="9.1796875" style="166"/>
    <col min="34" max="34" width="27" style="294" customWidth="1"/>
    <col min="35" max="16384" width="9.1796875" style="166"/>
  </cols>
  <sheetData>
    <row r="1" spans="1:34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552"/>
      <c r="T1" s="282"/>
      <c r="U1" s="282"/>
      <c r="V1" s="282"/>
      <c r="W1" s="282"/>
      <c r="X1" s="282"/>
      <c r="Y1" s="282"/>
      <c r="Z1" s="282"/>
      <c r="AA1" s="282"/>
      <c r="AB1" s="283"/>
      <c r="AD1" s="283"/>
      <c r="AE1" s="283"/>
      <c r="AH1" s="294"/>
    </row>
    <row r="2" spans="1:34">
      <c r="A2" s="282" t="s">
        <v>144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552"/>
      <c r="T2" s="282"/>
      <c r="U2" s="282"/>
      <c r="V2" s="282"/>
      <c r="W2" s="282"/>
      <c r="X2" s="282"/>
      <c r="Y2" s="282"/>
      <c r="Z2" s="282"/>
      <c r="AA2" s="282"/>
    </row>
    <row r="4" spans="1:34" s="308" customFormat="1" ht="70">
      <c r="A4" s="192" t="s">
        <v>0</v>
      </c>
      <c r="B4" s="192" t="s">
        <v>1</v>
      </c>
      <c r="C4" s="192" t="s">
        <v>2</v>
      </c>
      <c r="D4" s="192" t="s">
        <v>3</v>
      </c>
      <c r="E4" s="192" t="s">
        <v>4</v>
      </c>
      <c r="F4" s="192" t="s">
        <v>5</v>
      </c>
      <c r="G4" s="192" t="s">
        <v>6</v>
      </c>
      <c r="H4" s="192" t="s">
        <v>7</v>
      </c>
      <c r="I4" s="192" t="s">
        <v>9</v>
      </c>
      <c r="J4" s="192" t="s">
        <v>178</v>
      </c>
      <c r="K4" s="192" t="s">
        <v>10</v>
      </c>
      <c r="L4" s="192" t="s">
        <v>11</v>
      </c>
      <c r="M4" s="9" t="s">
        <v>936</v>
      </c>
      <c r="N4" s="192" t="s">
        <v>937</v>
      </c>
      <c r="O4" s="192" t="s">
        <v>938</v>
      </c>
      <c r="P4" s="192" t="s">
        <v>12</v>
      </c>
      <c r="Q4" s="192" t="s">
        <v>939</v>
      </c>
      <c r="R4" s="192" t="s">
        <v>940</v>
      </c>
      <c r="S4" s="553" t="s">
        <v>941</v>
      </c>
      <c r="T4" s="192" t="s">
        <v>942</v>
      </c>
      <c r="U4" s="192" t="s">
        <v>943</v>
      </c>
      <c r="V4" s="192" t="s">
        <v>13</v>
      </c>
      <c r="W4" s="395" t="s">
        <v>14</v>
      </c>
      <c r="X4" s="192" t="s">
        <v>15</v>
      </c>
      <c r="Y4" s="192" t="s">
        <v>301</v>
      </c>
      <c r="Z4" s="192" t="s">
        <v>1391</v>
      </c>
      <c r="AA4" s="192" t="s">
        <v>91</v>
      </c>
      <c r="AB4" s="16" t="s">
        <v>344</v>
      </c>
      <c r="AC4" s="192" t="s">
        <v>16</v>
      </c>
      <c r="AD4" s="283"/>
      <c r="AE4" s="283"/>
      <c r="AH4" s="294"/>
    </row>
    <row r="5" spans="1:34" s="176" customFormat="1" ht="36" customHeight="1">
      <c r="A5" s="172">
        <v>1</v>
      </c>
      <c r="B5" s="172">
        <v>1621</v>
      </c>
      <c r="C5" s="172" t="s">
        <v>57</v>
      </c>
      <c r="D5" s="173">
        <v>3300000</v>
      </c>
      <c r="E5" s="173">
        <v>3300000</v>
      </c>
      <c r="F5" s="173">
        <f>D5-E5</f>
        <v>0</v>
      </c>
      <c r="G5" s="173">
        <v>2800000</v>
      </c>
      <c r="H5" s="173">
        <v>1908729</v>
      </c>
      <c r="I5" s="173">
        <v>0</v>
      </c>
      <c r="J5" s="173">
        <v>128958</v>
      </c>
      <c r="K5" s="173">
        <f>SUM(I5:J5)</f>
        <v>128958</v>
      </c>
      <c r="L5" s="173">
        <f>H5+K5</f>
        <v>2037687</v>
      </c>
      <c r="M5" s="173">
        <f>P5+S5-700000</f>
        <v>62313</v>
      </c>
      <c r="N5" s="173">
        <f>500000+700000-500000</f>
        <v>700000</v>
      </c>
      <c r="O5" s="173">
        <f>D5-L5-M5-N5</f>
        <v>500000</v>
      </c>
      <c r="P5" s="173">
        <f>G5-L5</f>
        <v>762313</v>
      </c>
      <c r="Q5" s="173"/>
      <c r="R5" s="173"/>
      <c r="S5" s="554">
        <f>SUM(Q5:R5)</f>
        <v>0</v>
      </c>
      <c r="T5" s="173">
        <f>P5-M5+S5</f>
        <v>700000</v>
      </c>
      <c r="U5" s="173">
        <f>N5-T5</f>
        <v>0</v>
      </c>
      <c r="V5" s="173"/>
      <c r="W5" s="173">
        <f>U5-V5-AA5</f>
        <v>0</v>
      </c>
      <c r="X5" s="173"/>
      <c r="Y5" s="173"/>
      <c r="Z5" s="173"/>
      <c r="AA5" s="172"/>
      <c r="AB5" s="293" t="s">
        <v>620</v>
      </c>
      <c r="AC5" s="172">
        <v>723000</v>
      </c>
      <c r="AD5" s="283"/>
      <c r="AE5" s="283"/>
      <c r="AG5" s="319"/>
      <c r="AH5" s="294"/>
    </row>
    <row r="6" spans="1:34" s="176" customFormat="1" ht="56">
      <c r="A6" s="172">
        <v>2</v>
      </c>
      <c r="B6" s="297">
        <v>2094</v>
      </c>
      <c r="C6" s="172" t="s">
        <v>417</v>
      </c>
      <c r="D6" s="173">
        <v>1000000</v>
      </c>
      <c r="E6" s="173">
        <v>1000000</v>
      </c>
      <c r="F6" s="173">
        <f>D6-E6</f>
        <v>0</v>
      </c>
      <c r="G6" s="173">
        <v>300000</v>
      </c>
      <c r="H6" s="173">
        <v>0</v>
      </c>
      <c r="I6" s="173">
        <v>0</v>
      </c>
      <c r="J6" s="173">
        <v>15210</v>
      </c>
      <c r="K6" s="173">
        <f>SUM(I6:J6)</f>
        <v>15210</v>
      </c>
      <c r="L6" s="173">
        <f>H6+K6</f>
        <v>15210</v>
      </c>
      <c r="M6" s="173">
        <f>P6+S6</f>
        <v>284790</v>
      </c>
      <c r="N6" s="173">
        <f>700000-700000</f>
        <v>0</v>
      </c>
      <c r="O6" s="173">
        <f>D6-L6-M6-N6</f>
        <v>700000</v>
      </c>
      <c r="P6" s="173">
        <f>G6-L6</f>
        <v>284790</v>
      </c>
      <c r="Q6" s="173"/>
      <c r="R6" s="173"/>
      <c r="S6" s="554">
        <f>SUM(Q6:R6)</f>
        <v>0</v>
      </c>
      <c r="T6" s="173">
        <f>P6-M6+S6</f>
        <v>0</v>
      </c>
      <c r="U6" s="173">
        <f>N6-T6</f>
        <v>0</v>
      </c>
      <c r="V6" s="173"/>
      <c r="W6" s="173">
        <f>U6-V6-AA6</f>
        <v>0</v>
      </c>
      <c r="X6" s="173"/>
      <c r="Y6" s="173"/>
      <c r="Z6" s="173"/>
      <c r="AA6" s="172"/>
      <c r="AB6" s="293" t="s">
        <v>1433</v>
      </c>
      <c r="AC6" s="172">
        <v>720000</v>
      </c>
      <c r="AD6" s="283"/>
      <c r="AE6" s="283"/>
      <c r="AH6" s="294"/>
    </row>
    <row r="7" spans="1:34" s="426" customFormat="1" ht="30" customHeight="1">
      <c r="A7" s="346">
        <f>A6</f>
        <v>2</v>
      </c>
      <c r="B7" s="346"/>
      <c r="C7" s="33" t="s">
        <v>513</v>
      </c>
      <c r="D7" s="425">
        <f>SUM(D5:D6)</f>
        <v>4300000</v>
      </c>
      <c r="E7" s="425">
        <f t="shared" ref="E7:AA7" si="0">SUM(E5:E6)</f>
        <v>4300000</v>
      </c>
      <c r="F7" s="425">
        <f t="shared" si="0"/>
        <v>0</v>
      </c>
      <c r="G7" s="425">
        <f t="shared" si="0"/>
        <v>3100000</v>
      </c>
      <c r="H7" s="425">
        <f t="shared" si="0"/>
        <v>1908729</v>
      </c>
      <c r="I7" s="425">
        <f t="shared" si="0"/>
        <v>0</v>
      </c>
      <c r="J7" s="425">
        <f t="shared" si="0"/>
        <v>144168</v>
      </c>
      <c r="K7" s="425">
        <f t="shared" si="0"/>
        <v>144168</v>
      </c>
      <c r="L7" s="425">
        <f t="shared" si="0"/>
        <v>2052897</v>
      </c>
      <c r="M7" s="425">
        <f t="shared" si="0"/>
        <v>347103</v>
      </c>
      <c r="N7" s="425">
        <f t="shared" si="0"/>
        <v>700000</v>
      </c>
      <c r="O7" s="425">
        <f t="shared" si="0"/>
        <v>1200000</v>
      </c>
      <c r="P7" s="425">
        <f t="shared" si="0"/>
        <v>1047103</v>
      </c>
      <c r="Q7" s="425">
        <f t="shared" si="0"/>
        <v>0</v>
      </c>
      <c r="R7" s="425">
        <f t="shared" si="0"/>
        <v>0</v>
      </c>
      <c r="S7" s="425">
        <f t="shared" si="0"/>
        <v>0</v>
      </c>
      <c r="T7" s="425">
        <f t="shared" si="0"/>
        <v>700000</v>
      </c>
      <c r="U7" s="425">
        <f t="shared" si="0"/>
        <v>0</v>
      </c>
      <c r="V7" s="425">
        <f t="shared" si="0"/>
        <v>0</v>
      </c>
      <c r="W7" s="425">
        <f t="shared" si="0"/>
        <v>0</v>
      </c>
      <c r="X7" s="425">
        <f t="shared" si="0"/>
        <v>0</v>
      </c>
      <c r="Y7" s="425">
        <f t="shared" si="0"/>
        <v>0</v>
      </c>
      <c r="Z7" s="425">
        <f t="shared" si="0"/>
        <v>0</v>
      </c>
      <c r="AA7" s="425">
        <f t="shared" si="0"/>
        <v>0</v>
      </c>
      <c r="AB7" s="425"/>
      <c r="AC7" s="346"/>
      <c r="AD7" s="283"/>
      <c r="AE7" s="283"/>
    </row>
    <row r="8" spans="1:34" hidden="1">
      <c r="L8" s="167">
        <f>K7+H7</f>
        <v>2052897</v>
      </c>
      <c r="M8" s="167">
        <f>P8+S7-T7</f>
        <v>347103</v>
      </c>
      <c r="P8" s="167">
        <f>G7-L8</f>
        <v>1047103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8"/>
  <sheetViews>
    <sheetView showZeros="0" rightToLeft="1" zoomScaleNormal="100" workbookViewId="0">
      <pane xSplit="3" ySplit="4" topLeftCell="D5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1796875" defaultRowHeight="18"/>
  <cols>
    <col min="1" max="1" width="3.1796875" style="286" customWidth="1"/>
    <col min="2" max="2" width="4.81640625" style="166" customWidth="1"/>
    <col min="3" max="3" width="24.6328125" style="166" customWidth="1"/>
    <col min="4" max="4" width="8.54296875" style="167" customWidth="1"/>
    <col min="5" max="11" width="9.1796875" style="167" hidden="1" customWidth="1"/>
    <col min="12" max="12" width="8.1796875" style="167" customWidth="1"/>
    <col min="13" max="13" width="7.1796875" style="167" customWidth="1"/>
    <col min="14" max="14" width="9.1796875" style="167" customWidth="1"/>
    <col min="15" max="15" width="8.6328125" style="167" customWidth="1"/>
    <col min="16" max="18" width="9.1796875" style="167" hidden="1" customWidth="1"/>
    <col min="19" max="19" width="9.1796875" style="555" hidden="1" customWidth="1"/>
    <col min="20" max="20" width="7.36328125" style="167" customWidth="1"/>
    <col min="21" max="21" width="8.6328125" style="166" customWidth="1"/>
    <col min="22" max="23" width="8.36328125" style="166" customWidth="1"/>
    <col min="24" max="27" width="9.1796875" style="166" hidden="1" customWidth="1"/>
    <col min="28" max="28" width="40.90625" style="286" customWidth="1"/>
    <col min="29" max="29" width="7.81640625" style="166" hidden="1" customWidth="1"/>
    <col min="30" max="30" width="22.453125" style="283" customWidth="1"/>
    <col min="31" max="31" width="27.453125" style="283" customWidth="1"/>
    <col min="32" max="32" width="9.1796875" style="166" customWidth="1"/>
    <col min="33" max="33" width="9.1796875" style="166"/>
    <col min="34" max="34" width="27" style="294" customWidth="1"/>
    <col min="35" max="16384" width="9.1796875" style="166"/>
  </cols>
  <sheetData>
    <row r="1" spans="1:34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552"/>
      <c r="T1" s="282"/>
      <c r="U1" s="282"/>
      <c r="V1" s="282"/>
      <c r="W1" s="282"/>
      <c r="X1" s="282"/>
      <c r="Y1" s="282"/>
      <c r="Z1" s="282"/>
      <c r="AA1" s="282"/>
      <c r="AB1" s="283"/>
      <c r="AD1" s="283"/>
      <c r="AE1" s="283"/>
      <c r="AH1" s="294"/>
    </row>
    <row r="2" spans="1:34">
      <c r="A2" s="282" t="s">
        <v>144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552"/>
      <c r="T2" s="282"/>
      <c r="U2" s="282"/>
      <c r="V2" s="282"/>
      <c r="W2" s="282"/>
      <c r="X2" s="282"/>
      <c r="Y2" s="282"/>
      <c r="Z2" s="282"/>
      <c r="AA2" s="282"/>
    </row>
    <row r="4" spans="1:34" s="308" customFormat="1" ht="84">
      <c r="A4" s="192" t="s">
        <v>0</v>
      </c>
      <c r="B4" s="192" t="s">
        <v>1</v>
      </c>
      <c r="C4" s="192" t="s">
        <v>2</v>
      </c>
      <c r="D4" s="192" t="s">
        <v>3</v>
      </c>
      <c r="E4" s="192" t="s">
        <v>4</v>
      </c>
      <c r="F4" s="192" t="s">
        <v>5</v>
      </c>
      <c r="G4" s="192" t="s">
        <v>6</v>
      </c>
      <c r="H4" s="192" t="s">
        <v>7</v>
      </c>
      <c r="I4" s="192" t="s">
        <v>9</v>
      </c>
      <c r="J4" s="192" t="s">
        <v>178</v>
      </c>
      <c r="K4" s="192" t="s">
        <v>10</v>
      </c>
      <c r="L4" s="192" t="s">
        <v>11</v>
      </c>
      <c r="M4" s="9" t="s">
        <v>936</v>
      </c>
      <c r="N4" s="192" t="s">
        <v>937</v>
      </c>
      <c r="O4" s="192" t="s">
        <v>938</v>
      </c>
      <c r="P4" s="192" t="s">
        <v>12</v>
      </c>
      <c r="Q4" s="192" t="s">
        <v>939</v>
      </c>
      <c r="R4" s="192" t="s">
        <v>940</v>
      </c>
      <c r="S4" s="553" t="s">
        <v>941</v>
      </c>
      <c r="T4" s="192" t="s">
        <v>942</v>
      </c>
      <c r="U4" s="590" t="s">
        <v>943</v>
      </c>
      <c r="V4" s="192" t="s">
        <v>13</v>
      </c>
      <c r="W4" s="395" t="s">
        <v>14</v>
      </c>
      <c r="X4" s="192" t="s">
        <v>15</v>
      </c>
      <c r="Y4" s="192" t="s">
        <v>301</v>
      </c>
      <c r="Z4" s="192" t="s">
        <v>1391</v>
      </c>
      <c r="AA4" s="192" t="s">
        <v>91</v>
      </c>
      <c r="AB4" s="16" t="s">
        <v>344</v>
      </c>
      <c r="AC4" s="192" t="s">
        <v>16</v>
      </c>
      <c r="AD4" s="283"/>
      <c r="AE4" s="283"/>
      <c r="AH4" s="294"/>
    </row>
    <row r="5" spans="1:34" s="176" customFormat="1" ht="36" customHeight="1">
      <c r="A5" s="172">
        <v>1</v>
      </c>
      <c r="B5" s="172">
        <v>1621</v>
      </c>
      <c r="C5" s="172" t="s">
        <v>57</v>
      </c>
      <c r="D5" s="173">
        <v>3300000</v>
      </c>
      <c r="E5" s="173">
        <v>3300000</v>
      </c>
      <c r="F5" s="173">
        <f>D5-E5</f>
        <v>0</v>
      </c>
      <c r="G5" s="173">
        <v>2800000</v>
      </c>
      <c r="H5" s="173">
        <v>1908729</v>
      </c>
      <c r="I5" s="173">
        <v>0</v>
      </c>
      <c r="J5" s="173">
        <v>128958</v>
      </c>
      <c r="K5" s="173">
        <f>SUM(I5:J5)</f>
        <v>128958</v>
      </c>
      <c r="L5" s="173">
        <f>H5+K5</f>
        <v>2037687</v>
      </c>
      <c r="M5" s="173">
        <f>P5+S5-700000</f>
        <v>62313</v>
      </c>
      <c r="N5" s="173">
        <f>500000+700000-500000</f>
        <v>700000</v>
      </c>
      <c r="O5" s="173">
        <f>D5-L5-M5-N5</f>
        <v>500000</v>
      </c>
      <c r="P5" s="173">
        <f>G5-L5</f>
        <v>762313</v>
      </c>
      <c r="Q5" s="173"/>
      <c r="R5" s="173"/>
      <c r="S5" s="554">
        <f>SUM(Q5:R5)</f>
        <v>0</v>
      </c>
      <c r="T5" s="173">
        <f>P5-M5+S5</f>
        <v>700000</v>
      </c>
      <c r="U5" s="173">
        <f>N5-T5</f>
        <v>0</v>
      </c>
      <c r="V5" s="173"/>
      <c r="W5" s="173">
        <f>U5-V5-AA5</f>
        <v>0</v>
      </c>
      <c r="X5" s="173"/>
      <c r="Y5" s="173"/>
      <c r="Z5" s="173"/>
      <c r="AA5" s="172"/>
      <c r="AB5" s="293" t="s">
        <v>620</v>
      </c>
      <c r="AC5" s="172">
        <v>723000</v>
      </c>
      <c r="AD5" s="283"/>
      <c r="AE5" s="283"/>
      <c r="AG5" s="319"/>
      <c r="AH5" s="294"/>
    </row>
    <row r="6" spans="1:34" s="176" customFormat="1" ht="56">
      <c r="A6" s="172">
        <v>2</v>
      </c>
      <c r="B6" s="297">
        <v>2094</v>
      </c>
      <c r="C6" s="172" t="s">
        <v>417</v>
      </c>
      <c r="D6" s="173">
        <v>1000000</v>
      </c>
      <c r="E6" s="173">
        <v>1000000</v>
      </c>
      <c r="F6" s="173">
        <f>D6-E6</f>
        <v>0</v>
      </c>
      <c r="G6" s="173">
        <v>300000</v>
      </c>
      <c r="H6" s="173">
        <v>0</v>
      </c>
      <c r="I6" s="173">
        <v>0</v>
      </c>
      <c r="J6" s="173">
        <v>15210</v>
      </c>
      <c r="K6" s="173">
        <f>SUM(I6:J6)</f>
        <v>15210</v>
      </c>
      <c r="L6" s="173">
        <f>H6+K6</f>
        <v>15210</v>
      </c>
      <c r="M6" s="173">
        <f>P6+S6</f>
        <v>284790</v>
      </c>
      <c r="N6" s="173">
        <f>700000-700000</f>
        <v>0</v>
      </c>
      <c r="O6" s="173">
        <f>D6-L6-M6-N6</f>
        <v>700000</v>
      </c>
      <c r="P6" s="173">
        <f>G6-L6</f>
        <v>284790</v>
      </c>
      <c r="Q6" s="173"/>
      <c r="R6" s="173"/>
      <c r="S6" s="554">
        <f>SUM(Q6:R6)</f>
        <v>0</v>
      </c>
      <c r="T6" s="173">
        <f>P6-M6+S6</f>
        <v>0</v>
      </c>
      <c r="U6" s="173">
        <f>N6-T6</f>
        <v>0</v>
      </c>
      <c r="V6" s="173"/>
      <c r="W6" s="173">
        <f>U6-V6-AA6</f>
        <v>0</v>
      </c>
      <c r="X6" s="173"/>
      <c r="Y6" s="173"/>
      <c r="Z6" s="173"/>
      <c r="AA6" s="172"/>
      <c r="AB6" s="293" t="s">
        <v>1433</v>
      </c>
      <c r="AC6" s="172">
        <v>720000</v>
      </c>
      <c r="AD6" s="283"/>
      <c r="AE6" s="283"/>
      <c r="AH6" s="294"/>
    </row>
    <row r="7" spans="1:34" s="426" customFormat="1" ht="30" customHeight="1">
      <c r="A7" s="346">
        <f>A6</f>
        <v>2</v>
      </c>
      <c r="B7" s="346"/>
      <c r="C7" s="33" t="s">
        <v>1494</v>
      </c>
      <c r="D7" s="425">
        <f>SUM(D5:D6)</f>
        <v>4300000</v>
      </c>
      <c r="E7" s="425">
        <f t="shared" ref="E7:AA7" si="0">SUM(E5:E6)</f>
        <v>4300000</v>
      </c>
      <c r="F7" s="425">
        <f t="shared" si="0"/>
        <v>0</v>
      </c>
      <c r="G7" s="425">
        <f t="shared" si="0"/>
        <v>3100000</v>
      </c>
      <c r="H7" s="425">
        <f t="shared" si="0"/>
        <v>1908729</v>
      </c>
      <c r="I7" s="425">
        <f t="shared" si="0"/>
        <v>0</v>
      </c>
      <c r="J7" s="425">
        <f t="shared" si="0"/>
        <v>144168</v>
      </c>
      <c r="K7" s="425">
        <f t="shared" si="0"/>
        <v>144168</v>
      </c>
      <c r="L7" s="425">
        <f t="shared" si="0"/>
        <v>2052897</v>
      </c>
      <c r="M7" s="425">
        <f t="shared" si="0"/>
        <v>347103</v>
      </c>
      <c r="N7" s="425">
        <f t="shared" si="0"/>
        <v>700000</v>
      </c>
      <c r="O7" s="425">
        <f t="shared" si="0"/>
        <v>1200000</v>
      </c>
      <c r="P7" s="425">
        <f t="shared" si="0"/>
        <v>1047103</v>
      </c>
      <c r="Q7" s="425">
        <f t="shared" si="0"/>
        <v>0</v>
      </c>
      <c r="R7" s="425">
        <f t="shared" si="0"/>
        <v>0</v>
      </c>
      <c r="S7" s="425">
        <f t="shared" si="0"/>
        <v>0</v>
      </c>
      <c r="T7" s="425">
        <f t="shared" si="0"/>
        <v>700000</v>
      </c>
      <c r="U7" s="425">
        <f t="shared" si="0"/>
        <v>0</v>
      </c>
      <c r="V7" s="425">
        <f t="shared" si="0"/>
        <v>0</v>
      </c>
      <c r="W7" s="425">
        <f t="shared" si="0"/>
        <v>0</v>
      </c>
      <c r="X7" s="425">
        <f t="shared" si="0"/>
        <v>0</v>
      </c>
      <c r="Y7" s="425">
        <f t="shared" si="0"/>
        <v>0</v>
      </c>
      <c r="Z7" s="425">
        <f t="shared" si="0"/>
        <v>0</v>
      </c>
      <c r="AA7" s="425">
        <f t="shared" si="0"/>
        <v>0</v>
      </c>
      <c r="AB7" s="425"/>
      <c r="AC7" s="346"/>
      <c r="AD7" s="283"/>
      <c r="AE7" s="283"/>
    </row>
    <row r="8" spans="1:34" hidden="1">
      <c r="L8" s="167">
        <f>K7+H7</f>
        <v>2052897</v>
      </c>
      <c r="M8" s="167">
        <f>P8+S7-T7</f>
        <v>347103</v>
      </c>
      <c r="P8" s="167">
        <f>G7-L8</f>
        <v>1047103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323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1180</v>
      </c>
      <c r="D5" s="232"/>
      <c r="E5" s="232"/>
      <c r="F5" s="236">
        <f>'תקציב אגף חינוך 2021 '!U26</f>
        <v>6320000</v>
      </c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322</v>
      </c>
      <c r="D7" s="232"/>
      <c r="F7" s="236">
        <f>'תקציב אגף חינוך 2021 '!A26</f>
        <v>21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310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6" thickBot="1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D11" s="245" t="s">
        <v>311</v>
      </c>
      <c r="E11" s="246" t="s">
        <v>312</v>
      </c>
      <c r="F11" s="247" t="s">
        <v>314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C12" s="235"/>
      <c r="D12" s="239" t="s">
        <v>14</v>
      </c>
      <c r="E12" s="248">
        <f>'תקציב אגף חינוך 2021 '!W26</f>
        <v>3496000</v>
      </c>
      <c r="F12" s="256">
        <f>E12/$E$14</f>
        <v>0.55316455696202527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>
      <c r="C13" s="235"/>
      <c r="D13" s="239" t="s">
        <v>91</v>
      </c>
      <c r="E13" s="248">
        <f>'תקציב אגף חינוך 2021 '!AA26</f>
        <v>2824000</v>
      </c>
      <c r="F13" s="256">
        <f>E13/$E$14</f>
        <v>0.44683544303797468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6" thickBot="1">
      <c r="C14" s="235"/>
      <c r="D14" s="242" t="s">
        <v>105</v>
      </c>
      <c r="E14" s="347">
        <f>SUM(E12:E13)</f>
        <v>6320000</v>
      </c>
      <c r="F14" s="348">
        <f>SUM(F12:F13)</f>
        <v>1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8"/>
      <c r="E15" s="269"/>
      <c r="F15" s="270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B16" s="235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B17" s="235"/>
      <c r="C17" s="232"/>
      <c r="D17" s="232"/>
      <c r="F17" s="232"/>
      <c r="H17" s="241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5.5">
      <c r="B18" s="235" t="s">
        <v>187</v>
      </c>
      <c r="C18" s="232" t="s">
        <v>1715</v>
      </c>
      <c r="D18" s="232"/>
      <c r="F18" s="232"/>
      <c r="H18" s="241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B19" s="235"/>
      <c r="C19" s="232" t="s">
        <v>1714</v>
      </c>
      <c r="D19" s="232"/>
      <c r="F19" s="232"/>
      <c r="H19" s="241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5.5">
      <c r="B20" s="23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s="338" customFormat="1" ht="15.5">
      <c r="C21" s="340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17" s="338" customFormat="1" ht="15.5">
      <c r="A22" s="337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</row>
    <row r="23" spans="1:17" s="338" customFormat="1" ht="15.5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7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8.54296875" defaultRowHeight="14"/>
  <cols>
    <col min="1" max="1" width="3.1796875" style="398" customWidth="1"/>
    <col min="2" max="2" width="4.54296875" style="398" customWidth="1"/>
    <col min="3" max="3" width="22.453125" style="399" customWidth="1"/>
    <col min="4" max="6" width="9.81640625" style="400" customWidth="1"/>
    <col min="7" max="11" width="9.81640625" style="400" hidden="1" customWidth="1"/>
    <col min="12" max="12" width="9.81640625" style="400" customWidth="1"/>
    <col min="13" max="13" width="9.90625" style="400" customWidth="1"/>
    <col min="14" max="15" width="9.81640625" style="400" customWidth="1"/>
    <col min="16" max="19" width="9.81640625" style="400" hidden="1" customWidth="1"/>
    <col min="20" max="20" width="9.81640625" style="400" customWidth="1"/>
    <col min="21" max="21" width="9.81640625" style="398" customWidth="1"/>
    <col min="22" max="22" width="9.81640625" style="398" hidden="1" customWidth="1"/>
    <col min="23" max="23" width="9.81640625" style="398" customWidth="1"/>
    <col min="24" max="26" width="9.81640625" style="398" hidden="1" customWidth="1"/>
    <col min="27" max="27" width="9.81640625" style="398" customWidth="1"/>
    <col min="28" max="28" width="33.81640625" style="399" customWidth="1"/>
    <col min="29" max="29" width="7.453125" style="398" hidden="1" customWidth="1"/>
    <col min="30" max="30" width="8.90625" style="601" customWidth="1"/>
    <col min="31" max="31" width="12.6328125" style="601" customWidth="1"/>
    <col min="32" max="32" width="18.54296875" style="601" customWidth="1"/>
    <col min="33" max="33" width="8.54296875" style="601" customWidth="1"/>
    <col min="34" max="34" width="9" style="601" bestFit="1" customWidth="1"/>
    <col min="35" max="16384" width="8.54296875" style="398"/>
  </cols>
  <sheetData>
    <row r="1" spans="1:34" s="602" customFormat="1" ht="13.25" customHeight="1">
      <c r="A1" s="596"/>
      <c r="B1" s="596"/>
      <c r="C1" s="597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8"/>
      <c r="Y1" s="598"/>
      <c r="Z1" s="598"/>
      <c r="AA1" s="599"/>
      <c r="AB1" s="600"/>
      <c r="AC1" s="599"/>
      <c r="AD1" s="601"/>
      <c r="AE1" s="601"/>
      <c r="AF1" s="601"/>
      <c r="AG1" s="601"/>
      <c r="AH1" s="601"/>
    </row>
    <row r="2" spans="1:34" s="602" customFormat="1" ht="18">
      <c r="A2" s="596" t="s">
        <v>323</v>
      </c>
      <c r="B2" s="596"/>
      <c r="C2" s="597"/>
      <c r="D2" s="596"/>
      <c r="E2" s="603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</row>
    <row r="3" spans="1:34" ht="20.399999999999999" customHeight="1"/>
    <row r="4" spans="1:34" s="396" customFormat="1" ht="86.25" customHeight="1">
      <c r="A4" s="163" t="s">
        <v>0</v>
      </c>
      <c r="B4" s="395" t="s">
        <v>1</v>
      </c>
      <c r="C4" s="395" t="s">
        <v>2</v>
      </c>
      <c r="D4" s="395" t="s">
        <v>3</v>
      </c>
      <c r="E4" s="395" t="s">
        <v>4</v>
      </c>
      <c r="F4" s="395" t="s">
        <v>5</v>
      </c>
      <c r="G4" s="395" t="s">
        <v>6</v>
      </c>
      <c r="H4" s="395" t="s">
        <v>7</v>
      </c>
      <c r="I4" s="395" t="s">
        <v>9</v>
      </c>
      <c r="J4" s="395" t="s">
        <v>178</v>
      </c>
      <c r="K4" s="395" t="s">
        <v>10</v>
      </c>
      <c r="L4" s="395" t="s">
        <v>11</v>
      </c>
      <c r="M4" s="2" t="s">
        <v>936</v>
      </c>
      <c r="N4" s="395" t="s">
        <v>937</v>
      </c>
      <c r="O4" s="395" t="s">
        <v>938</v>
      </c>
      <c r="P4" s="395" t="s">
        <v>12</v>
      </c>
      <c r="Q4" s="395" t="s">
        <v>939</v>
      </c>
      <c r="R4" s="395" t="s">
        <v>940</v>
      </c>
      <c r="S4" s="395" t="s">
        <v>941</v>
      </c>
      <c r="T4" s="395" t="s">
        <v>942</v>
      </c>
      <c r="U4" s="395" t="s">
        <v>943</v>
      </c>
      <c r="V4" s="395" t="s">
        <v>13</v>
      </c>
      <c r="W4" s="395" t="s">
        <v>14</v>
      </c>
      <c r="X4" s="395" t="s">
        <v>15</v>
      </c>
      <c r="Y4" s="395" t="s">
        <v>301</v>
      </c>
      <c r="Z4" s="395" t="s">
        <v>1391</v>
      </c>
      <c r="AA4" s="395" t="s">
        <v>91</v>
      </c>
      <c r="AB4" s="604" t="s">
        <v>344</v>
      </c>
      <c r="AC4" s="395" t="s">
        <v>16</v>
      </c>
      <c r="AD4" s="601"/>
      <c r="AE4" s="601"/>
      <c r="AF4" s="601"/>
      <c r="AG4" s="601"/>
      <c r="AH4" s="601"/>
    </row>
    <row r="5" spans="1:34" s="394" customFormat="1" ht="61.75" customHeight="1">
      <c r="A5" s="391">
        <v>1</v>
      </c>
      <c r="B5" s="391">
        <v>1776</v>
      </c>
      <c r="C5" s="391" t="s">
        <v>59</v>
      </c>
      <c r="D5" s="392">
        <v>2100000</v>
      </c>
      <c r="E5" s="392">
        <v>1255000</v>
      </c>
      <c r="F5" s="392">
        <f>D5-E5</f>
        <v>845000</v>
      </c>
      <c r="G5" s="392">
        <v>1255000</v>
      </c>
      <c r="H5" s="392">
        <v>993388</v>
      </c>
      <c r="I5" s="392">
        <v>0</v>
      </c>
      <c r="J5" s="392">
        <v>113314</v>
      </c>
      <c r="K5" s="392">
        <f>I5+J5</f>
        <v>113314</v>
      </c>
      <c r="L5" s="392">
        <f>H5+K5</f>
        <v>1106702</v>
      </c>
      <c r="M5" s="392">
        <f>P5+S5</f>
        <v>148298</v>
      </c>
      <c r="N5" s="392">
        <f>845000-445000+445000-245000</f>
        <v>600000</v>
      </c>
      <c r="O5" s="392">
        <f>D5-M5-N5-L5</f>
        <v>245000</v>
      </c>
      <c r="P5" s="392">
        <f>G5-L5</f>
        <v>148298</v>
      </c>
      <c r="Q5" s="392"/>
      <c r="R5" s="392"/>
      <c r="S5" s="392">
        <f>SUM(Q5:R5)</f>
        <v>0</v>
      </c>
      <c r="T5" s="392">
        <f>P5-M5+S5</f>
        <v>0</v>
      </c>
      <c r="U5" s="392">
        <f>N5-T5</f>
        <v>600000</v>
      </c>
      <c r="V5" s="392"/>
      <c r="W5" s="392">
        <f t="shared" ref="W5:W22" si="0">U5-V5-Z5-AA5</f>
        <v>600000</v>
      </c>
      <c r="X5" s="392"/>
      <c r="Y5" s="392"/>
      <c r="Z5" s="392"/>
      <c r="AA5" s="393"/>
      <c r="AB5" s="397" t="s">
        <v>1401</v>
      </c>
      <c r="AC5" s="391">
        <v>810000</v>
      </c>
      <c r="AD5" s="601"/>
      <c r="AE5" s="605"/>
      <c r="AF5" s="601"/>
      <c r="AG5" s="601"/>
      <c r="AH5" s="601"/>
    </row>
    <row r="6" spans="1:34" s="394" customFormat="1" ht="30" customHeight="1">
      <c r="A6" s="391">
        <f>A5+1</f>
        <v>2</v>
      </c>
      <c r="B6" s="390">
        <v>1828</v>
      </c>
      <c r="C6" s="391" t="s">
        <v>173</v>
      </c>
      <c r="D6" s="392">
        <v>240000</v>
      </c>
      <c r="E6" s="392">
        <v>240000</v>
      </c>
      <c r="F6" s="392">
        <f t="shared" ref="F6:F22" si="1">D6-E6</f>
        <v>0</v>
      </c>
      <c r="G6" s="392">
        <v>240000</v>
      </c>
      <c r="H6" s="392">
        <v>188718</v>
      </c>
      <c r="I6" s="392">
        <v>0</v>
      </c>
      <c r="J6" s="392">
        <v>0</v>
      </c>
      <c r="K6" s="392">
        <f t="shared" ref="K6:K22" si="2">I6+J6</f>
        <v>0</v>
      </c>
      <c r="L6" s="392">
        <f t="shared" ref="L6:L22" si="3">H6+K6</f>
        <v>188718</v>
      </c>
      <c r="M6" s="392">
        <f t="shared" ref="M6:M22" si="4">P6+S6</f>
        <v>51282</v>
      </c>
      <c r="N6" s="392"/>
      <c r="O6" s="392">
        <f t="shared" ref="O6:O22" si="5">D6-M6-N6-L6</f>
        <v>0</v>
      </c>
      <c r="P6" s="392">
        <f t="shared" ref="P6:P22" si="6">G6-L6</f>
        <v>51282</v>
      </c>
      <c r="Q6" s="392"/>
      <c r="R6" s="392"/>
      <c r="S6" s="392">
        <f t="shared" ref="S6:S22" si="7">SUM(Q6:R6)</f>
        <v>0</v>
      </c>
      <c r="T6" s="392">
        <f t="shared" ref="T6:T22" si="8">P6-M6+S6</f>
        <v>0</v>
      </c>
      <c r="U6" s="392">
        <f t="shared" ref="U6:U22" si="9">N6-T6</f>
        <v>0</v>
      </c>
      <c r="V6" s="392"/>
      <c r="W6" s="392">
        <f t="shared" si="0"/>
        <v>0</v>
      </c>
      <c r="X6" s="392"/>
      <c r="Y6" s="392"/>
      <c r="Z6" s="392"/>
      <c r="AA6" s="393"/>
      <c r="AB6" s="391" t="s">
        <v>734</v>
      </c>
      <c r="AC6" s="391">
        <v>810000</v>
      </c>
      <c r="AD6" s="601"/>
      <c r="AE6" s="605"/>
      <c r="AF6" s="601"/>
      <c r="AG6" s="601"/>
      <c r="AH6" s="601"/>
    </row>
    <row r="7" spans="1:34" s="394" customFormat="1" ht="67.25" customHeight="1">
      <c r="A7" s="391">
        <f t="shared" ref="A7:A22" si="10">A6+1</f>
        <v>3</v>
      </c>
      <c r="B7" s="390">
        <v>1930</v>
      </c>
      <c r="C7" s="391" t="s">
        <v>143</v>
      </c>
      <c r="D7" s="392">
        <v>2530000</v>
      </c>
      <c r="E7" s="392">
        <v>1670000</v>
      </c>
      <c r="F7" s="392">
        <f t="shared" si="1"/>
        <v>860000</v>
      </c>
      <c r="G7" s="392">
        <v>1230000</v>
      </c>
      <c r="H7" s="392">
        <v>911352</v>
      </c>
      <c r="I7" s="392">
        <v>0</v>
      </c>
      <c r="J7" s="392">
        <v>184860</v>
      </c>
      <c r="K7" s="392">
        <f t="shared" si="2"/>
        <v>184860</v>
      </c>
      <c r="L7" s="392">
        <f t="shared" si="3"/>
        <v>1096212</v>
      </c>
      <c r="M7" s="392">
        <f t="shared" si="4"/>
        <v>133788</v>
      </c>
      <c r="N7" s="392">
        <f>860000-130000</f>
        <v>730000</v>
      </c>
      <c r="O7" s="392">
        <f t="shared" si="5"/>
        <v>570000</v>
      </c>
      <c r="P7" s="392">
        <f t="shared" si="6"/>
        <v>133788</v>
      </c>
      <c r="Q7" s="392"/>
      <c r="R7" s="392"/>
      <c r="S7" s="392">
        <f t="shared" si="7"/>
        <v>0</v>
      </c>
      <c r="T7" s="392">
        <f t="shared" si="8"/>
        <v>0</v>
      </c>
      <c r="U7" s="392">
        <f t="shared" si="9"/>
        <v>730000</v>
      </c>
      <c r="V7" s="392"/>
      <c r="W7" s="392">
        <f t="shared" si="0"/>
        <v>366000</v>
      </c>
      <c r="X7" s="392"/>
      <c r="Y7" s="392"/>
      <c r="Z7" s="392"/>
      <c r="AA7" s="392">
        <f>26000*14</f>
        <v>364000</v>
      </c>
      <c r="AB7" s="391" t="s">
        <v>1434</v>
      </c>
      <c r="AC7" s="391">
        <v>810000</v>
      </c>
      <c r="AD7" s="601"/>
      <c r="AE7" s="605"/>
      <c r="AF7" s="601"/>
      <c r="AG7" s="601"/>
      <c r="AH7" s="601"/>
    </row>
    <row r="8" spans="1:34" s="394" customFormat="1" ht="30" customHeight="1">
      <c r="A8" s="391">
        <f t="shared" si="10"/>
        <v>4</v>
      </c>
      <c r="B8" s="391">
        <v>1976</v>
      </c>
      <c r="C8" s="391" t="s">
        <v>161</v>
      </c>
      <c r="D8" s="392">
        <v>644100</v>
      </c>
      <c r="E8" s="392">
        <v>644100</v>
      </c>
      <c r="F8" s="392">
        <f t="shared" si="1"/>
        <v>0</v>
      </c>
      <c r="G8" s="392">
        <v>644100</v>
      </c>
      <c r="H8" s="392">
        <v>504222</v>
      </c>
      <c r="I8" s="392">
        <v>0</v>
      </c>
      <c r="J8" s="392">
        <v>12644</v>
      </c>
      <c r="K8" s="392">
        <f t="shared" si="2"/>
        <v>12644</v>
      </c>
      <c r="L8" s="392">
        <f t="shared" si="3"/>
        <v>516866</v>
      </c>
      <c r="M8" s="392">
        <f t="shared" si="4"/>
        <v>127234</v>
      </c>
      <c r="N8" s="392"/>
      <c r="O8" s="392">
        <f t="shared" si="5"/>
        <v>0</v>
      </c>
      <c r="P8" s="392">
        <f t="shared" si="6"/>
        <v>127234</v>
      </c>
      <c r="Q8" s="392"/>
      <c r="R8" s="392"/>
      <c r="S8" s="392">
        <f t="shared" si="7"/>
        <v>0</v>
      </c>
      <c r="T8" s="392">
        <f t="shared" si="8"/>
        <v>0</v>
      </c>
      <c r="U8" s="392">
        <f t="shared" si="9"/>
        <v>0</v>
      </c>
      <c r="V8" s="392"/>
      <c r="W8" s="392">
        <f t="shared" si="0"/>
        <v>0</v>
      </c>
      <c r="X8" s="392"/>
      <c r="Y8" s="392"/>
      <c r="Z8" s="392"/>
      <c r="AA8" s="393"/>
      <c r="AB8" s="397" t="s">
        <v>1303</v>
      </c>
      <c r="AC8" s="391">
        <v>810000</v>
      </c>
      <c r="AD8" s="601"/>
      <c r="AE8" s="601"/>
      <c r="AF8" s="601"/>
      <c r="AG8" s="601"/>
      <c r="AH8" s="601"/>
    </row>
    <row r="9" spans="1:34" s="394" customFormat="1" ht="30" customHeight="1">
      <c r="A9" s="391">
        <f t="shared" si="10"/>
        <v>5</v>
      </c>
      <c r="B9" s="391">
        <v>1977</v>
      </c>
      <c r="C9" s="391" t="s">
        <v>162</v>
      </c>
      <c r="D9" s="392">
        <v>44100</v>
      </c>
      <c r="E9" s="392">
        <v>44100</v>
      </c>
      <c r="F9" s="392">
        <f t="shared" si="1"/>
        <v>0</v>
      </c>
      <c r="G9" s="392">
        <v>44100</v>
      </c>
      <c r="H9" s="392">
        <v>43807</v>
      </c>
      <c r="I9" s="392">
        <v>0</v>
      </c>
      <c r="J9" s="392">
        <v>0</v>
      </c>
      <c r="K9" s="392">
        <f t="shared" si="2"/>
        <v>0</v>
      </c>
      <c r="L9" s="392">
        <f t="shared" si="3"/>
        <v>43807</v>
      </c>
      <c r="M9" s="392">
        <f t="shared" si="4"/>
        <v>293</v>
      </c>
      <c r="N9" s="392"/>
      <c r="O9" s="392">
        <f t="shared" si="5"/>
        <v>0</v>
      </c>
      <c r="P9" s="392">
        <f t="shared" si="6"/>
        <v>293</v>
      </c>
      <c r="Q9" s="392"/>
      <c r="R9" s="392"/>
      <c r="S9" s="392">
        <f t="shared" si="7"/>
        <v>0</v>
      </c>
      <c r="T9" s="392">
        <f t="shared" si="8"/>
        <v>0</v>
      </c>
      <c r="U9" s="392">
        <f t="shared" si="9"/>
        <v>0</v>
      </c>
      <c r="V9" s="392"/>
      <c r="W9" s="392">
        <f t="shared" si="0"/>
        <v>0</v>
      </c>
      <c r="X9" s="392"/>
      <c r="Y9" s="392"/>
      <c r="Z9" s="392"/>
      <c r="AA9" s="393"/>
      <c r="AB9" s="391" t="s">
        <v>721</v>
      </c>
      <c r="AC9" s="391">
        <v>810000</v>
      </c>
      <c r="AD9" s="601"/>
      <c r="AE9" s="601"/>
      <c r="AF9" s="601"/>
      <c r="AG9" s="601"/>
      <c r="AH9" s="601"/>
    </row>
    <row r="10" spans="1:34" s="394" customFormat="1" ht="30" customHeight="1">
      <c r="A10" s="391">
        <f t="shared" si="10"/>
        <v>6</v>
      </c>
      <c r="B10" s="390">
        <v>1987</v>
      </c>
      <c r="C10" s="391" t="s">
        <v>182</v>
      </c>
      <c r="D10" s="392">
        <v>120000</v>
      </c>
      <c r="E10" s="392">
        <v>120000</v>
      </c>
      <c r="F10" s="392">
        <f t="shared" si="1"/>
        <v>0</v>
      </c>
      <c r="G10" s="392">
        <v>120000</v>
      </c>
      <c r="H10" s="392">
        <v>77677</v>
      </c>
      <c r="I10" s="392">
        <v>0</v>
      </c>
      <c r="J10" s="392">
        <v>0</v>
      </c>
      <c r="K10" s="392">
        <f t="shared" si="2"/>
        <v>0</v>
      </c>
      <c r="L10" s="392">
        <f t="shared" si="3"/>
        <v>77677</v>
      </c>
      <c r="M10" s="392">
        <f t="shared" si="4"/>
        <v>42323</v>
      </c>
      <c r="N10" s="392"/>
      <c r="O10" s="392">
        <f t="shared" si="5"/>
        <v>0</v>
      </c>
      <c r="P10" s="392">
        <f t="shared" si="6"/>
        <v>42323</v>
      </c>
      <c r="Q10" s="392"/>
      <c r="R10" s="392"/>
      <c r="S10" s="392">
        <f t="shared" si="7"/>
        <v>0</v>
      </c>
      <c r="T10" s="392">
        <f t="shared" si="8"/>
        <v>0</v>
      </c>
      <c r="U10" s="392">
        <f t="shared" si="9"/>
        <v>0</v>
      </c>
      <c r="V10" s="392"/>
      <c r="W10" s="392">
        <f t="shared" si="0"/>
        <v>0</v>
      </c>
      <c r="X10" s="392"/>
      <c r="Y10" s="392"/>
      <c r="Z10" s="392"/>
      <c r="AA10" s="393"/>
      <c r="AB10" s="391" t="s">
        <v>721</v>
      </c>
      <c r="AC10" s="391">
        <v>810000</v>
      </c>
      <c r="AD10" s="601"/>
      <c r="AE10" s="601"/>
      <c r="AF10" s="601"/>
      <c r="AG10" s="601"/>
      <c r="AH10" s="601"/>
    </row>
    <row r="11" spans="1:34" s="394" customFormat="1" ht="30" customHeight="1">
      <c r="A11" s="391">
        <f t="shared" si="10"/>
        <v>7</v>
      </c>
      <c r="B11" s="390">
        <v>1990</v>
      </c>
      <c r="C11" s="391" t="s">
        <v>183</v>
      </c>
      <c r="D11" s="392">
        <v>58800</v>
      </c>
      <c r="E11" s="392">
        <v>58800</v>
      </c>
      <c r="F11" s="392">
        <f t="shared" si="1"/>
        <v>0</v>
      </c>
      <c r="G11" s="392">
        <v>58800</v>
      </c>
      <c r="H11" s="392">
        <v>54353</v>
      </c>
      <c r="I11" s="392">
        <v>0</v>
      </c>
      <c r="J11" s="392">
        <v>4393</v>
      </c>
      <c r="K11" s="392">
        <f t="shared" si="2"/>
        <v>4393</v>
      </c>
      <c r="L11" s="392">
        <f t="shared" si="3"/>
        <v>58746</v>
      </c>
      <c r="M11" s="392">
        <f t="shared" si="4"/>
        <v>54</v>
      </c>
      <c r="N11" s="392"/>
      <c r="O11" s="392">
        <f t="shared" si="5"/>
        <v>0</v>
      </c>
      <c r="P11" s="392">
        <f t="shared" si="6"/>
        <v>54</v>
      </c>
      <c r="Q11" s="392"/>
      <c r="R11" s="392"/>
      <c r="S11" s="392">
        <f t="shared" si="7"/>
        <v>0</v>
      </c>
      <c r="T11" s="392">
        <f t="shared" si="8"/>
        <v>0</v>
      </c>
      <c r="U11" s="392">
        <f t="shared" si="9"/>
        <v>0</v>
      </c>
      <c r="V11" s="392"/>
      <c r="W11" s="392">
        <f t="shared" si="0"/>
        <v>0</v>
      </c>
      <c r="X11" s="392"/>
      <c r="Y11" s="392"/>
      <c r="Z11" s="392"/>
      <c r="AA11" s="393"/>
      <c r="AB11" s="391"/>
      <c r="AC11" s="391">
        <v>810000</v>
      </c>
      <c r="AD11" s="601"/>
      <c r="AE11" s="601"/>
      <c r="AF11" s="601"/>
      <c r="AG11" s="601"/>
      <c r="AH11" s="601"/>
    </row>
    <row r="12" spans="1:34" s="394" customFormat="1" ht="30" customHeight="1">
      <c r="A12" s="391">
        <f t="shared" si="10"/>
        <v>8</v>
      </c>
      <c r="B12" s="390">
        <v>2033</v>
      </c>
      <c r="C12" s="391" t="s">
        <v>419</v>
      </c>
      <c r="D12" s="392">
        <v>900000</v>
      </c>
      <c r="E12" s="392">
        <v>1000000</v>
      </c>
      <c r="F12" s="392">
        <f t="shared" si="1"/>
        <v>-100000</v>
      </c>
      <c r="G12" s="392">
        <v>900000</v>
      </c>
      <c r="H12" s="392">
        <v>590007</v>
      </c>
      <c r="I12" s="392">
        <v>0</v>
      </c>
      <c r="J12" s="392">
        <v>84302</v>
      </c>
      <c r="K12" s="392">
        <f t="shared" si="2"/>
        <v>84302</v>
      </c>
      <c r="L12" s="392">
        <f t="shared" si="3"/>
        <v>674309</v>
      </c>
      <c r="M12" s="392">
        <f t="shared" si="4"/>
        <v>225691</v>
      </c>
      <c r="N12" s="392"/>
      <c r="O12" s="392">
        <f t="shared" si="5"/>
        <v>0</v>
      </c>
      <c r="P12" s="392">
        <f t="shared" si="6"/>
        <v>225691</v>
      </c>
      <c r="Q12" s="392"/>
      <c r="R12" s="392"/>
      <c r="S12" s="392">
        <f t="shared" si="7"/>
        <v>0</v>
      </c>
      <c r="T12" s="392">
        <f t="shared" si="8"/>
        <v>0</v>
      </c>
      <c r="U12" s="392">
        <f t="shared" si="9"/>
        <v>0</v>
      </c>
      <c r="V12" s="392"/>
      <c r="W12" s="392">
        <f t="shared" si="0"/>
        <v>0</v>
      </c>
      <c r="X12" s="392"/>
      <c r="Y12" s="392"/>
      <c r="Z12" s="392"/>
      <c r="AA12" s="393"/>
      <c r="AB12" s="391" t="s">
        <v>420</v>
      </c>
      <c r="AC12" s="391">
        <v>810000</v>
      </c>
      <c r="AD12" s="601"/>
      <c r="AE12" s="601"/>
      <c r="AF12" s="601"/>
      <c r="AG12" s="601"/>
      <c r="AH12" s="601"/>
    </row>
    <row r="13" spans="1:34" s="394" customFormat="1" ht="42" customHeight="1">
      <c r="A13" s="391">
        <f t="shared" si="10"/>
        <v>9</v>
      </c>
      <c r="B13" s="390">
        <v>2034</v>
      </c>
      <c r="C13" s="391" t="s">
        <v>421</v>
      </c>
      <c r="D13" s="392">
        <v>3670000</v>
      </c>
      <c r="E13" s="392">
        <f>2515000+85000</f>
        <v>2600000</v>
      </c>
      <c r="F13" s="392">
        <f t="shared" si="1"/>
        <v>1070000</v>
      </c>
      <c r="G13" s="392">
        <v>2600000</v>
      </c>
      <c r="H13" s="392">
        <v>2148965</v>
      </c>
      <c r="I13" s="392">
        <v>0</v>
      </c>
      <c r="J13" s="392">
        <v>131126</v>
      </c>
      <c r="K13" s="392">
        <f t="shared" si="2"/>
        <v>131126</v>
      </c>
      <c r="L13" s="392">
        <f t="shared" si="3"/>
        <v>2280091</v>
      </c>
      <c r="M13" s="392">
        <f t="shared" si="4"/>
        <v>319909</v>
      </c>
      <c r="N13" s="392">
        <f>475000-75000</f>
        <v>400000</v>
      </c>
      <c r="O13" s="392">
        <f t="shared" si="5"/>
        <v>670000</v>
      </c>
      <c r="P13" s="392">
        <f t="shared" si="6"/>
        <v>319909</v>
      </c>
      <c r="Q13" s="392"/>
      <c r="R13" s="392"/>
      <c r="S13" s="392">
        <f t="shared" si="7"/>
        <v>0</v>
      </c>
      <c r="T13" s="392">
        <f t="shared" si="8"/>
        <v>0</v>
      </c>
      <c r="U13" s="392">
        <f t="shared" si="9"/>
        <v>400000</v>
      </c>
      <c r="V13" s="392"/>
      <c r="W13" s="392">
        <f t="shared" si="0"/>
        <v>0</v>
      </c>
      <c r="X13" s="392"/>
      <c r="Y13" s="392"/>
      <c r="Z13" s="392"/>
      <c r="AA13" s="393">
        <v>400000</v>
      </c>
      <c r="AB13" s="391" t="s">
        <v>1553</v>
      </c>
      <c r="AC13" s="391">
        <v>810000</v>
      </c>
      <c r="AD13" s="601"/>
      <c r="AE13" s="601"/>
      <c r="AF13" s="601"/>
      <c r="AG13" s="601"/>
      <c r="AH13" s="601"/>
    </row>
    <row r="14" spans="1:34" s="394" customFormat="1" ht="30" customHeight="1">
      <c r="A14" s="391">
        <f t="shared" si="10"/>
        <v>10</v>
      </c>
      <c r="B14" s="390">
        <v>2070</v>
      </c>
      <c r="C14" s="391" t="s">
        <v>422</v>
      </c>
      <c r="D14" s="392">
        <v>500000</v>
      </c>
      <c r="E14" s="392">
        <v>500000</v>
      </c>
      <c r="F14" s="392">
        <f t="shared" si="1"/>
        <v>0</v>
      </c>
      <c r="G14" s="392">
        <v>500000</v>
      </c>
      <c r="H14" s="392">
        <v>363008</v>
      </c>
      <c r="I14" s="392">
        <v>0</v>
      </c>
      <c r="J14" s="392">
        <v>49944</v>
      </c>
      <c r="K14" s="392">
        <f t="shared" si="2"/>
        <v>49944</v>
      </c>
      <c r="L14" s="392">
        <f t="shared" si="3"/>
        <v>412952</v>
      </c>
      <c r="M14" s="392">
        <f t="shared" si="4"/>
        <v>87048</v>
      </c>
      <c r="N14" s="392"/>
      <c r="O14" s="392">
        <f t="shared" si="5"/>
        <v>0</v>
      </c>
      <c r="P14" s="392">
        <f t="shared" si="6"/>
        <v>87048</v>
      </c>
      <c r="Q14" s="392"/>
      <c r="R14" s="392"/>
      <c r="S14" s="392">
        <f t="shared" si="7"/>
        <v>0</v>
      </c>
      <c r="T14" s="392">
        <f t="shared" si="8"/>
        <v>0</v>
      </c>
      <c r="U14" s="392">
        <f t="shared" si="9"/>
        <v>0</v>
      </c>
      <c r="V14" s="392"/>
      <c r="W14" s="392">
        <f t="shared" si="0"/>
        <v>0</v>
      </c>
      <c r="X14" s="392"/>
      <c r="Y14" s="392"/>
      <c r="Z14" s="392"/>
      <c r="AA14" s="393"/>
      <c r="AB14" s="391" t="s">
        <v>721</v>
      </c>
      <c r="AC14" s="391">
        <v>810000</v>
      </c>
      <c r="AD14" s="601"/>
      <c r="AE14" s="601"/>
      <c r="AF14" s="601"/>
      <c r="AG14" s="601"/>
      <c r="AH14" s="601"/>
    </row>
    <row r="15" spans="1:34" s="394" customFormat="1" ht="30" customHeight="1">
      <c r="A15" s="391">
        <f t="shared" si="10"/>
        <v>11</v>
      </c>
      <c r="B15" s="397">
        <v>2090</v>
      </c>
      <c r="C15" s="391" t="s">
        <v>425</v>
      </c>
      <c r="D15" s="392">
        <v>350000</v>
      </c>
      <c r="E15" s="392">
        <v>350000</v>
      </c>
      <c r="F15" s="392">
        <f t="shared" si="1"/>
        <v>0</v>
      </c>
      <c r="G15" s="392">
        <v>350000</v>
      </c>
      <c r="H15" s="392">
        <v>0</v>
      </c>
      <c r="I15" s="392">
        <v>0</v>
      </c>
      <c r="J15" s="392">
        <v>143099</v>
      </c>
      <c r="K15" s="392">
        <f t="shared" si="2"/>
        <v>143099</v>
      </c>
      <c r="L15" s="392">
        <f t="shared" si="3"/>
        <v>143099</v>
      </c>
      <c r="M15" s="392">
        <f t="shared" si="4"/>
        <v>206901</v>
      </c>
      <c r="N15" s="392"/>
      <c r="O15" s="392">
        <f t="shared" si="5"/>
        <v>0</v>
      </c>
      <c r="P15" s="392">
        <f t="shared" si="6"/>
        <v>206901</v>
      </c>
      <c r="Q15" s="392"/>
      <c r="R15" s="392"/>
      <c r="S15" s="392">
        <f t="shared" si="7"/>
        <v>0</v>
      </c>
      <c r="T15" s="392">
        <f t="shared" si="8"/>
        <v>0</v>
      </c>
      <c r="U15" s="392">
        <f t="shared" si="9"/>
        <v>0</v>
      </c>
      <c r="V15" s="392"/>
      <c r="W15" s="392">
        <f t="shared" si="0"/>
        <v>0</v>
      </c>
      <c r="X15" s="392"/>
      <c r="Y15" s="392"/>
      <c r="Z15" s="392"/>
      <c r="AA15" s="393"/>
      <c r="AB15" s="391" t="s">
        <v>1554</v>
      </c>
      <c r="AC15" s="391">
        <v>810000</v>
      </c>
      <c r="AD15" s="601"/>
      <c r="AE15" s="601"/>
      <c r="AF15" s="601"/>
      <c r="AG15" s="601"/>
      <c r="AH15" s="601"/>
    </row>
    <row r="16" spans="1:34" s="394" customFormat="1" ht="30" customHeight="1">
      <c r="A16" s="391">
        <f t="shared" si="10"/>
        <v>12</v>
      </c>
      <c r="B16" s="397">
        <v>2091</v>
      </c>
      <c r="C16" s="391" t="s">
        <v>426</v>
      </c>
      <c r="D16" s="392">
        <v>1500000</v>
      </c>
      <c r="E16" s="392">
        <v>1500000</v>
      </c>
      <c r="F16" s="392">
        <f t="shared" si="1"/>
        <v>0</v>
      </c>
      <c r="G16" s="392">
        <v>0</v>
      </c>
      <c r="H16" s="392">
        <v>0</v>
      </c>
      <c r="I16" s="392">
        <v>0</v>
      </c>
      <c r="J16" s="392">
        <v>0</v>
      </c>
      <c r="K16" s="392">
        <f t="shared" si="2"/>
        <v>0</v>
      </c>
      <c r="L16" s="392">
        <f t="shared" si="3"/>
        <v>0</v>
      </c>
      <c r="M16" s="392">
        <f t="shared" si="4"/>
        <v>0</v>
      </c>
      <c r="N16" s="392">
        <v>1200000</v>
      </c>
      <c r="O16" s="392">
        <f t="shared" si="5"/>
        <v>300000</v>
      </c>
      <c r="P16" s="392">
        <f t="shared" si="6"/>
        <v>0</v>
      </c>
      <c r="Q16" s="392"/>
      <c r="R16" s="392"/>
      <c r="S16" s="392">
        <f t="shared" si="7"/>
        <v>0</v>
      </c>
      <c r="T16" s="392">
        <f t="shared" si="8"/>
        <v>0</v>
      </c>
      <c r="U16" s="392">
        <f t="shared" si="9"/>
        <v>1200000</v>
      </c>
      <c r="V16" s="392"/>
      <c r="W16" s="392">
        <f t="shared" si="0"/>
        <v>0</v>
      </c>
      <c r="X16" s="392"/>
      <c r="Y16" s="392"/>
      <c r="Z16" s="392"/>
      <c r="AA16" s="393">
        <v>1200000</v>
      </c>
      <c r="AB16" s="391" t="s">
        <v>1418</v>
      </c>
      <c r="AC16" s="391">
        <v>810000</v>
      </c>
      <c r="AD16" s="601"/>
      <c r="AE16" s="601"/>
      <c r="AF16" s="601"/>
      <c r="AG16" s="601"/>
      <c r="AH16" s="601"/>
    </row>
    <row r="17" spans="1:34" s="394" customFormat="1" ht="30" customHeight="1">
      <c r="A17" s="391">
        <f t="shared" si="10"/>
        <v>13</v>
      </c>
      <c r="B17" s="397">
        <v>2092</v>
      </c>
      <c r="C17" s="391" t="s">
        <v>555</v>
      </c>
      <c r="D17" s="392">
        <v>4050720</v>
      </c>
      <c r="E17" s="392">
        <v>4050720</v>
      </c>
      <c r="F17" s="392">
        <f t="shared" si="1"/>
        <v>0</v>
      </c>
      <c r="G17" s="392">
        <v>4050720</v>
      </c>
      <c r="H17" s="392">
        <v>1703690</v>
      </c>
      <c r="I17" s="392">
        <v>1483152</v>
      </c>
      <c r="J17" s="392">
        <v>118081</v>
      </c>
      <c r="K17" s="392">
        <f t="shared" si="2"/>
        <v>1601233</v>
      </c>
      <c r="L17" s="392">
        <f t="shared" si="3"/>
        <v>3304923</v>
      </c>
      <c r="M17" s="392">
        <f t="shared" si="4"/>
        <v>745797</v>
      </c>
      <c r="N17" s="392"/>
      <c r="O17" s="392">
        <f t="shared" si="5"/>
        <v>0</v>
      </c>
      <c r="P17" s="392">
        <f t="shared" si="6"/>
        <v>745797</v>
      </c>
      <c r="Q17" s="392"/>
      <c r="R17" s="392"/>
      <c r="S17" s="392">
        <f t="shared" si="7"/>
        <v>0</v>
      </c>
      <c r="T17" s="392">
        <f t="shared" si="8"/>
        <v>0</v>
      </c>
      <c r="U17" s="392">
        <f t="shared" si="9"/>
        <v>0</v>
      </c>
      <c r="V17" s="392"/>
      <c r="W17" s="392">
        <f t="shared" si="0"/>
        <v>0</v>
      </c>
      <c r="X17" s="392"/>
      <c r="Y17" s="392"/>
      <c r="Z17" s="392"/>
      <c r="AA17" s="393"/>
      <c r="AB17" s="391" t="s">
        <v>556</v>
      </c>
      <c r="AC17" s="391">
        <v>810000</v>
      </c>
      <c r="AD17" s="601"/>
      <c r="AE17" s="601"/>
      <c r="AF17" s="601"/>
      <c r="AG17" s="601"/>
      <c r="AH17" s="601"/>
    </row>
    <row r="18" spans="1:34" s="394" customFormat="1" ht="30" customHeight="1">
      <c r="A18" s="391">
        <f t="shared" si="10"/>
        <v>14</v>
      </c>
      <c r="B18" s="397">
        <v>2135</v>
      </c>
      <c r="C18" s="391" t="s">
        <v>655</v>
      </c>
      <c r="D18" s="392">
        <v>23000000</v>
      </c>
      <c r="E18" s="392">
        <v>23000000</v>
      </c>
      <c r="F18" s="392">
        <f t="shared" si="1"/>
        <v>0</v>
      </c>
      <c r="G18" s="392">
        <v>0</v>
      </c>
      <c r="H18" s="392">
        <v>0</v>
      </c>
      <c r="I18" s="392">
        <v>0</v>
      </c>
      <c r="J18" s="392">
        <v>0</v>
      </c>
      <c r="K18" s="392">
        <f t="shared" si="2"/>
        <v>0</v>
      </c>
      <c r="L18" s="392">
        <f t="shared" si="3"/>
        <v>0</v>
      </c>
      <c r="M18" s="392">
        <f t="shared" si="4"/>
        <v>0</v>
      </c>
      <c r="N18" s="392"/>
      <c r="O18" s="392">
        <f t="shared" si="5"/>
        <v>23000000</v>
      </c>
      <c r="P18" s="392">
        <f t="shared" si="6"/>
        <v>0</v>
      </c>
      <c r="Q18" s="392"/>
      <c r="R18" s="392"/>
      <c r="S18" s="392">
        <f t="shared" si="7"/>
        <v>0</v>
      </c>
      <c r="T18" s="392">
        <f t="shared" si="8"/>
        <v>0</v>
      </c>
      <c r="U18" s="392">
        <f t="shared" si="9"/>
        <v>0</v>
      </c>
      <c r="V18" s="392"/>
      <c r="W18" s="392">
        <f t="shared" si="0"/>
        <v>0</v>
      </c>
      <c r="X18" s="392"/>
      <c r="Y18" s="392"/>
      <c r="Z18" s="392"/>
      <c r="AA18" s="393"/>
      <c r="AB18" s="391" t="s">
        <v>1435</v>
      </c>
      <c r="AC18" s="391">
        <v>810000</v>
      </c>
      <c r="AD18" s="601"/>
      <c r="AE18" s="601"/>
      <c r="AF18" s="601"/>
      <c r="AG18" s="601"/>
      <c r="AH18" s="601"/>
    </row>
    <row r="19" spans="1:34" s="394" customFormat="1" ht="42">
      <c r="A19" s="391">
        <f t="shared" si="10"/>
        <v>15</v>
      </c>
      <c r="B19" s="397">
        <v>2159</v>
      </c>
      <c r="C19" s="391" t="s">
        <v>739</v>
      </c>
      <c r="D19" s="392">
        <v>200000</v>
      </c>
      <c r="E19" s="392">
        <v>200000</v>
      </c>
      <c r="F19" s="392">
        <f t="shared" si="1"/>
        <v>0</v>
      </c>
      <c r="G19" s="392">
        <v>200000</v>
      </c>
      <c r="H19" s="392">
        <v>24396</v>
      </c>
      <c r="I19" s="392">
        <v>0</v>
      </c>
      <c r="J19" s="392">
        <v>81338</v>
      </c>
      <c r="K19" s="392">
        <f t="shared" si="2"/>
        <v>81338</v>
      </c>
      <c r="L19" s="392">
        <f t="shared" si="3"/>
        <v>105734</v>
      </c>
      <c r="M19" s="392">
        <f t="shared" si="4"/>
        <v>94266</v>
      </c>
      <c r="N19" s="392"/>
      <c r="O19" s="392">
        <f t="shared" si="5"/>
        <v>0</v>
      </c>
      <c r="P19" s="392">
        <f t="shared" si="6"/>
        <v>94266</v>
      </c>
      <c r="Q19" s="392"/>
      <c r="R19" s="392"/>
      <c r="S19" s="392">
        <f t="shared" si="7"/>
        <v>0</v>
      </c>
      <c r="T19" s="392">
        <f t="shared" si="8"/>
        <v>0</v>
      </c>
      <c r="U19" s="392">
        <f t="shared" si="9"/>
        <v>0</v>
      </c>
      <c r="V19" s="392"/>
      <c r="W19" s="392">
        <f t="shared" si="0"/>
        <v>0</v>
      </c>
      <c r="X19" s="392"/>
      <c r="Y19" s="392"/>
      <c r="Z19" s="392"/>
      <c r="AA19" s="393"/>
      <c r="AB19" s="391" t="s">
        <v>740</v>
      </c>
      <c r="AC19" s="391">
        <v>810000</v>
      </c>
      <c r="AD19" s="601"/>
      <c r="AE19" s="601"/>
      <c r="AF19" s="601"/>
      <c r="AG19" s="601"/>
      <c r="AH19" s="601"/>
    </row>
    <row r="20" spans="1:34" s="394" customFormat="1" ht="30" customHeight="1">
      <c r="A20" s="391">
        <f t="shared" si="10"/>
        <v>16</v>
      </c>
      <c r="B20" s="397">
        <v>2160</v>
      </c>
      <c r="C20" s="391" t="s">
        <v>741</v>
      </c>
      <c r="D20" s="392">
        <v>180000</v>
      </c>
      <c r="E20" s="392">
        <v>180000</v>
      </c>
      <c r="F20" s="392">
        <f t="shared" si="1"/>
        <v>0</v>
      </c>
      <c r="G20" s="392">
        <v>0</v>
      </c>
      <c r="H20" s="392">
        <v>0</v>
      </c>
      <c r="I20" s="392">
        <v>0</v>
      </c>
      <c r="J20" s="392">
        <v>0</v>
      </c>
      <c r="K20" s="392">
        <f t="shared" si="2"/>
        <v>0</v>
      </c>
      <c r="L20" s="392">
        <f t="shared" si="3"/>
        <v>0</v>
      </c>
      <c r="M20" s="392">
        <f t="shared" si="4"/>
        <v>0</v>
      </c>
      <c r="N20" s="392">
        <f>180000-180000</f>
        <v>0</v>
      </c>
      <c r="O20" s="392">
        <f t="shared" si="5"/>
        <v>180000</v>
      </c>
      <c r="P20" s="392">
        <f t="shared" si="6"/>
        <v>0</v>
      </c>
      <c r="Q20" s="392"/>
      <c r="R20" s="392"/>
      <c r="S20" s="392">
        <f t="shared" si="7"/>
        <v>0</v>
      </c>
      <c r="T20" s="392">
        <f t="shared" si="8"/>
        <v>0</v>
      </c>
      <c r="U20" s="392">
        <f t="shared" si="9"/>
        <v>0</v>
      </c>
      <c r="V20" s="392"/>
      <c r="W20" s="392">
        <f t="shared" si="0"/>
        <v>0</v>
      </c>
      <c r="X20" s="392"/>
      <c r="Y20" s="392"/>
      <c r="Z20" s="392"/>
      <c r="AA20" s="393"/>
      <c r="AB20" s="391" t="s">
        <v>742</v>
      </c>
      <c r="AC20" s="391">
        <v>810000</v>
      </c>
      <c r="AD20" s="601"/>
      <c r="AE20" s="601"/>
      <c r="AF20" s="601"/>
      <c r="AG20" s="601"/>
      <c r="AH20" s="601"/>
    </row>
    <row r="21" spans="1:34" s="394" customFormat="1" ht="30" customHeight="1">
      <c r="A21" s="391">
        <f t="shared" si="10"/>
        <v>17</v>
      </c>
      <c r="B21" s="397">
        <v>2161</v>
      </c>
      <c r="C21" s="391" t="s">
        <v>850</v>
      </c>
      <c r="D21" s="392">
        <v>180000</v>
      </c>
      <c r="E21" s="392">
        <v>180000</v>
      </c>
      <c r="F21" s="392">
        <f t="shared" si="1"/>
        <v>0</v>
      </c>
      <c r="G21" s="392">
        <v>180000</v>
      </c>
      <c r="H21" s="392">
        <v>7419</v>
      </c>
      <c r="I21" s="392">
        <v>0</v>
      </c>
      <c r="J21" s="392">
        <v>119726</v>
      </c>
      <c r="K21" s="392">
        <f t="shared" si="2"/>
        <v>119726</v>
      </c>
      <c r="L21" s="392">
        <f t="shared" si="3"/>
        <v>127145</v>
      </c>
      <c r="M21" s="392">
        <f t="shared" si="4"/>
        <v>52855</v>
      </c>
      <c r="N21" s="392"/>
      <c r="O21" s="392">
        <f t="shared" si="5"/>
        <v>0</v>
      </c>
      <c r="P21" s="392">
        <f t="shared" si="6"/>
        <v>52855</v>
      </c>
      <c r="Q21" s="392"/>
      <c r="R21" s="392"/>
      <c r="S21" s="392">
        <f t="shared" si="7"/>
        <v>0</v>
      </c>
      <c r="T21" s="392">
        <f t="shared" si="8"/>
        <v>0</v>
      </c>
      <c r="U21" s="392">
        <f t="shared" si="9"/>
        <v>0</v>
      </c>
      <c r="V21" s="392"/>
      <c r="W21" s="392">
        <f t="shared" si="0"/>
        <v>0</v>
      </c>
      <c r="X21" s="392"/>
      <c r="Y21" s="392"/>
      <c r="Z21" s="392"/>
      <c r="AA21" s="393"/>
      <c r="AB21" s="391" t="s">
        <v>909</v>
      </c>
      <c r="AC21" s="391">
        <v>810000</v>
      </c>
      <c r="AD21" s="601"/>
      <c r="AE21" s="601"/>
      <c r="AF21" s="601"/>
      <c r="AG21" s="601"/>
      <c r="AH21" s="601"/>
    </row>
    <row r="22" spans="1:34" s="394" customFormat="1" ht="30" customHeight="1">
      <c r="A22" s="391">
        <f t="shared" si="10"/>
        <v>18</v>
      </c>
      <c r="B22" s="397">
        <v>2179</v>
      </c>
      <c r="C22" s="391" t="s">
        <v>1304</v>
      </c>
      <c r="D22" s="392">
        <v>460000</v>
      </c>
      <c r="E22" s="392">
        <v>460000</v>
      </c>
      <c r="F22" s="392">
        <f t="shared" si="1"/>
        <v>0</v>
      </c>
      <c r="G22" s="392">
        <v>460000</v>
      </c>
      <c r="H22" s="392">
        <v>0</v>
      </c>
      <c r="I22" s="392">
        <v>0</v>
      </c>
      <c r="J22" s="392">
        <v>250178</v>
      </c>
      <c r="K22" s="392">
        <f t="shared" si="2"/>
        <v>250178</v>
      </c>
      <c r="L22" s="392">
        <f t="shared" si="3"/>
        <v>250178</v>
      </c>
      <c r="M22" s="392">
        <f t="shared" si="4"/>
        <v>209822</v>
      </c>
      <c r="N22" s="392"/>
      <c r="O22" s="392">
        <f t="shared" si="5"/>
        <v>0</v>
      </c>
      <c r="P22" s="392">
        <f t="shared" si="6"/>
        <v>209822</v>
      </c>
      <c r="Q22" s="392"/>
      <c r="R22" s="392"/>
      <c r="S22" s="392">
        <f t="shared" si="7"/>
        <v>0</v>
      </c>
      <c r="T22" s="392">
        <f t="shared" si="8"/>
        <v>0</v>
      </c>
      <c r="U22" s="392">
        <f t="shared" si="9"/>
        <v>0</v>
      </c>
      <c r="V22" s="392"/>
      <c r="W22" s="392">
        <f t="shared" si="0"/>
        <v>0</v>
      </c>
      <c r="X22" s="392"/>
      <c r="Y22" s="392"/>
      <c r="Z22" s="392"/>
      <c r="AA22" s="393"/>
      <c r="AB22" s="391" t="s">
        <v>1305</v>
      </c>
      <c r="AC22" s="391">
        <v>810000</v>
      </c>
      <c r="AD22" s="601"/>
      <c r="AE22" s="601"/>
      <c r="AF22" s="601"/>
      <c r="AG22" s="601"/>
      <c r="AH22" s="601"/>
    </row>
    <row r="23" spans="1:34" s="394" customFormat="1" ht="42">
      <c r="A23" s="391">
        <f>A22+1</f>
        <v>19</v>
      </c>
      <c r="B23" s="397">
        <v>2217</v>
      </c>
      <c r="C23" s="391" t="s">
        <v>1306</v>
      </c>
      <c r="D23" s="392">
        <v>1210000</v>
      </c>
      <c r="E23" s="392"/>
      <c r="F23" s="392">
        <f>D23-E23</f>
        <v>1210000</v>
      </c>
      <c r="G23" s="392">
        <v>0</v>
      </c>
      <c r="H23" s="392">
        <v>0</v>
      </c>
      <c r="I23" s="392">
        <v>0</v>
      </c>
      <c r="J23" s="392">
        <v>0</v>
      </c>
      <c r="K23" s="392">
        <f>I23+J23</f>
        <v>0</v>
      </c>
      <c r="L23" s="392">
        <f>H23+K23</f>
        <v>0</v>
      </c>
      <c r="M23" s="392">
        <f>P23+S23</f>
        <v>0</v>
      </c>
      <c r="N23" s="392">
        <v>1210000</v>
      </c>
      <c r="O23" s="392">
        <f>D23-M23-N23-L23</f>
        <v>0</v>
      </c>
      <c r="P23" s="392">
        <f>G23-L23</f>
        <v>0</v>
      </c>
      <c r="Q23" s="392"/>
      <c r="R23" s="392"/>
      <c r="S23" s="392">
        <f>SUM(Q23:R23)</f>
        <v>0</v>
      </c>
      <c r="T23" s="392">
        <f>P23-M23+S23</f>
        <v>0</v>
      </c>
      <c r="U23" s="392">
        <f>N23-T23</f>
        <v>1210000</v>
      </c>
      <c r="V23" s="392"/>
      <c r="W23" s="392">
        <f>U23-V23-Z23-AA23</f>
        <v>950000</v>
      </c>
      <c r="X23" s="392"/>
      <c r="Y23" s="392"/>
      <c r="Z23" s="392"/>
      <c r="AA23" s="392">
        <f>2*26000+3*26000+5*26000</f>
        <v>260000</v>
      </c>
      <c r="AB23" s="391" t="s">
        <v>1436</v>
      </c>
      <c r="AC23" s="391">
        <v>810000</v>
      </c>
      <c r="AD23" s="601"/>
      <c r="AE23" s="601"/>
      <c r="AF23" s="601"/>
      <c r="AG23" s="601"/>
      <c r="AH23" s="601"/>
    </row>
    <row r="24" spans="1:34" s="394" customFormat="1" ht="30" customHeight="1">
      <c r="A24" s="391">
        <f>A23+1</f>
        <v>20</v>
      </c>
      <c r="B24" s="397">
        <v>2218</v>
      </c>
      <c r="C24" s="391" t="s">
        <v>1307</v>
      </c>
      <c r="D24" s="392">
        <v>2300000</v>
      </c>
      <c r="E24" s="392"/>
      <c r="F24" s="392">
        <f>D24-E24</f>
        <v>2300000</v>
      </c>
      <c r="G24" s="392">
        <v>0</v>
      </c>
      <c r="H24" s="392">
        <v>0</v>
      </c>
      <c r="I24" s="392">
        <v>0</v>
      </c>
      <c r="J24" s="392">
        <v>0</v>
      </c>
      <c r="K24" s="392">
        <f>I24+J24</f>
        <v>0</v>
      </c>
      <c r="L24" s="392">
        <f>H24+K24</f>
        <v>0</v>
      </c>
      <c r="M24" s="392">
        <f>P24+S24</f>
        <v>0</v>
      </c>
      <c r="N24" s="392">
        <f>2300000-300000-500000</f>
        <v>1500000</v>
      </c>
      <c r="O24" s="392">
        <f>D24-M24-N24-L24</f>
        <v>800000</v>
      </c>
      <c r="P24" s="392">
        <f>G24-L24</f>
        <v>0</v>
      </c>
      <c r="Q24" s="392"/>
      <c r="R24" s="392"/>
      <c r="S24" s="392">
        <f>SUM(Q24:R24)</f>
        <v>0</v>
      </c>
      <c r="T24" s="392">
        <f>P24-M24+S24</f>
        <v>0</v>
      </c>
      <c r="U24" s="392">
        <f>N24-T24</f>
        <v>1500000</v>
      </c>
      <c r="V24" s="392"/>
      <c r="W24" s="392">
        <f>U24-V24-Z24-AA24</f>
        <v>900000</v>
      </c>
      <c r="X24" s="392"/>
      <c r="Y24" s="392"/>
      <c r="Z24" s="392"/>
      <c r="AA24" s="392">
        <v>600000</v>
      </c>
      <c r="AB24" s="391" t="s">
        <v>1417</v>
      </c>
      <c r="AC24" s="391">
        <v>810000</v>
      </c>
      <c r="AD24" s="601"/>
      <c r="AE24" s="601"/>
      <c r="AF24" s="601"/>
      <c r="AG24" s="601"/>
      <c r="AH24" s="601"/>
    </row>
    <row r="25" spans="1:34" s="394" customFormat="1" ht="30" customHeight="1">
      <c r="A25" s="391">
        <f>A24+1</f>
        <v>21</v>
      </c>
      <c r="B25" s="397">
        <v>2219</v>
      </c>
      <c r="C25" s="391" t="s">
        <v>1308</v>
      </c>
      <c r="D25" s="392">
        <v>750000</v>
      </c>
      <c r="E25" s="392"/>
      <c r="F25" s="392">
        <f>D25-E25</f>
        <v>750000</v>
      </c>
      <c r="G25" s="392">
        <v>0</v>
      </c>
      <c r="H25" s="392">
        <v>0</v>
      </c>
      <c r="I25" s="392">
        <v>0</v>
      </c>
      <c r="J25" s="392">
        <v>0</v>
      </c>
      <c r="K25" s="392">
        <f>I25+J25</f>
        <v>0</v>
      </c>
      <c r="L25" s="392">
        <f>H25+K25</f>
        <v>0</v>
      </c>
      <c r="M25" s="392">
        <f>P25+S25</f>
        <v>0</v>
      </c>
      <c r="N25" s="392">
        <f>750000-70000</f>
        <v>680000</v>
      </c>
      <c r="O25" s="392">
        <f>D25-M25-N25-L25</f>
        <v>70000</v>
      </c>
      <c r="P25" s="392">
        <f>G25-L25</f>
        <v>0</v>
      </c>
      <c r="Q25" s="392"/>
      <c r="R25" s="392"/>
      <c r="S25" s="392">
        <f>SUM(Q25:R25)</f>
        <v>0</v>
      </c>
      <c r="T25" s="392">
        <f>P25-M25+S25</f>
        <v>0</v>
      </c>
      <c r="U25" s="392">
        <f>N25-T25</f>
        <v>680000</v>
      </c>
      <c r="V25" s="392"/>
      <c r="W25" s="392">
        <f>U25-V25-Z25-AA25</f>
        <v>680000</v>
      </c>
      <c r="X25" s="392"/>
      <c r="Y25" s="392"/>
      <c r="Z25" s="392"/>
      <c r="AA25" s="392"/>
      <c r="AB25" s="391" t="s">
        <v>1309</v>
      </c>
      <c r="AC25" s="391">
        <v>810000</v>
      </c>
      <c r="AD25" s="601"/>
      <c r="AE25" s="601"/>
      <c r="AF25" s="601"/>
      <c r="AG25" s="601"/>
      <c r="AH25" s="601"/>
    </row>
    <row r="26" spans="1:34" s="608" customFormat="1" ht="30" customHeight="1">
      <c r="A26" s="606">
        <f>A25</f>
        <v>21</v>
      </c>
      <c r="B26" s="606"/>
      <c r="C26" s="401" t="s">
        <v>963</v>
      </c>
      <c r="D26" s="607">
        <f t="shared" ref="D26:AA26" si="11">SUM(D5:D25)</f>
        <v>44987720</v>
      </c>
      <c r="E26" s="607">
        <f t="shared" si="11"/>
        <v>38052720</v>
      </c>
      <c r="F26" s="607">
        <f t="shared" si="11"/>
        <v>6935000</v>
      </c>
      <c r="G26" s="607">
        <f t="shared" si="11"/>
        <v>12832720</v>
      </c>
      <c r="H26" s="607">
        <f t="shared" si="11"/>
        <v>7611002</v>
      </c>
      <c r="I26" s="607">
        <f t="shared" si="11"/>
        <v>1483152</v>
      </c>
      <c r="J26" s="607">
        <f t="shared" si="11"/>
        <v>1293005</v>
      </c>
      <c r="K26" s="607">
        <f t="shared" si="11"/>
        <v>2776157</v>
      </c>
      <c r="L26" s="607">
        <f t="shared" si="11"/>
        <v>10387159</v>
      </c>
      <c r="M26" s="607">
        <f t="shared" si="11"/>
        <v>2445561</v>
      </c>
      <c r="N26" s="607">
        <f t="shared" si="11"/>
        <v>6320000</v>
      </c>
      <c r="O26" s="607">
        <f t="shared" si="11"/>
        <v>25835000</v>
      </c>
      <c r="P26" s="607">
        <f t="shared" si="11"/>
        <v>2445561</v>
      </c>
      <c r="Q26" s="607">
        <f t="shared" si="11"/>
        <v>0</v>
      </c>
      <c r="R26" s="607">
        <f t="shared" si="11"/>
        <v>0</v>
      </c>
      <c r="S26" s="607">
        <f t="shared" si="11"/>
        <v>0</v>
      </c>
      <c r="T26" s="607">
        <f t="shared" si="11"/>
        <v>0</v>
      </c>
      <c r="U26" s="607">
        <f t="shared" si="11"/>
        <v>6320000</v>
      </c>
      <c r="V26" s="607">
        <f t="shared" si="11"/>
        <v>0</v>
      </c>
      <c r="W26" s="607">
        <f t="shared" si="11"/>
        <v>3496000</v>
      </c>
      <c r="X26" s="607">
        <f t="shared" si="11"/>
        <v>0</v>
      </c>
      <c r="Y26" s="607">
        <f t="shared" si="11"/>
        <v>0</v>
      </c>
      <c r="Z26" s="607">
        <f t="shared" si="11"/>
        <v>0</v>
      </c>
      <c r="AA26" s="607">
        <f t="shared" si="11"/>
        <v>2824000</v>
      </c>
      <c r="AB26" s="607"/>
      <c r="AC26" s="606"/>
      <c r="AD26" s="601"/>
      <c r="AE26" s="601"/>
      <c r="AF26" s="601"/>
      <c r="AG26" s="601"/>
      <c r="AH26" s="601"/>
    </row>
    <row r="27" spans="1:34" hidden="1">
      <c r="L27" s="400">
        <f>K26+H26</f>
        <v>10387159</v>
      </c>
      <c r="P27" s="400">
        <f>G26-L27</f>
        <v>2445561</v>
      </c>
    </row>
  </sheetData>
  <sheetProtection formatCells="0" formatColumns="0" formatRows="0" insertColumns="0" insertRows="0" insertHyperlinks="0" deleteColumns="0" deleteRows="0" sort="0" autoFilter="0" pivotTables="0"/>
  <conditionalFormatting sqref="A1:W2 AI1:XFD2 Z1:AC1 Z2:AA2 AC2 AD1:AH1048576">
    <cfRule type="cellIs" dxfId="228" priority="9" operator="equal">
      <formula>0</formula>
    </cfRule>
  </conditionalFormatting>
  <conditionalFormatting sqref="AB4">
    <cfRule type="cellIs" dxfId="227" priority="8" operator="equal">
      <formula>0</formula>
    </cfRule>
  </conditionalFormatting>
  <conditionalFormatting sqref="X1:X2">
    <cfRule type="cellIs" dxfId="226" priority="7" operator="equal">
      <formula>0</formula>
    </cfRule>
  </conditionalFormatting>
  <conditionalFormatting sqref="AB2">
    <cfRule type="cellIs" dxfId="225" priority="3" operator="equal">
      <formula>0</formula>
    </cfRule>
  </conditionalFormatting>
  <conditionalFormatting sqref="Y1:Y2">
    <cfRule type="cellIs" dxfId="224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7"/>
  <sheetViews>
    <sheetView showZeros="0" rightToLeft="1" zoomScaleNormal="100" workbookViewId="0">
      <pane xSplit="3" ySplit="4" topLeftCell="D5" activePane="bottomRight" state="frozen"/>
      <selection activeCell="C44" sqref="C44"/>
      <selection pane="topRight" activeCell="C44" sqref="C44"/>
      <selection pane="bottomLeft" activeCell="C44" sqref="C44"/>
      <selection pane="bottomRight" activeCell="A7" sqref="A7:XFD7"/>
    </sheetView>
  </sheetViews>
  <sheetFormatPr defaultColWidth="8.54296875" defaultRowHeight="14"/>
  <cols>
    <col min="1" max="1" width="3.1796875" style="398" customWidth="1"/>
    <col min="2" max="2" width="4.54296875" style="398" customWidth="1"/>
    <col min="3" max="3" width="25" style="399" customWidth="1"/>
    <col min="4" max="4" width="11.1796875" style="400" customWidth="1"/>
    <col min="5" max="5" width="10.453125" style="400" hidden="1" customWidth="1"/>
    <col min="6" max="6" width="8.90625" style="400" hidden="1" customWidth="1"/>
    <col min="7" max="7" width="11.08984375" style="400" hidden="1" customWidth="1"/>
    <col min="8" max="11" width="8.90625" style="400" hidden="1" customWidth="1"/>
    <col min="12" max="14" width="8.90625" style="400" customWidth="1"/>
    <col min="15" max="15" width="10.453125" style="400" customWidth="1"/>
    <col min="16" max="19" width="8.90625" style="400" hidden="1" customWidth="1"/>
    <col min="20" max="20" width="6.54296875" style="400" customWidth="1"/>
    <col min="21" max="23" width="8.90625" style="398" customWidth="1"/>
    <col min="24" max="26" width="8.90625" style="398" hidden="1" customWidth="1"/>
    <col min="27" max="27" width="8.90625" style="398" customWidth="1"/>
    <col min="28" max="28" width="33.81640625" style="399" customWidth="1"/>
    <col min="29" max="29" width="7.453125" style="398" hidden="1" customWidth="1"/>
    <col min="30" max="30" width="8.90625" style="601" customWidth="1"/>
    <col min="31" max="31" width="12.6328125" style="601" customWidth="1"/>
    <col min="32" max="32" width="18.54296875" style="601" customWidth="1"/>
    <col min="33" max="33" width="8.54296875" style="601" customWidth="1"/>
    <col min="34" max="34" width="9" style="601" bestFit="1" customWidth="1"/>
    <col min="35" max="16384" width="8.54296875" style="398"/>
  </cols>
  <sheetData>
    <row r="1" spans="1:34" s="602" customFormat="1" ht="13.25" customHeight="1">
      <c r="A1" s="596"/>
      <c r="B1" s="596"/>
      <c r="C1" s="597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8"/>
      <c r="Y1" s="598"/>
      <c r="Z1" s="598"/>
      <c r="AA1" s="599"/>
      <c r="AB1" s="600"/>
      <c r="AC1" s="599"/>
      <c r="AD1" s="601"/>
      <c r="AE1" s="601"/>
      <c r="AF1" s="601"/>
      <c r="AG1" s="601"/>
      <c r="AH1" s="601"/>
    </row>
    <row r="2" spans="1:34" s="602" customFormat="1" ht="18">
      <c r="A2" s="596" t="s">
        <v>323</v>
      </c>
      <c r="B2" s="596"/>
      <c r="C2" s="597"/>
      <c r="D2" s="596"/>
      <c r="E2" s="603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</row>
    <row r="3" spans="1:34" ht="20.399999999999999" customHeight="1"/>
    <row r="4" spans="1:34" s="396" customFormat="1" ht="86.25" customHeight="1">
      <c r="A4" s="163" t="s">
        <v>0</v>
      </c>
      <c r="B4" s="395" t="s">
        <v>1</v>
      </c>
      <c r="C4" s="395" t="s">
        <v>2</v>
      </c>
      <c r="D4" s="395" t="s">
        <v>3</v>
      </c>
      <c r="E4" s="395" t="s">
        <v>4</v>
      </c>
      <c r="F4" s="395" t="s">
        <v>5</v>
      </c>
      <c r="G4" s="395" t="s">
        <v>6</v>
      </c>
      <c r="H4" s="395" t="s">
        <v>7</v>
      </c>
      <c r="I4" s="395" t="s">
        <v>9</v>
      </c>
      <c r="J4" s="395" t="s">
        <v>178</v>
      </c>
      <c r="K4" s="395" t="s">
        <v>10</v>
      </c>
      <c r="L4" s="395" t="s">
        <v>11</v>
      </c>
      <c r="M4" s="2" t="s">
        <v>936</v>
      </c>
      <c r="N4" s="395" t="s">
        <v>937</v>
      </c>
      <c r="O4" s="395" t="s">
        <v>938</v>
      </c>
      <c r="P4" s="395" t="s">
        <v>12</v>
      </c>
      <c r="Q4" s="395" t="s">
        <v>939</v>
      </c>
      <c r="R4" s="395" t="s">
        <v>940</v>
      </c>
      <c r="S4" s="395" t="s">
        <v>941</v>
      </c>
      <c r="T4" s="395" t="s">
        <v>942</v>
      </c>
      <c r="U4" s="559" t="s">
        <v>943</v>
      </c>
      <c r="V4" s="395" t="s">
        <v>13</v>
      </c>
      <c r="W4" s="395" t="s">
        <v>14</v>
      </c>
      <c r="X4" s="395" t="s">
        <v>15</v>
      </c>
      <c r="Y4" s="395" t="s">
        <v>301</v>
      </c>
      <c r="Z4" s="395" t="s">
        <v>1391</v>
      </c>
      <c r="AA4" s="395" t="s">
        <v>91</v>
      </c>
      <c r="AB4" s="604" t="s">
        <v>344</v>
      </c>
      <c r="AC4" s="395" t="s">
        <v>16</v>
      </c>
      <c r="AD4" s="601"/>
      <c r="AE4" s="601"/>
      <c r="AF4" s="601"/>
      <c r="AG4" s="601"/>
      <c r="AH4" s="601"/>
    </row>
    <row r="5" spans="1:34" s="394" customFormat="1" ht="56">
      <c r="A5" s="391">
        <v>1</v>
      </c>
      <c r="B5" s="391">
        <f>'תקציב אגף חינוך 2021 '!B5</f>
        <v>1776</v>
      </c>
      <c r="C5" s="635" t="str">
        <f>'תקציב אגף חינוך 2021 '!C5</f>
        <v>הצטידות כיתות חדשות בי"ס</v>
      </c>
      <c r="D5" s="392">
        <f>'תקציב אגף חינוך 2021 '!D5</f>
        <v>2100000</v>
      </c>
      <c r="E5" s="392">
        <f>'תקציב אגף חינוך 2021 '!E5</f>
        <v>1255000</v>
      </c>
      <c r="F5" s="392">
        <f>'תקציב אגף חינוך 2021 '!F5</f>
        <v>845000</v>
      </c>
      <c r="G5" s="392">
        <f>'תקציב אגף חינוך 2021 '!G5</f>
        <v>1255000</v>
      </c>
      <c r="H5" s="392">
        <f>'תקציב אגף חינוך 2021 '!H5</f>
        <v>993388</v>
      </c>
      <c r="I5" s="392">
        <f>'תקציב אגף חינוך 2021 '!I5</f>
        <v>0</v>
      </c>
      <c r="J5" s="392">
        <f>'תקציב אגף חינוך 2021 '!J5</f>
        <v>113314</v>
      </c>
      <c r="K5" s="392">
        <f>'תקציב אגף חינוך 2021 '!K5</f>
        <v>113314</v>
      </c>
      <c r="L5" s="392">
        <f>'תקציב אגף חינוך 2021 '!L5</f>
        <v>1106702</v>
      </c>
      <c r="M5" s="392">
        <f>'תקציב אגף חינוך 2021 '!M5</f>
        <v>148298</v>
      </c>
      <c r="N5" s="392">
        <f>'תקציב אגף חינוך 2021 '!N5</f>
        <v>600000</v>
      </c>
      <c r="O5" s="392">
        <f>'תקציב אגף חינוך 2021 '!O5</f>
        <v>245000</v>
      </c>
      <c r="P5" s="392">
        <f>'תקציב אגף חינוך 2021 '!P5</f>
        <v>148298</v>
      </c>
      <c r="Q5" s="392">
        <f>'תקציב אגף חינוך 2021 '!Q5</f>
        <v>0</v>
      </c>
      <c r="R5" s="392">
        <f>'תקציב אגף חינוך 2021 '!R5</f>
        <v>0</v>
      </c>
      <c r="S5" s="392">
        <f>'תקציב אגף חינוך 2021 '!S5</f>
        <v>0</v>
      </c>
      <c r="T5" s="392">
        <f>'תקציב אגף חינוך 2021 '!T5</f>
        <v>0</v>
      </c>
      <c r="U5" s="392">
        <f>'תקציב אגף חינוך 2021 '!U5</f>
        <v>600000</v>
      </c>
      <c r="V5" s="392">
        <f>'תקציב אגף חינוך 2021 '!V5</f>
        <v>0</v>
      </c>
      <c r="W5" s="392">
        <f>'תקציב אגף חינוך 2021 '!W5</f>
        <v>600000</v>
      </c>
      <c r="X5" s="392">
        <f>'תקציב אגף חינוך 2021 '!X5</f>
        <v>0</v>
      </c>
      <c r="Y5" s="392">
        <f>'תקציב אגף חינוך 2021 '!Y5</f>
        <v>0</v>
      </c>
      <c r="Z5" s="392">
        <f>'תקציב אגף חינוך 2021 '!Z5</f>
        <v>0</v>
      </c>
      <c r="AA5" s="392">
        <f>'תקציב אגף חינוך 2021 '!AA5</f>
        <v>0</v>
      </c>
      <c r="AB5" s="636" t="str">
        <f>'תקציב אגף חינוך 2021 '!AB5</f>
        <v>הצטיידות חדשה: כיתות חדשות בעקבות גידול עפ"י צפי במס' תלמידים ופתיחת כיתות במקום החדש , שיפוץ כיתות קיימות בביצוע אגף תבל. סל מסגרת.</v>
      </c>
      <c r="AC5" s="391">
        <f>'תקציב אגף חינוך 2021 '!AC5</f>
        <v>810000</v>
      </c>
      <c r="AD5" s="601"/>
      <c r="AE5" s="605"/>
      <c r="AF5" s="601"/>
      <c r="AG5" s="601"/>
      <c r="AH5" s="601"/>
    </row>
    <row r="6" spans="1:34" s="394" customFormat="1" ht="28">
      <c r="A6" s="391">
        <f>A5+1</f>
        <v>2</v>
      </c>
      <c r="B6" s="391">
        <f>'תקציב אגף חינוך 2021 '!B6</f>
        <v>1828</v>
      </c>
      <c r="C6" s="635" t="str">
        <f>'תקציב אגף חינוך 2021 '!C6</f>
        <v>הנגשת כיתות ליקויי שמיעה (מ.החינוך)</v>
      </c>
      <c r="D6" s="392">
        <f>'תקציב אגף חינוך 2021 '!D6</f>
        <v>240000</v>
      </c>
      <c r="E6" s="392">
        <f>'תקציב אגף חינוך 2021 '!E6</f>
        <v>240000</v>
      </c>
      <c r="F6" s="392">
        <f>'תקציב אגף חינוך 2021 '!F6</f>
        <v>0</v>
      </c>
      <c r="G6" s="392">
        <f>'תקציב אגף חינוך 2021 '!G6</f>
        <v>240000</v>
      </c>
      <c r="H6" s="392">
        <f>'תקציב אגף חינוך 2021 '!H6</f>
        <v>188718</v>
      </c>
      <c r="I6" s="392">
        <f>'תקציב אגף חינוך 2021 '!I6</f>
        <v>0</v>
      </c>
      <c r="J6" s="392">
        <f>'תקציב אגף חינוך 2021 '!J6</f>
        <v>0</v>
      </c>
      <c r="K6" s="392">
        <f>'תקציב אגף חינוך 2021 '!K6</f>
        <v>0</v>
      </c>
      <c r="L6" s="392">
        <f>'תקציב אגף חינוך 2021 '!L6</f>
        <v>188718</v>
      </c>
      <c r="M6" s="392">
        <f>'תקציב אגף חינוך 2021 '!M6</f>
        <v>51282</v>
      </c>
      <c r="N6" s="392">
        <f>'תקציב אגף חינוך 2021 '!N6</f>
        <v>0</v>
      </c>
      <c r="O6" s="392">
        <f>'תקציב אגף חינוך 2021 '!O6</f>
        <v>0</v>
      </c>
      <c r="P6" s="392">
        <f>'תקציב אגף חינוך 2021 '!P6</f>
        <v>51282</v>
      </c>
      <c r="Q6" s="392">
        <f>'תקציב אגף חינוך 2021 '!Q6</f>
        <v>0</v>
      </c>
      <c r="R6" s="392">
        <f>'תקציב אגף חינוך 2021 '!R6</f>
        <v>0</v>
      </c>
      <c r="S6" s="392">
        <f>'תקציב אגף חינוך 2021 '!S6</f>
        <v>0</v>
      </c>
      <c r="T6" s="392">
        <f>'תקציב אגף חינוך 2021 '!T6</f>
        <v>0</v>
      </c>
      <c r="U6" s="392">
        <f>'תקציב אגף חינוך 2021 '!U6</f>
        <v>0</v>
      </c>
      <c r="V6" s="392">
        <f>'תקציב אגף חינוך 2021 '!V6</f>
        <v>0</v>
      </c>
      <c r="W6" s="392">
        <f>'תקציב אגף חינוך 2021 '!W6</f>
        <v>0</v>
      </c>
      <c r="X6" s="392">
        <f>'תקציב אגף חינוך 2021 '!X6</f>
        <v>0</v>
      </c>
      <c r="Y6" s="392">
        <f>'תקציב אגף חינוך 2021 '!Y6</f>
        <v>0</v>
      </c>
      <c r="Z6" s="392">
        <f>'תקציב אגף חינוך 2021 '!Z6</f>
        <v>0</v>
      </c>
      <c r="AA6" s="392">
        <f>'תקציב אגף חינוך 2021 '!AA6</f>
        <v>0</v>
      </c>
      <c r="AB6" s="636" t="str">
        <f>'תקציב אגף חינוך 2021 '!AB6</f>
        <v>הנגשת כיתות ליקווי שמיעה. ייסגר עם קבלת  יתרת התקבולים ממ. החינוך.</v>
      </c>
      <c r="AC6" s="391">
        <f>'תקציב אגף חינוך 2021 '!AC6</f>
        <v>810000</v>
      </c>
      <c r="AD6" s="601"/>
      <c r="AE6" s="605"/>
      <c r="AF6" s="601"/>
      <c r="AG6" s="601"/>
      <c r="AH6" s="601"/>
    </row>
    <row r="7" spans="1:34" s="394" customFormat="1" ht="62.4" customHeight="1">
      <c r="A7" s="391">
        <f t="shared" ref="A7:A22" si="0">A6+1</f>
        <v>3</v>
      </c>
      <c r="B7" s="391">
        <f>'תקציב אגף חינוך 2021 '!B7</f>
        <v>1930</v>
      </c>
      <c r="C7" s="635" t="str">
        <f>'תקציב אגף חינוך 2021 '!C7</f>
        <v>הצטיידות גנ"י חדשים ח"ר,ח"מ</v>
      </c>
      <c r="D7" s="392">
        <f>'תקציב אגף חינוך 2021 '!D7</f>
        <v>2530000</v>
      </c>
      <c r="E7" s="392">
        <f>'תקציב אגף חינוך 2021 '!E7</f>
        <v>1670000</v>
      </c>
      <c r="F7" s="392">
        <f>'תקציב אגף חינוך 2021 '!F7</f>
        <v>860000</v>
      </c>
      <c r="G7" s="392">
        <f>'תקציב אגף חינוך 2021 '!G7</f>
        <v>1230000</v>
      </c>
      <c r="H7" s="392">
        <f>'תקציב אגף חינוך 2021 '!H7</f>
        <v>911352</v>
      </c>
      <c r="I7" s="392">
        <f>'תקציב אגף חינוך 2021 '!I7</f>
        <v>0</v>
      </c>
      <c r="J7" s="392">
        <f>'תקציב אגף חינוך 2021 '!J7</f>
        <v>184860</v>
      </c>
      <c r="K7" s="392">
        <f>'תקציב אגף חינוך 2021 '!K7</f>
        <v>184860</v>
      </c>
      <c r="L7" s="392">
        <f>'תקציב אגף חינוך 2021 '!L7</f>
        <v>1096212</v>
      </c>
      <c r="M7" s="392">
        <f>'תקציב אגף חינוך 2021 '!M7</f>
        <v>133788</v>
      </c>
      <c r="N7" s="392">
        <f>'תקציב אגף חינוך 2021 '!N7</f>
        <v>730000</v>
      </c>
      <c r="O7" s="392">
        <f>'תקציב אגף חינוך 2021 '!O7</f>
        <v>570000</v>
      </c>
      <c r="P7" s="392">
        <f>'תקציב אגף חינוך 2021 '!P7</f>
        <v>133788</v>
      </c>
      <c r="Q7" s="392">
        <f>'תקציב אגף חינוך 2021 '!Q7</f>
        <v>0</v>
      </c>
      <c r="R7" s="392">
        <f>'תקציב אגף חינוך 2021 '!R7</f>
        <v>0</v>
      </c>
      <c r="S7" s="392">
        <f>'תקציב אגף חינוך 2021 '!S7</f>
        <v>0</v>
      </c>
      <c r="T7" s="392">
        <f>'תקציב אגף חינוך 2021 '!T7</f>
        <v>0</v>
      </c>
      <c r="U7" s="392">
        <f>'תקציב אגף חינוך 2021 '!U7</f>
        <v>730000</v>
      </c>
      <c r="V7" s="392">
        <f>'תקציב אגף חינוך 2021 '!V7</f>
        <v>0</v>
      </c>
      <c r="W7" s="392">
        <f>'תקציב אגף חינוך 2021 '!W7</f>
        <v>366000</v>
      </c>
      <c r="X7" s="392">
        <f>'תקציב אגף חינוך 2021 '!X7</f>
        <v>0</v>
      </c>
      <c r="Y7" s="392">
        <f>'תקציב אגף חינוך 2021 '!Y7</f>
        <v>0</v>
      </c>
      <c r="Z7" s="392">
        <f>'תקציב אגף חינוך 2021 '!Z7</f>
        <v>0</v>
      </c>
      <c r="AA7" s="392">
        <f>'תקציב אגף חינוך 2021 '!AA7</f>
        <v>364000</v>
      </c>
      <c r="AB7" s="636" t="str">
        <f>'תקציב אגף חינוך 2021 '!AB7</f>
        <v>הצטיידות  גנים חדשים כולל  ח"מ במקביל לבניה לאיכלוס 9/2021 בין היתר 12 גנ"י ח"ר ו - 2 ח"מ: שמעוני, אבן עזרא, תמר ותאנה. פתיחת גנים במבנים קיימים . מימון מ. החינוך.</v>
      </c>
      <c r="AC7" s="391">
        <f>'תקציב אגף חינוך 2021 '!AC7</f>
        <v>810000</v>
      </c>
      <c r="AD7" s="601"/>
      <c r="AE7" s="605"/>
      <c r="AF7" s="601"/>
      <c r="AG7" s="601"/>
      <c r="AH7" s="601"/>
    </row>
    <row r="8" spans="1:34" s="394" customFormat="1" ht="33.75" customHeight="1">
      <c r="A8" s="391">
        <f t="shared" si="0"/>
        <v>4</v>
      </c>
      <c r="B8" s="391">
        <f>'תקציב אגף חינוך 2021 '!B8</f>
        <v>1976</v>
      </c>
      <c r="C8" s="635" t="str">
        <f>'תקציב אגף חינוך 2021 '!C8</f>
        <v>הצטידות חדשה בי"ס אופק</v>
      </c>
      <c r="D8" s="392">
        <f>'תקציב אגף חינוך 2021 '!D8</f>
        <v>644100</v>
      </c>
      <c r="E8" s="392">
        <f>'תקציב אגף חינוך 2021 '!E8</f>
        <v>644100</v>
      </c>
      <c r="F8" s="392">
        <f>'תקציב אגף חינוך 2021 '!F8</f>
        <v>0</v>
      </c>
      <c r="G8" s="392">
        <f>'תקציב אגף חינוך 2021 '!G8</f>
        <v>644100</v>
      </c>
      <c r="H8" s="392">
        <f>'תקציב אגף חינוך 2021 '!H8</f>
        <v>504222</v>
      </c>
      <c r="I8" s="392">
        <f>'תקציב אגף חינוך 2021 '!I8</f>
        <v>0</v>
      </c>
      <c r="J8" s="392">
        <f>'תקציב אגף חינוך 2021 '!J8</f>
        <v>12644</v>
      </c>
      <c r="K8" s="392">
        <f>'תקציב אגף חינוך 2021 '!K8</f>
        <v>12644</v>
      </c>
      <c r="L8" s="392">
        <f>'תקציב אגף חינוך 2021 '!L8</f>
        <v>516866</v>
      </c>
      <c r="M8" s="392">
        <f>'תקציב אגף חינוך 2021 '!M8</f>
        <v>127234</v>
      </c>
      <c r="N8" s="392">
        <f>'תקציב אגף חינוך 2021 '!N8</f>
        <v>0</v>
      </c>
      <c r="O8" s="392">
        <f>'תקציב אגף חינוך 2021 '!O8</f>
        <v>0</v>
      </c>
      <c r="P8" s="392">
        <f>'תקציב אגף חינוך 2021 '!P8</f>
        <v>127234</v>
      </c>
      <c r="Q8" s="392">
        <f>'תקציב אגף חינוך 2021 '!Q8</f>
        <v>0</v>
      </c>
      <c r="R8" s="392">
        <f>'תקציב אגף חינוך 2021 '!R8</f>
        <v>0</v>
      </c>
      <c r="S8" s="392">
        <f>'תקציב אגף חינוך 2021 '!S8</f>
        <v>0</v>
      </c>
      <c r="T8" s="392">
        <f>'תקציב אגף חינוך 2021 '!T8</f>
        <v>0</v>
      </c>
      <c r="U8" s="392">
        <f>'תקציב אגף חינוך 2021 '!U8</f>
        <v>0</v>
      </c>
      <c r="V8" s="392">
        <f>'תקציב אגף חינוך 2021 '!V8</f>
        <v>0</v>
      </c>
      <c r="W8" s="392">
        <f>'תקציב אגף חינוך 2021 '!W8</f>
        <v>0</v>
      </c>
      <c r="X8" s="392">
        <f>'תקציב אגף חינוך 2021 '!X8</f>
        <v>0</v>
      </c>
      <c r="Y8" s="392">
        <f>'תקציב אגף חינוך 2021 '!Y8</f>
        <v>0</v>
      </c>
      <c r="Z8" s="392">
        <f>'תקציב אגף חינוך 2021 '!Z8</f>
        <v>0</v>
      </c>
      <c r="AA8" s="392">
        <f>'תקציב אגף חינוך 2021 '!AA8</f>
        <v>0</v>
      </c>
      <c r="AB8" s="636" t="str">
        <f>'תקציב אגף חינוך 2021 '!AB8</f>
        <v>המשך הצטיידות אופק אחרי השיפוץ. לקראת סיום.</v>
      </c>
      <c r="AC8" s="391">
        <f>'תקציב אגף חינוך 2021 '!AC8</f>
        <v>810000</v>
      </c>
      <c r="AD8" s="601"/>
      <c r="AE8" s="601"/>
      <c r="AF8" s="601"/>
      <c r="AG8" s="601"/>
      <c r="AH8" s="601"/>
    </row>
    <row r="9" spans="1:34" s="394" customFormat="1" ht="30.75" customHeight="1">
      <c r="A9" s="391">
        <f t="shared" si="0"/>
        <v>5</v>
      </c>
      <c r="B9" s="391">
        <f>'תקציב אגף חינוך 2021 '!B9</f>
        <v>1977</v>
      </c>
      <c r="C9" s="635" t="str">
        <f>'תקציב אגף חינוך 2021 '!C9</f>
        <v>הצטידות חדשה בי"ס לב טוב</v>
      </c>
      <c r="D9" s="392">
        <f>'תקציב אגף חינוך 2021 '!D9</f>
        <v>44100</v>
      </c>
      <c r="E9" s="392">
        <f>'תקציב אגף חינוך 2021 '!E9</f>
        <v>44100</v>
      </c>
      <c r="F9" s="392">
        <f>'תקציב אגף חינוך 2021 '!F9</f>
        <v>0</v>
      </c>
      <c r="G9" s="392">
        <f>'תקציב אגף חינוך 2021 '!G9</f>
        <v>44100</v>
      </c>
      <c r="H9" s="392">
        <f>'תקציב אגף חינוך 2021 '!H9</f>
        <v>43807</v>
      </c>
      <c r="I9" s="392">
        <f>'תקציב אגף חינוך 2021 '!I9</f>
        <v>0</v>
      </c>
      <c r="J9" s="392">
        <f>'תקציב אגף חינוך 2021 '!J9</f>
        <v>0</v>
      </c>
      <c r="K9" s="392">
        <f>'תקציב אגף חינוך 2021 '!K9</f>
        <v>0</v>
      </c>
      <c r="L9" s="392">
        <f>'תקציב אגף חינוך 2021 '!L9</f>
        <v>43807</v>
      </c>
      <c r="M9" s="392">
        <f>'תקציב אגף חינוך 2021 '!M9</f>
        <v>293</v>
      </c>
      <c r="N9" s="392">
        <f>'תקציב אגף חינוך 2021 '!N9</f>
        <v>0</v>
      </c>
      <c r="O9" s="392">
        <f>'תקציב אגף חינוך 2021 '!O9</f>
        <v>0</v>
      </c>
      <c r="P9" s="392">
        <f>'תקציב אגף חינוך 2021 '!P9</f>
        <v>293</v>
      </c>
      <c r="Q9" s="392">
        <f>'תקציב אגף חינוך 2021 '!Q9</f>
        <v>0</v>
      </c>
      <c r="R9" s="392">
        <f>'תקציב אגף חינוך 2021 '!R9</f>
        <v>0</v>
      </c>
      <c r="S9" s="392">
        <f>'תקציב אגף חינוך 2021 '!S9</f>
        <v>0</v>
      </c>
      <c r="T9" s="392">
        <f>'תקציב אגף חינוך 2021 '!T9</f>
        <v>0</v>
      </c>
      <c r="U9" s="392">
        <f>'תקציב אגף חינוך 2021 '!U9</f>
        <v>0</v>
      </c>
      <c r="V9" s="392">
        <f>'תקציב אגף חינוך 2021 '!V9</f>
        <v>0</v>
      </c>
      <c r="W9" s="392">
        <f>'תקציב אגף חינוך 2021 '!W9</f>
        <v>0</v>
      </c>
      <c r="X9" s="392">
        <f>'תקציב אגף חינוך 2021 '!X9</f>
        <v>0</v>
      </c>
      <c r="Y9" s="392">
        <f>'תקציב אגף חינוך 2021 '!Y9</f>
        <v>0</v>
      </c>
      <c r="Z9" s="392">
        <f>'תקציב אגף חינוך 2021 '!Z9</f>
        <v>0</v>
      </c>
      <c r="AA9" s="392">
        <f>'תקציב אגף חינוך 2021 '!AA9</f>
        <v>0</v>
      </c>
      <c r="AB9" s="636" t="str">
        <f>'תקציב אגף חינוך 2021 '!AB9</f>
        <v>ייסגר עם קבלת תקבולי מ. החינוך.</v>
      </c>
      <c r="AC9" s="391">
        <f>'תקציב אגף חינוך 2021 '!AC9</f>
        <v>810000</v>
      </c>
      <c r="AD9" s="601"/>
      <c r="AE9" s="601"/>
      <c r="AF9" s="601"/>
      <c r="AG9" s="601"/>
      <c r="AH9" s="601"/>
    </row>
    <row r="10" spans="1:34" s="394" customFormat="1" ht="27" customHeight="1">
      <c r="A10" s="391">
        <f t="shared" si="0"/>
        <v>6</v>
      </c>
      <c r="B10" s="391">
        <f>'תקציב אגף חינוך 2021 '!B10</f>
        <v>1987</v>
      </c>
      <c r="C10" s="635" t="str">
        <f>'תקציב אגף חינוך 2021 '!C10</f>
        <v>נגישות אקוסטית בי"ס</v>
      </c>
      <c r="D10" s="392">
        <f>'תקציב אגף חינוך 2021 '!D10</f>
        <v>120000</v>
      </c>
      <c r="E10" s="392">
        <f>'תקציב אגף חינוך 2021 '!E10</f>
        <v>120000</v>
      </c>
      <c r="F10" s="392">
        <f>'תקציב אגף חינוך 2021 '!F10</f>
        <v>0</v>
      </c>
      <c r="G10" s="392">
        <f>'תקציב אגף חינוך 2021 '!G10</f>
        <v>120000</v>
      </c>
      <c r="H10" s="392">
        <f>'תקציב אגף חינוך 2021 '!H10</f>
        <v>77677</v>
      </c>
      <c r="I10" s="392">
        <f>'תקציב אגף חינוך 2021 '!I10</f>
        <v>0</v>
      </c>
      <c r="J10" s="392">
        <f>'תקציב אגף חינוך 2021 '!J10</f>
        <v>0</v>
      </c>
      <c r="K10" s="392">
        <f>'תקציב אגף חינוך 2021 '!K10</f>
        <v>0</v>
      </c>
      <c r="L10" s="392">
        <f>'תקציב אגף חינוך 2021 '!L10</f>
        <v>77677</v>
      </c>
      <c r="M10" s="392">
        <f>'תקציב אגף חינוך 2021 '!M10</f>
        <v>42323</v>
      </c>
      <c r="N10" s="392">
        <f>'תקציב אגף חינוך 2021 '!N10</f>
        <v>0</v>
      </c>
      <c r="O10" s="392">
        <f>'תקציב אגף חינוך 2021 '!O10</f>
        <v>0</v>
      </c>
      <c r="P10" s="392">
        <f>'תקציב אגף חינוך 2021 '!P10</f>
        <v>42323</v>
      </c>
      <c r="Q10" s="392">
        <f>'תקציב אגף חינוך 2021 '!Q10</f>
        <v>0</v>
      </c>
      <c r="R10" s="392">
        <f>'תקציב אגף חינוך 2021 '!R10</f>
        <v>0</v>
      </c>
      <c r="S10" s="392">
        <f>'תקציב אגף חינוך 2021 '!S10</f>
        <v>0</v>
      </c>
      <c r="T10" s="392">
        <f>'תקציב אגף חינוך 2021 '!T10</f>
        <v>0</v>
      </c>
      <c r="U10" s="392">
        <f>'תקציב אגף חינוך 2021 '!U10</f>
        <v>0</v>
      </c>
      <c r="V10" s="392">
        <f>'תקציב אגף חינוך 2021 '!V10</f>
        <v>0</v>
      </c>
      <c r="W10" s="392">
        <f>'תקציב אגף חינוך 2021 '!W10</f>
        <v>0</v>
      </c>
      <c r="X10" s="392">
        <f>'תקציב אגף חינוך 2021 '!X10</f>
        <v>0</v>
      </c>
      <c r="Y10" s="392">
        <f>'תקציב אגף חינוך 2021 '!Y10</f>
        <v>0</v>
      </c>
      <c r="Z10" s="392">
        <f>'תקציב אגף חינוך 2021 '!Z10</f>
        <v>0</v>
      </c>
      <c r="AA10" s="392">
        <f>'תקציב אגף חינוך 2021 '!AA10</f>
        <v>0</v>
      </c>
      <c r="AB10" s="636" t="str">
        <f>'תקציב אגף חינוך 2021 '!AB10</f>
        <v>ייסגר עם קבלת תקבולי מ. החינוך.</v>
      </c>
      <c r="AC10" s="391">
        <f>'תקציב אגף חינוך 2021 '!AC10</f>
        <v>810000</v>
      </c>
      <c r="AD10" s="601"/>
      <c r="AE10" s="601"/>
      <c r="AF10" s="601"/>
      <c r="AG10" s="601"/>
      <c r="AH10" s="601"/>
    </row>
    <row r="11" spans="1:34" s="394" customFormat="1" ht="30.75" customHeight="1">
      <c r="A11" s="391">
        <f t="shared" si="0"/>
        <v>7</v>
      </c>
      <c r="B11" s="391">
        <f>'תקציב אגף חינוך 2021 '!B11</f>
        <v>1990</v>
      </c>
      <c r="C11" s="635" t="str">
        <f>'תקציב אגף חינוך 2021 '!C11</f>
        <v>הצטיידות חדשה בי"ס יוחנני</v>
      </c>
      <c r="D11" s="392">
        <f>'תקציב אגף חינוך 2021 '!D11</f>
        <v>58800</v>
      </c>
      <c r="E11" s="392">
        <f>'תקציב אגף חינוך 2021 '!E11</f>
        <v>58800</v>
      </c>
      <c r="F11" s="392">
        <f>'תקציב אגף חינוך 2021 '!F11</f>
        <v>0</v>
      </c>
      <c r="G11" s="392">
        <f>'תקציב אגף חינוך 2021 '!G11</f>
        <v>58800</v>
      </c>
      <c r="H11" s="392">
        <f>'תקציב אגף חינוך 2021 '!H11</f>
        <v>54353</v>
      </c>
      <c r="I11" s="392">
        <f>'תקציב אגף חינוך 2021 '!I11</f>
        <v>0</v>
      </c>
      <c r="J11" s="392">
        <f>'תקציב אגף חינוך 2021 '!J11</f>
        <v>4393</v>
      </c>
      <c r="K11" s="392">
        <f>'תקציב אגף חינוך 2021 '!K11</f>
        <v>4393</v>
      </c>
      <c r="L11" s="392">
        <f>'תקציב אגף חינוך 2021 '!L11</f>
        <v>58746</v>
      </c>
      <c r="M11" s="392">
        <f>'תקציב אגף חינוך 2021 '!M11</f>
        <v>54</v>
      </c>
      <c r="N11" s="392">
        <f>'תקציב אגף חינוך 2021 '!N11</f>
        <v>0</v>
      </c>
      <c r="O11" s="392">
        <f>'תקציב אגף חינוך 2021 '!O11</f>
        <v>0</v>
      </c>
      <c r="P11" s="392">
        <f>'תקציב אגף חינוך 2021 '!P11</f>
        <v>54</v>
      </c>
      <c r="Q11" s="392">
        <f>'תקציב אגף חינוך 2021 '!Q11</f>
        <v>0</v>
      </c>
      <c r="R11" s="392">
        <f>'תקציב אגף חינוך 2021 '!R11</f>
        <v>0</v>
      </c>
      <c r="S11" s="392">
        <f>'תקציב אגף חינוך 2021 '!S11</f>
        <v>0</v>
      </c>
      <c r="T11" s="392">
        <f>'תקציב אגף חינוך 2021 '!T11</f>
        <v>0</v>
      </c>
      <c r="U11" s="392">
        <f>'תקציב אגף חינוך 2021 '!U11</f>
        <v>0</v>
      </c>
      <c r="V11" s="392">
        <f>'תקציב אגף חינוך 2021 '!V11</f>
        <v>0</v>
      </c>
      <c r="W11" s="392">
        <f>'תקציב אגף חינוך 2021 '!W11</f>
        <v>0</v>
      </c>
      <c r="X11" s="392">
        <f>'תקציב אגף חינוך 2021 '!X11</f>
        <v>0</v>
      </c>
      <c r="Y11" s="392">
        <f>'תקציב אגף חינוך 2021 '!Y11</f>
        <v>0</v>
      </c>
      <c r="Z11" s="392">
        <f>'תקציב אגף חינוך 2021 '!Z11</f>
        <v>0</v>
      </c>
      <c r="AA11" s="392">
        <f>'תקציב אגף חינוך 2021 '!AA11</f>
        <v>0</v>
      </c>
      <c r="AB11" s="636">
        <f>'תקציב אגף חינוך 2021 '!AB11</f>
        <v>0</v>
      </c>
      <c r="AC11" s="391">
        <f>'תקציב אגף חינוך 2021 '!AC11</f>
        <v>810000</v>
      </c>
      <c r="AD11" s="601"/>
      <c r="AE11" s="601"/>
      <c r="AF11" s="601"/>
      <c r="AG11" s="601"/>
      <c r="AH11" s="601"/>
    </row>
    <row r="12" spans="1:34" s="394" customFormat="1" ht="29.4" customHeight="1">
      <c r="A12" s="391">
        <f t="shared" si="0"/>
        <v>8</v>
      </c>
      <c r="B12" s="391">
        <f>'תקציב אגף חינוך 2021 '!B12</f>
        <v>2033</v>
      </c>
      <c r="C12" s="635" t="str">
        <f>'תקציב אגף חינוך 2021 '!C12</f>
        <v>הצטיידות בר אילן לאחר שיפוץ</v>
      </c>
      <c r="D12" s="392">
        <f>'תקציב אגף חינוך 2021 '!D12</f>
        <v>900000</v>
      </c>
      <c r="E12" s="392">
        <f>'תקציב אגף חינוך 2021 '!E12</f>
        <v>1000000</v>
      </c>
      <c r="F12" s="392">
        <f>'תקציב אגף חינוך 2021 '!F12</f>
        <v>-100000</v>
      </c>
      <c r="G12" s="392">
        <f>'תקציב אגף חינוך 2021 '!G12</f>
        <v>900000</v>
      </c>
      <c r="H12" s="392">
        <f>'תקציב אגף חינוך 2021 '!H12</f>
        <v>590007</v>
      </c>
      <c r="I12" s="392">
        <f>'תקציב אגף חינוך 2021 '!I12</f>
        <v>0</v>
      </c>
      <c r="J12" s="392">
        <f>'תקציב אגף חינוך 2021 '!J12</f>
        <v>84302</v>
      </c>
      <c r="K12" s="392">
        <f>'תקציב אגף חינוך 2021 '!K12</f>
        <v>84302</v>
      </c>
      <c r="L12" s="392">
        <f>'תקציב אגף חינוך 2021 '!L12</f>
        <v>674309</v>
      </c>
      <c r="M12" s="392">
        <f>'תקציב אגף חינוך 2021 '!M12</f>
        <v>225691</v>
      </c>
      <c r="N12" s="392">
        <f>'תקציב אגף חינוך 2021 '!N12</f>
        <v>0</v>
      </c>
      <c r="O12" s="392">
        <f>'תקציב אגף חינוך 2021 '!O12</f>
        <v>0</v>
      </c>
      <c r="P12" s="392">
        <f>'תקציב אגף חינוך 2021 '!P12</f>
        <v>225691</v>
      </c>
      <c r="Q12" s="392">
        <f>'תקציב אגף חינוך 2021 '!Q12</f>
        <v>0</v>
      </c>
      <c r="R12" s="392">
        <f>'תקציב אגף חינוך 2021 '!R12</f>
        <v>0</v>
      </c>
      <c r="S12" s="392">
        <f>'תקציב אגף חינוך 2021 '!S12</f>
        <v>0</v>
      </c>
      <c r="T12" s="392">
        <f>'תקציב אגף חינוך 2021 '!T12</f>
        <v>0</v>
      </c>
      <c r="U12" s="392">
        <f>'תקציב אגף חינוך 2021 '!U12</f>
        <v>0</v>
      </c>
      <c r="V12" s="392">
        <f>'תקציב אגף חינוך 2021 '!V12</f>
        <v>0</v>
      </c>
      <c r="W12" s="392">
        <f>'תקציב אגף חינוך 2021 '!W12</f>
        <v>0</v>
      </c>
      <c r="X12" s="392">
        <f>'תקציב אגף חינוך 2021 '!X12</f>
        <v>0</v>
      </c>
      <c r="Y12" s="392">
        <f>'תקציב אגף חינוך 2021 '!Y12</f>
        <v>0</v>
      </c>
      <c r="Z12" s="392">
        <f>'תקציב אגף חינוך 2021 '!Z12</f>
        <v>0</v>
      </c>
      <c r="AA12" s="392">
        <f>'תקציב אגף חינוך 2021 '!AA12</f>
        <v>0</v>
      </c>
      <c r="AB12" s="636" t="str">
        <f>'תקציב אגף חינוך 2021 '!AB12</f>
        <v>הצטיידות בי"ס בר אילן אחרי השיפוץ.</v>
      </c>
      <c r="AC12" s="391">
        <f>'תקציב אגף חינוך 2021 '!AC12</f>
        <v>810000</v>
      </c>
      <c r="AD12" s="601"/>
      <c r="AE12" s="601"/>
      <c r="AF12" s="601"/>
      <c r="AG12" s="601"/>
      <c r="AH12" s="601"/>
    </row>
    <row r="13" spans="1:34" s="394" customFormat="1" ht="42">
      <c r="A13" s="391">
        <f t="shared" si="0"/>
        <v>9</v>
      </c>
      <c r="B13" s="391">
        <f>'תקציב אגף חינוך 2021 '!B13</f>
        <v>2034</v>
      </c>
      <c r="C13" s="635" t="str">
        <f>'תקציב אגף חינוך 2021 '!C13</f>
        <v>הצטיידות בי"ס יצחק נבון אלתרמן</v>
      </c>
      <c r="D13" s="392">
        <f>'תקציב אגף חינוך 2021 '!D13</f>
        <v>3670000</v>
      </c>
      <c r="E13" s="392">
        <f>'תקציב אגף חינוך 2021 '!E13</f>
        <v>2600000</v>
      </c>
      <c r="F13" s="392">
        <f>'תקציב אגף חינוך 2021 '!F13</f>
        <v>1070000</v>
      </c>
      <c r="G13" s="392">
        <f>'תקציב אגף חינוך 2021 '!G13</f>
        <v>2600000</v>
      </c>
      <c r="H13" s="392">
        <f>'תקציב אגף חינוך 2021 '!H13</f>
        <v>2148965</v>
      </c>
      <c r="I13" s="392">
        <f>'תקציב אגף חינוך 2021 '!I13</f>
        <v>0</v>
      </c>
      <c r="J13" s="392">
        <f>'תקציב אגף חינוך 2021 '!J13</f>
        <v>131126</v>
      </c>
      <c r="K13" s="392">
        <f>'תקציב אגף חינוך 2021 '!K13</f>
        <v>131126</v>
      </c>
      <c r="L13" s="392">
        <f>'תקציב אגף חינוך 2021 '!L13</f>
        <v>2280091</v>
      </c>
      <c r="M13" s="392">
        <f>'תקציב אגף חינוך 2021 '!M13</f>
        <v>319909</v>
      </c>
      <c r="N13" s="392">
        <f>'תקציב אגף חינוך 2021 '!N13</f>
        <v>400000</v>
      </c>
      <c r="O13" s="392">
        <f>'תקציב אגף חינוך 2021 '!O13</f>
        <v>670000</v>
      </c>
      <c r="P13" s="392">
        <f>'תקציב אגף חינוך 2021 '!P13</f>
        <v>319909</v>
      </c>
      <c r="Q13" s="392">
        <f>'תקציב אגף חינוך 2021 '!Q13</f>
        <v>0</v>
      </c>
      <c r="R13" s="392">
        <f>'תקציב אגף חינוך 2021 '!R13</f>
        <v>0</v>
      </c>
      <c r="S13" s="392">
        <f>'תקציב אגף חינוך 2021 '!S13</f>
        <v>0</v>
      </c>
      <c r="T13" s="392">
        <f>'תקציב אגף חינוך 2021 '!T13</f>
        <v>0</v>
      </c>
      <c r="U13" s="392">
        <f>'תקציב אגף חינוך 2021 '!U13</f>
        <v>400000</v>
      </c>
      <c r="V13" s="392">
        <f>'תקציב אגף חינוך 2021 '!V13</f>
        <v>0</v>
      </c>
      <c r="W13" s="392">
        <f>'תקציב אגף חינוך 2021 '!W13</f>
        <v>0</v>
      </c>
      <c r="X13" s="392">
        <f>'תקציב אגף חינוך 2021 '!X13</f>
        <v>0</v>
      </c>
      <c r="Y13" s="392">
        <f>'תקציב אגף חינוך 2021 '!Y13</f>
        <v>0</v>
      </c>
      <c r="Z13" s="392">
        <f>'תקציב אגף חינוך 2021 '!Z13</f>
        <v>0</v>
      </c>
      <c r="AA13" s="392">
        <f>'תקציב אגף חינוך 2021 '!AA13</f>
        <v>400000</v>
      </c>
      <c r="AB13" s="636" t="str">
        <f>'תקציב אגף חינוך 2021 '!AB13</f>
        <v>המשך הצטיידות ומיחשוב בי"ס החדש  יצחק נבון כולל בגין תוספת 6 כיתות . מימון מ. הפיס.</v>
      </c>
      <c r="AC13" s="391">
        <f>'תקציב אגף חינוך 2021 '!AC13</f>
        <v>810000</v>
      </c>
      <c r="AD13" s="601"/>
      <c r="AE13" s="601"/>
      <c r="AF13" s="601"/>
      <c r="AG13" s="601"/>
      <c r="AH13" s="601"/>
    </row>
    <row r="14" spans="1:34" s="394" customFormat="1" ht="28">
      <c r="A14" s="391">
        <f t="shared" si="0"/>
        <v>10</v>
      </c>
      <c r="B14" s="391">
        <f>'תקציב אגף חינוך 2021 '!B14</f>
        <v>2070</v>
      </c>
      <c r="C14" s="635" t="str">
        <f>'תקציב אגף חינוך 2021 '!C14</f>
        <v>הצטידות גנ"י חדשים  גליל ים מגרש301/2</v>
      </c>
      <c r="D14" s="392">
        <f>'תקציב אגף חינוך 2021 '!D14</f>
        <v>500000</v>
      </c>
      <c r="E14" s="392">
        <f>'תקציב אגף חינוך 2021 '!E14</f>
        <v>500000</v>
      </c>
      <c r="F14" s="392">
        <f>'תקציב אגף חינוך 2021 '!F14</f>
        <v>0</v>
      </c>
      <c r="G14" s="392">
        <f>'תקציב אגף חינוך 2021 '!G14</f>
        <v>500000</v>
      </c>
      <c r="H14" s="392">
        <f>'תקציב אגף חינוך 2021 '!H14</f>
        <v>363008</v>
      </c>
      <c r="I14" s="392">
        <f>'תקציב אגף חינוך 2021 '!I14</f>
        <v>0</v>
      </c>
      <c r="J14" s="392">
        <f>'תקציב אגף חינוך 2021 '!J14</f>
        <v>49944</v>
      </c>
      <c r="K14" s="392">
        <f>'תקציב אגף חינוך 2021 '!K14</f>
        <v>49944</v>
      </c>
      <c r="L14" s="392">
        <f>'תקציב אגף חינוך 2021 '!L14</f>
        <v>412952</v>
      </c>
      <c r="M14" s="392">
        <f>'תקציב אגף חינוך 2021 '!M14</f>
        <v>87048</v>
      </c>
      <c r="N14" s="392">
        <f>'תקציב אגף חינוך 2021 '!N14</f>
        <v>0</v>
      </c>
      <c r="O14" s="392">
        <f>'תקציב אגף חינוך 2021 '!O14</f>
        <v>0</v>
      </c>
      <c r="P14" s="392">
        <f>'תקציב אגף חינוך 2021 '!P14</f>
        <v>87048</v>
      </c>
      <c r="Q14" s="392">
        <f>'תקציב אגף חינוך 2021 '!Q14</f>
        <v>0</v>
      </c>
      <c r="R14" s="392">
        <f>'תקציב אגף חינוך 2021 '!R14</f>
        <v>0</v>
      </c>
      <c r="S14" s="392">
        <f>'תקציב אגף חינוך 2021 '!S14</f>
        <v>0</v>
      </c>
      <c r="T14" s="392">
        <f>'תקציב אגף חינוך 2021 '!T14</f>
        <v>0</v>
      </c>
      <c r="U14" s="392">
        <f>'תקציב אגף חינוך 2021 '!U14</f>
        <v>0</v>
      </c>
      <c r="V14" s="392">
        <f>'תקציב אגף חינוך 2021 '!V14</f>
        <v>0</v>
      </c>
      <c r="W14" s="392">
        <f>'תקציב אגף חינוך 2021 '!W14</f>
        <v>0</v>
      </c>
      <c r="X14" s="392">
        <f>'תקציב אגף חינוך 2021 '!X14</f>
        <v>0</v>
      </c>
      <c r="Y14" s="392">
        <f>'תקציב אגף חינוך 2021 '!Y14</f>
        <v>0</v>
      </c>
      <c r="Z14" s="392">
        <f>'תקציב אגף חינוך 2021 '!Z14</f>
        <v>0</v>
      </c>
      <c r="AA14" s="392">
        <f>'תקציב אגף חינוך 2021 '!AA14</f>
        <v>0</v>
      </c>
      <c r="AB14" s="636" t="str">
        <f>'תקציב אגף חינוך 2021 '!AB14</f>
        <v>ייסגר עם קבלת תקבולי מ. החינוך.</v>
      </c>
      <c r="AC14" s="391">
        <f>'תקציב אגף חינוך 2021 '!AC14</f>
        <v>810000</v>
      </c>
      <c r="AD14" s="601"/>
      <c r="AE14" s="601"/>
      <c r="AF14" s="601"/>
      <c r="AG14" s="601"/>
      <c r="AH14" s="601"/>
    </row>
    <row r="15" spans="1:34" s="394" customFormat="1" ht="30" customHeight="1">
      <c r="A15" s="391">
        <f t="shared" si="0"/>
        <v>11</v>
      </c>
      <c r="B15" s="391">
        <f>'תקציב אגף חינוך 2021 '!B15</f>
        <v>2090</v>
      </c>
      <c r="C15" s="635" t="str">
        <f>'תקציב אגף חינוך 2021 '!C15</f>
        <v>סדנת רובוטיקה בהנדסאים</v>
      </c>
      <c r="D15" s="392">
        <f>'תקציב אגף חינוך 2021 '!D15</f>
        <v>350000</v>
      </c>
      <c r="E15" s="392">
        <f>'תקציב אגף חינוך 2021 '!E15</f>
        <v>350000</v>
      </c>
      <c r="F15" s="392">
        <f>'תקציב אגף חינוך 2021 '!F15</f>
        <v>0</v>
      </c>
      <c r="G15" s="392">
        <f>'תקציב אגף חינוך 2021 '!G15</f>
        <v>350000</v>
      </c>
      <c r="H15" s="392">
        <f>'תקציב אגף חינוך 2021 '!H15</f>
        <v>0</v>
      </c>
      <c r="I15" s="392">
        <f>'תקציב אגף חינוך 2021 '!I15</f>
        <v>0</v>
      </c>
      <c r="J15" s="392">
        <f>'תקציב אגף חינוך 2021 '!J15</f>
        <v>143099</v>
      </c>
      <c r="K15" s="392">
        <f>'תקציב אגף חינוך 2021 '!K15</f>
        <v>143099</v>
      </c>
      <c r="L15" s="392">
        <f>'תקציב אגף חינוך 2021 '!L15</f>
        <v>143099</v>
      </c>
      <c r="M15" s="392">
        <f>'תקציב אגף חינוך 2021 '!M15</f>
        <v>206901</v>
      </c>
      <c r="N15" s="392">
        <f>'תקציב אגף חינוך 2021 '!N15</f>
        <v>0</v>
      </c>
      <c r="O15" s="392">
        <f>'תקציב אגף חינוך 2021 '!O15</f>
        <v>0</v>
      </c>
      <c r="P15" s="392">
        <f>'תקציב אגף חינוך 2021 '!P15</f>
        <v>206901</v>
      </c>
      <c r="Q15" s="392">
        <f>'תקציב אגף חינוך 2021 '!Q15</f>
        <v>0</v>
      </c>
      <c r="R15" s="392">
        <f>'תקציב אגף חינוך 2021 '!R15</f>
        <v>0</v>
      </c>
      <c r="S15" s="392">
        <f>'תקציב אגף חינוך 2021 '!S15</f>
        <v>0</v>
      </c>
      <c r="T15" s="392">
        <f>'תקציב אגף חינוך 2021 '!T15</f>
        <v>0</v>
      </c>
      <c r="U15" s="392">
        <f>'תקציב אגף חינוך 2021 '!U15</f>
        <v>0</v>
      </c>
      <c r="V15" s="392">
        <f>'תקציב אגף חינוך 2021 '!V15</f>
        <v>0</v>
      </c>
      <c r="W15" s="392">
        <f>'תקציב אגף חינוך 2021 '!W15</f>
        <v>0</v>
      </c>
      <c r="X15" s="392">
        <f>'תקציב אגף חינוך 2021 '!X15</f>
        <v>0</v>
      </c>
      <c r="Y15" s="392">
        <f>'תקציב אגף חינוך 2021 '!Y15</f>
        <v>0</v>
      </c>
      <c r="Z15" s="392">
        <f>'תקציב אגף חינוך 2021 '!Z15</f>
        <v>0</v>
      </c>
      <c r="AA15" s="392">
        <f>'תקציב אגף חינוך 2021 '!AA15</f>
        <v>0</v>
      </c>
      <c r="AB15" s="636" t="str">
        <f>'תקציב אגף חינוך 2021 '!AB15</f>
        <v xml:space="preserve">הצטיידות מעבדה בהנדסאים . </v>
      </c>
      <c r="AC15" s="391">
        <f>'תקציב אגף חינוך 2021 '!AC15</f>
        <v>810000</v>
      </c>
      <c r="AD15" s="601"/>
      <c r="AE15" s="601"/>
      <c r="AF15" s="601"/>
      <c r="AG15" s="601"/>
      <c r="AH15" s="601"/>
    </row>
    <row r="16" spans="1:34" s="394" customFormat="1" ht="28">
      <c r="A16" s="391">
        <f t="shared" si="0"/>
        <v>12</v>
      </c>
      <c r="B16" s="391">
        <f>'תקציב אגף חינוך 2021 '!B16</f>
        <v>2091</v>
      </c>
      <c r="C16" s="635" t="str">
        <f>'תקציב אגף חינוך 2021 '!C16</f>
        <v>מרחבי למידה</v>
      </c>
      <c r="D16" s="392">
        <f>'תקציב אגף חינוך 2021 '!D16</f>
        <v>1500000</v>
      </c>
      <c r="E16" s="392">
        <f>'תקציב אגף חינוך 2021 '!E16</f>
        <v>1500000</v>
      </c>
      <c r="F16" s="392">
        <f>'תקציב אגף חינוך 2021 '!F16</f>
        <v>0</v>
      </c>
      <c r="G16" s="392">
        <f>'תקציב אגף חינוך 2021 '!G16</f>
        <v>0</v>
      </c>
      <c r="H16" s="392">
        <f>'תקציב אגף חינוך 2021 '!H16</f>
        <v>0</v>
      </c>
      <c r="I16" s="392">
        <f>'תקציב אגף חינוך 2021 '!I16</f>
        <v>0</v>
      </c>
      <c r="J16" s="392">
        <f>'תקציב אגף חינוך 2021 '!J16</f>
        <v>0</v>
      </c>
      <c r="K16" s="392">
        <f>'תקציב אגף חינוך 2021 '!K16</f>
        <v>0</v>
      </c>
      <c r="L16" s="392">
        <f>'תקציב אגף חינוך 2021 '!L16</f>
        <v>0</v>
      </c>
      <c r="M16" s="392">
        <f>'תקציב אגף חינוך 2021 '!M16</f>
        <v>0</v>
      </c>
      <c r="N16" s="392">
        <f>'תקציב אגף חינוך 2021 '!N16</f>
        <v>1200000</v>
      </c>
      <c r="O16" s="392">
        <f>'תקציב אגף חינוך 2021 '!O16</f>
        <v>300000</v>
      </c>
      <c r="P16" s="392">
        <f>'תקציב אגף חינוך 2021 '!P16</f>
        <v>0</v>
      </c>
      <c r="Q16" s="392">
        <f>'תקציב אגף חינוך 2021 '!Q16</f>
        <v>0</v>
      </c>
      <c r="R16" s="392">
        <f>'תקציב אגף חינוך 2021 '!R16</f>
        <v>0</v>
      </c>
      <c r="S16" s="392">
        <f>'תקציב אגף חינוך 2021 '!S16</f>
        <v>0</v>
      </c>
      <c r="T16" s="392">
        <f>'תקציב אגף חינוך 2021 '!T16</f>
        <v>0</v>
      </c>
      <c r="U16" s="392">
        <f>'תקציב אגף חינוך 2021 '!U16</f>
        <v>1200000</v>
      </c>
      <c r="V16" s="392">
        <f>'תקציב אגף חינוך 2021 '!V16</f>
        <v>0</v>
      </c>
      <c r="W16" s="392">
        <f>'תקציב אגף חינוך 2021 '!W16</f>
        <v>0</v>
      </c>
      <c r="X16" s="392">
        <f>'תקציב אגף חינוך 2021 '!X16</f>
        <v>0</v>
      </c>
      <c r="Y16" s="392">
        <f>'תקציב אגף חינוך 2021 '!Y16</f>
        <v>0</v>
      </c>
      <c r="Z16" s="392">
        <f>'תקציב אגף חינוך 2021 '!Z16</f>
        <v>0</v>
      </c>
      <c r="AA16" s="392">
        <f>'תקציב אגף חינוך 2021 '!AA16</f>
        <v>1200000</v>
      </c>
      <c r="AB16" s="636" t="str">
        <f>'תקציב אגף חינוך 2021 '!AB16</f>
        <v xml:space="preserve">בניית מרחבי למידה  ב - 14 בי"ס . מימון מ. החינוך. </v>
      </c>
      <c r="AC16" s="391">
        <f>'תקציב אגף חינוך 2021 '!AC16</f>
        <v>810000</v>
      </c>
      <c r="AD16" s="601"/>
      <c r="AE16" s="601"/>
      <c r="AF16" s="601"/>
      <c r="AG16" s="601"/>
      <c r="AH16" s="601"/>
    </row>
    <row r="17" spans="1:34" s="394" customFormat="1" ht="28">
      <c r="A17" s="391">
        <f t="shared" si="0"/>
        <v>13</v>
      </c>
      <c r="B17" s="391">
        <f>'תקציב אגף חינוך 2021 '!B17</f>
        <v>2092</v>
      </c>
      <c r="C17" s="635" t="str">
        <f>'תקציב אגף חינוך 2021 '!C17</f>
        <v>פרויקט לווינים - ישראל 70</v>
      </c>
      <c r="D17" s="392">
        <f>'תקציב אגף חינוך 2021 '!D17</f>
        <v>4050720</v>
      </c>
      <c r="E17" s="392">
        <f>'תקציב אגף חינוך 2021 '!E17</f>
        <v>4050720</v>
      </c>
      <c r="F17" s="392">
        <f>'תקציב אגף חינוך 2021 '!F17</f>
        <v>0</v>
      </c>
      <c r="G17" s="392">
        <f>'תקציב אגף חינוך 2021 '!G17</f>
        <v>4050720</v>
      </c>
      <c r="H17" s="392">
        <f>'תקציב אגף חינוך 2021 '!H17</f>
        <v>1703690</v>
      </c>
      <c r="I17" s="392">
        <f>'תקציב אגף חינוך 2021 '!I17</f>
        <v>1483152</v>
      </c>
      <c r="J17" s="392">
        <f>'תקציב אגף חינוך 2021 '!J17</f>
        <v>118081</v>
      </c>
      <c r="K17" s="392">
        <f>'תקציב אגף חינוך 2021 '!K17</f>
        <v>1601233</v>
      </c>
      <c r="L17" s="392">
        <f>'תקציב אגף חינוך 2021 '!L17</f>
        <v>3304923</v>
      </c>
      <c r="M17" s="392">
        <f>'תקציב אגף חינוך 2021 '!M17</f>
        <v>745797</v>
      </c>
      <c r="N17" s="392">
        <f>'תקציב אגף חינוך 2021 '!N17</f>
        <v>0</v>
      </c>
      <c r="O17" s="392">
        <f>'תקציב אגף חינוך 2021 '!O17</f>
        <v>0</v>
      </c>
      <c r="P17" s="392">
        <f>'תקציב אגף חינוך 2021 '!P17</f>
        <v>745797</v>
      </c>
      <c r="Q17" s="392">
        <f>'תקציב אגף חינוך 2021 '!Q17</f>
        <v>0</v>
      </c>
      <c r="R17" s="392">
        <f>'תקציב אגף חינוך 2021 '!R17</f>
        <v>0</v>
      </c>
      <c r="S17" s="392">
        <f>'תקציב אגף חינוך 2021 '!S17</f>
        <v>0</v>
      </c>
      <c r="T17" s="392">
        <f>'תקציב אגף חינוך 2021 '!T17</f>
        <v>0</v>
      </c>
      <c r="U17" s="392">
        <f>'תקציב אגף חינוך 2021 '!U17</f>
        <v>0</v>
      </c>
      <c r="V17" s="392">
        <f>'תקציב אגף חינוך 2021 '!V17</f>
        <v>0</v>
      </c>
      <c r="W17" s="392">
        <f>'תקציב אגף חינוך 2021 '!W17</f>
        <v>0</v>
      </c>
      <c r="X17" s="392">
        <f>'תקציב אגף חינוך 2021 '!X17</f>
        <v>0</v>
      </c>
      <c r="Y17" s="392">
        <f>'תקציב אגף חינוך 2021 '!Y17</f>
        <v>0</v>
      </c>
      <c r="Z17" s="392">
        <f>'תקציב אגף חינוך 2021 '!Z17</f>
        <v>0</v>
      </c>
      <c r="AA17" s="392">
        <f>'תקציב אגף חינוך 2021 '!AA17</f>
        <v>0</v>
      </c>
      <c r="AB17" s="636" t="str">
        <f>'תקציב אגף חינוך 2021 '!AB17</f>
        <v>פרויקט שיגור 70 לווינים בשיתוף עם 70 ערים ומועצות עירוניות. מימון מ. המדע.</v>
      </c>
      <c r="AC17" s="391">
        <f>'תקציב אגף חינוך 2021 '!AC17</f>
        <v>810000</v>
      </c>
      <c r="AD17" s="601"/>
      <c r="AE17" s="601"/>
      <c r="AF17" s="601"/>
      <c r="AG17" s="601"/>
      <c r="AH17" s="601"/>
    </row>
    <row r="18" spans="1:34" s="394" customFormat="1" ht="28">
      <c r="A18" s="391">
        <f t="shared" si="0"/>
        <v>14</v>
      </c>
      <c r="B18" s="391">
        <f>'תקציב אגף חינוך 2021 '!B18</f>
        <v>2135</v>
      </c>
      <c r="C18" s="635" t="str">
        <f>'תקציב אגף חינוך 2021 '!C18</f>
        <v>חידוש ריהוט בי"ס</v>
      </c>
      <c r="D18" s="392">
        <f>'תקציב אגף חינוך 2021 '!D18</f>
        <v>23000000</v>
      </c>
      <c r="E18" s="392">
        <f>'תקציב אגף חינוך 2021 '!E18</f>
        <v>23000000</v>
      </c>
      <c r="F18" s="392">
        <f>'תקציב אגף חינוך 2021 '!F18</f>
        <v>0</v>
      </c>
      <c r="G18" s="392">
        <f>'תקציב אגף חינוך 2021 '!G18</f>
        <v>0</v>
      </c>
      <c r="H18" s="392">
        <f>'תקציב אגף חינוך 2021 '!H18</f>
        <v>0</v>
      </c>
      <c r="I18" s="392">
        <f>'תקציב אגף חינוך 2021 '!I18</f>
        <v>0</v>
      </c>
      <c r="J18" s="392">
        <f>'תקציב אגף חינוך 2021 '!J18</f>
        <v>0</v>
      </c>
      <c r="K18" s="392">
        <f>'תקציב אגף חינוך 2021 '!K18</f>
        <v>0</v>
      </c>
      <c r="L18" s="392">
        <f>'תקציב אגף חינוך 2021 '!L18</f>
        <v>0</v>
      </c>
      <c r="M18" s="392">
        <f>'תקציב אגף חינוך 2021 '!M18</f>
        <v>0</v>
      </c>
      <c r="N18" s="392">
        <f>'תקציב אגף חינוך 2021 '!N18</f>
        <v>0</v>
      </c>
      <c r="O18" s="392">
        <f>'תקציב אגף חינוך 2021 '!O18</f>
        <v>23000000</v>
      </c>
      <c r="P18" s="392">
        <f>'תקציב אגף חינוך 2021 '!P18</f>
        <v>0</v>
      </c>
      <c r="Q18" s="392">
        <f>'תקציב אגף חינוך 2021 '!Q18</f>
        <v>0</v>
      </c>
      <c r="R18" s="392">
        <f>'תקציב אגף חינוך 2021 '!R18</f>
        <v>0</v>
      </c>
      <c r="S18" s="392">
        <f>'תקציב אגף חינוך 2021 '!S18</f>
        <v>0</v>
      </c>
      <c r="T18" s="392">
        <f>'תקציב אגף חינוך 2021 '!T18</f>
        <v>0</v>
      </c>
      <c r="U18" s="392">
        <f>'תקציב אגף חינוך 2021 '!U18</f>
        <v>0</v>
      </c>
      <c r="V18" s="392">
        <f>'תקציב אגף חינוך 2021 '!V18</f>
        <v>0</v>
      </c>
      <c r="W18" s="392">
        <f>'תקציב אגף חינוך 2021 '!W18</f>
        <v>0</v>
      </c>
      <c r="X18" s="392">
        <f>'תקציב אגף חינוך 2021 '!X18</f>
        <v>0</v>
      </c>
      <c r="Y18" s="392">
        <f>'תקציב אגף חינוך 2021 '!Y18</f>
        <v>0</v>
      </c>
      <c r="Z18" s="392">
        <f>'תקציב אגף חינוך 2021 '!Z18</f>
        <v>0</v>
      </c>
      <c r="AA18" s="392">
        <f>'תקציב אגף חינוך 2021 '!AA18</f>
        <v>0</v>
      </c>
      <c r="AB18" s="636" t="str">
        <f>'תקציב אגף חינוך 2021 '!AB18</f>
        <v xml:space="preserve">פרויקט החלפת ריהוט המותאם למאה ה - 21  בכל ביה"ס. תוכנית רב שנתית. </v>
      </c>
      <c r="AC18" s="391">
        <f>'תקציב אגף חינוך 2021 '!AC18</f>
        <v>810000</v>
      </c>
      <c r="AD18" s="601"/>
      <c r="AE18" s="601"/>
      <c r="AF18" s="601"/>
      <c r="AG18" s="601"/>
      <c r="AH18" s="601"/>
    </row>
    <row r="19" spans="1:34" s="394" customFormat="1" ht="46.25" customHeight="1">
      <c r="A19" s="391">
        <f t="shared" si="0"/>
        <v>15</v>
      </c>
      <c r="B19" s="391">
        <f>'תקציב אגף חינוך 2021 '!B19</f>
        <v>2159</v>
      </c>
      <c r="C19" s="635" t="str">
        <f>'תקציב אגף חינוך 2021 '!C19</f>
        <v>הצטיידות מעבדות תיכון ראשונים</v>
      </c>
      <c r="D19" s="392">
        <f>'תקציב אגף חינוך 2021 '!D19</f>
        <v>200000</v>
      </c>
      <c r="E19" s="392">
        <f>'תקציב אגף חינוך 2021 '!E19</f>
        <v>200000</v>
      </c>
      <c r="F19" s="392">
        <f>'תקציב אגף חינוך 2021 '!F19</f>
        <v>0</v>
      </c>
      <c r="G19" s="392">
        <f>'תקציב אגף חינוך 2021 '!G19</f>
        <v>200000</v>
      </c>
      <c r="H19" s="392">
        <f>'תקציב אגף חינוך 2021 '!H19</f>
        <v>24396</v>
      </c>
      <c r="I19" s="392">
        <f>'תקציב אגף חינוך 2021 '!I19</f>
        <v>0</v>
      </c>
      <c r="J19" s="392">
        <f>'תקציב אגף חינוך 2021 '!J19</f>
        <v>81338</v>
      </c>
      <c r="K19" s="392">
        <f>'תקציב אגף חינוך 2021 '!K19</f>
        <v>81338</v>
      </c>
      <c r="L19" s="392">
        <f>'תקציב אגף חינוך 2021 '!L19</f>
        <v>105734</v>
      </c>
      <c r="M19" s="392">
        <f>'תקציב אגף חינוך 2021 '!M19</f>
        <v>94266</v>
      </c>
      <c r="N19" s="392">
        <f>'תקציב אגף חינוך 2021 '!N19</f>
        <v>0</v>
      </c>
      <c r="O19" s="392">
        <f>'תקציב אגף חינוך 2021 '!O19</f>
        <v>0</v>
      </c>
      <c r="P19" s="392">
        <f>'תקציב אגף חינוך 2021 '!P19</f>
        <v>94266</v>
      </c>
      <c r="Q19" s="392">
        <f>'תקציב אגף חינוך 2021 '!Q19</f>
        <v>0</v>
      </c>
      <c r="R19" s="392">
        <f>'תקציב אגף חינוך 2021 '!R19</f>
        <v>0</v>
      </c>
      <c r="S19" s="392">
        <f>'תקציב אגף חינוך 2021 '!S19</f>
        <v>0</v>
      </c>
      <c r="T19" s="392">
        <f>'תקציב אגף חינוך 2021 '!T19</f>
        <v>0</v>
      </c>
      <c r="U19" s="392">
        <f>'תקציב אגף חינוך 2021 '!U19</f>
        <v>0</v>
      </c>
      <c r="V19" s="392">
        <f>'תקציב אגף חינוך 2021 '!V19</f>
        <v>0</v>
      </c>
      <c r="W19" s="392">
        <f>'תקציב אגף חינוך 2021 '!W19</f>
        <v>0</v>
      </c>
      <c r="X19" s="392">
        <f>'תקציב אגף חינוך 2021 '!X19</f>
        <v>0</v>
      </c>
      <c r="Y19" s="392">
        <f>'תקציב אגף חינוך 2021 '!Y19</f>
        <v>0</v>
      </c>
      <c r="Z19" s="392">
        <f>'תקציב אגף חינוך 2021 '!Z19</f>
        <v>0</v>
      </c>
      <c r="AA19" s="392">
        <f>'תקציב אגף חינוך 2021 '!AA19</f>
        <v>0</v>
      </c>
      <c r="AB19" s="636" t="str">
        <f>'תקציב אגף חינוך 2021 '!AB19</f>
        <v>הצטיידות חדשה של מעבדות בתיכון ראשונים עקב גידול משמעותי במספר התלמידים ומספר הפעילויות .</v>
      </c>
      <c r="AC19" s="391">
        <f>'תקציב אגף חינוך 2021 '!AC19</f>
        <v>810000</v>
      </c>
      <c r="AD19" s="601"/>
      <c r="AE19" s="601"/>
      <c r="AF19" s="601"/>
      <c r="AG19" s="601"/>
      <c r="AH19" s="601"/>
    </row>
    <row r="20" spans="1:34" s="394" customFormat="1" ht="42">
      <c r="A20" s="391">
        <f t="shared" si="0"/>
        <v>16</v>
      </c>
      <c r="B20" s="391">
        <f>'תקציב אגף חינוך 2021 '!B20</f>
        <v>2160</v>
      </c>
      <c r="C20" s="635" t="str">
        <f>'תקציב אגף חינוך 2021 '!C20</f>
        <v xml:space="preserve">עיצוב חדשני של כיתות האם </v>
      </c>
      <c r="D20" s="392">
        <f>'תקציב אגף חינוך 2021 '!D20</f>
        <v>180000</v>
      </c>
      <c r="E20" s="392">
        <f>'תקציב אגף חינוך 2021 '!E20</f>
        <v>180000</v>
      </c>
      <c r="F20" s="392">
        <f>'תקציב אגף חינוך 2021 '!F20</f>
        <v>0</v>
      </c>
      <c r="G20" s="392">
        <f>'תקציב אגף חינוך 2021 '!G20</f>
        <v>0</v>
      </c>
      <c r="H20" s="392">
        <f>'תקציב אגף חינוך 2021 '!H20</f>
        <v>0</v>
      </c>
      <c r="I20" s="392">
        <f>'תקציב אגף חינוך 2021 '!I20</f>
        <v>0</v>
      </c>
      <c r="J20" s="392">
        <f>'תקציב אגף חינוך 2021 '!J20</f>
        <v>0</v>
      </c>
      <c r="K20" s="392">
        <f>'תקציב אגף חינוך 2021 '!K20</f>
        <v>0</v>
      </c>
      <c r="L20" s="392">
        <f>'תקציב אגף חינוך 2021 '!L20</f>
        <v>0</v>
      </c>
      <c r="M20" s="392">
        <f>'תקציב אגף חינוך 2021 '!M20</f>
        <v>0</v>
      </c>
      <c r="N20" s="392">
        <f>'תקציב אגף חינוך 2021 '!N20</f>
        <v>0</v>
      </c>
      <c r="O20" s="392">
        <f>'תקציב אגף חינוך 2021 '!O20</f>
        <v>180000</v>
      </c>
      <c r="P20" s="392">
        <f>'תקציב אגף חינוך 2021 '!P20</f>
        <v>0</v>
      </c>
      <c r="Q20" s="392">
        <f>'תקציב אגף חינוך 2021 '!Q20</f>
        <v>0</v>
      </c>
      <c r="R20" s="392">
        <f>'תקציב אגף חינוך 2021 '!R20</f>
        <v>0</v>
      </c>
      <c r="S20" s="392">
        <f>'תקציב אגף חינוך 2021 '!S20</f>
        <v>0</v>
      </c>
      <c r="T20" s="392">
        <f>'תקציב אגף חינוך 2021 '!T20</f>
        <v>0</v>
      </c>
      <c r="U20" s="392">
        <f>'תקציב אגף חינוך 2021 '!U20</f>
        <v>0</v>
      </c>
      <c r="V20" s="392">
        <f>'תקציב אגף חינוך 2021 '!V20</f>
        <v>0</v>
      </c>
      <c r="W20" s="392">
        <f>'תקציב אגף חינוך 2021 '!W20</f>
        <v>0</v>
      </c>
      <c r="X20" s="392">
        <f>'תקציב אגף חינוך 2021 '!X20</f>
        <v>0</v>
      </c>
      <c r="Y20" s="392">
        <f>'תקציב אגף חינוך 2021 '!Y20</f>
        <v>0</v>
      </c>
      <c r="Z20" s="392">
        <f>'תקציב אגף חינוך 2021 '!Z20</f>
        <v>0</v>
      </c>
      <c r="AA20" s="392">
        <f>'תקציב אגף חינוך 2021 '!AA20</f>
        <v>0</v>
      </c>
      <c r="AB20" s="636" t="str">
        <f>'תקציב אגף חינוך 2021 '!AB20</f>
        <v>הקמת מרחבי למידה חדשניים בשכבת כיתות ז' בחט"ב רעות הכולל ריהוט ועיצוב פנים.</v>
      </c>
      <c r="AC20" s="391">
        <f>'תקציב אגף חינוך 2021 '!AC20</f>
        <v>810000</v>
      </c>
      <c r="AD20" s="601"/>
      <c r="AE20" s="601"/>
      <c r="AF20" s="601"/>
      <c r="AG20" s="601"/>
      <c r="AH20" s="601"/>
    </row>
    <row r="21" spans="1:34" s="394" customFormat="1" ht="35.15" customHeight="1">
      <c r="A21" s="391">
        <f t="shared" si="0"/>
        <v>17</v>
      </c>
      <c r="B21" s="391">
        <f>'תקציב אגף חינוך 2021 '!B21</f>
        <v>2161</v>
      </c>
      <c r="C21" s="635" t="str">
        <f>'תקציב אגף חינוך 2021 '!C21</f>
        <v>הצטיידות גנ"י ילדים גליל ים (מגרש 401)</v>
      </c>
      <c r="D21" s="392">
        <f>'תקציב אגף חינוך 2021 '!D21</f>
        <v>180000</v>
      </c>
      <c r="E21" s="392">
        <f>'תקציב אגף חינוך 2021 '!E21</f>
        <v>180000</v>
      </c>
      <c r="F21" s="392">
        <f>'תקציב אגף חינוך 2021 '!F21</f>
        <v>0</v>
      </c>
      <c r="G21" s="392">
        <f>'תקציב אגף חינוך 2021 '!G21</f>
        <v>180000</v>
      </c>
      <c r="H21" s="392">
        <f>'תקציב אגף חינוך 2021 '!H21</f>
        <v>7419</v>
      </c>
      <c r="I21" s="392">
        <f>'תקציב אגף חינוך 2021 '!I21</f>
        <v>0</v>
      </c>
      <c r="J21" s="392">
        <f>'תקציב אגף חינוך 2021 '!J21</f>
        <v>119726</v>
      </c>
      <c r="K21" s="392">
        <f>'תקציב אגף חינוך 2021 '!K21</f>
        <v>119726</v>
      </c>
      <c r="L21" s="392">
        <f>'תקציב אגף חינוך 2021 '!L21</f>
        <v>127145</v>
      </c>
      <c r="M21" s="392">
        <f>'תקציב אגף חינוך 2021 '!M21</f>
        <v>52855</v>
      </c>
      <c r="N21" s="392">
        <f>'תקציב אגף חינוך 2021 '!N21</f>
        <v>0</v>
      </c>
      <c r="O21" s="392">
        <f>'תקציב אגף חינוך 2021 '!O21</f>
        <v>0</v>
      </c>
      <c r="P21" s="392">
        <f>'תקציב אגף חינוך 2021 '!P21</f>
        <v>52855</v>
      </c>
      <c r="Q21" s="392">
        <f>'תקציב אגף חינוך 2021 '!Q21</f>
        <v>0</v>
      </c>
      <c r="R21" s="392">
        <f>'תקציב אגף חינוך 2021 '!R21</f>
        <v>0</v>
      </c>
      <c r="S21" s="392">
        <f>'תקציב אגף חינוך 2021 '!S21</f>
        <v>0</v>
      </c>
      <c r="T21" s="392">
        <f>'תקציב אגף חינוך 2021 '!T21</f>
        <v>0</v>
      </c>
      <c r="U21" s="392">
        <f>'תקציב אגף חינוך 2021 '!U21</f>
        <v>0</v>
      </c>
      <c r="V21" s="392">
        <f>'תקציב אגף חינוך 2021 '!V21</f>
        <v>0</v>
      </c>
      <c r="W21" s="392">
        <f>'תקציב אגף חינוך 2021 '!W21</f>
        <v>0</v>
      </c>
      <c r="X21" s="392">
        <f>'תקציב אגף חינוך 2021 '!X21</f>
        <v>0</v>
      </c>
      <c r="Y21" s="392">
        <f>'תקציב אגף חינוך 2021 '!Y21</f>
        <v>0</v>
      </c>
      <c r="Z21" s="392">
        <f>'תקציב אגף חינוך 2021 '!Z21</f>
        <v>0</v>
      </c>
      <c r="AA21" s="392">
        <f>'תקציב אגף חינוך 2021 '!AA21</f>
        <v>0</v>
      </c>
      <c r="AB21" s="636" t="str">
        <f>'תקציב אגף חינוך 2021 '!AB21</f>
        <v xml:space="preserve">במקביל לבנית גנ"י בביצוע של החב. לפיתוח. </v>
      </c>
      <c r="AC21" s="391">
        <f>'תקציב אגף חינוך 2021 '!AC21</f>
        <v>810000</v>
      </c>
      <c r="AD21" s="601"/>
      <c r="AE21" s="601"/>
      <c r="AF21" s="601"/>
      <c r="AG21" s="601"/>
      <c r="AH21" s="601"/>
    </row>
    <row r="22" spans="1:34" s="394" customFormat="1" ht="35.15" customHeight="1">
      <c r="A22" s="391">
        <f t="shared" si="0"/>
        <v>18</v>
      </c>
      <c r="B22" s="391">
        <f>'תקציב אגף חינוך 2021 '!B22</f>
        <v>2179</v>
      </c>
      <c r="C22" s="635" t="str">
        <f>'תקציב אגף חינוך 2021 '!C22</f>
        <v>עיצוב מרחבי למידה מוס"ח מ.חינוך</v>
      </c>
      <c r="D22" s="392">
        <f>'תקציב אגף חינוך 2021 '!D22</f>
        <v>460000</v>
      </c>
      <c r="E22" s="392">
        <f>'תקציב אגף חינוך 2021 '!E22</f>
        <v>460000</v>
      </c>
      <c r="F22" s="392">
        <f>'תקציב אגף חינוך 2021 '!F22</f>
        <v>0</v>
      </c>
      <c r="G22" s="392">
        <f>'תקציב אגף חינוך 2021 '!G22</f>
        <v>460000</v>
      </c>
      <c r="H22" s="392">
        <f>'תקציב אגף חינוך 2021 '!H22</f>
        <v>0</v>
      </c>
      <c r="I22" s="392">
        <f>'תקציב אגף חינוך 2021 '!I22</f>
        <v>0</v>
      </c>
      <c r="J22" s="392">
        <f>'תקציב אגף חינוך 2021 '!J22</f>
        <v>250178</v>
      </c>
      <c r="K22" s="392">
        <f>'תקציב אגף חינוך 2021 '!K22</f>
        <v>250178</v>
      </c>
      <c r="L22" s="392">
        <f>'תקציב אגף חינוך 2021 '!L22</f>
        <v>250178</v>
      </c>
      <c r="M22" s="392">
        <f>'תקציב אגף חינוך 2021 '!M22</f>
        <v>209822</v>
      </c>
      <c r="N22" s="392">
        <f>'תקציב אגף חינוך 2021 '!N22</f>
        <v>0</v>
      </c>
      <c r="O22" s="392">
        <f>'תקציב אגף חינוך 2021 '!O22</f>
        <v>0</v>
      </c>
      <c r="P22" s="392">
        <f>'תקציב אגף חינוך 2021 '!P22</f>
        <v>209822</v>
      </c>
      <c r="Q22" s="392">
        <f>'תקציב אגף חינוך 2021 '!Q22</f>
        <v>0</v>
      </c>
      <c r="R22" s="392">
        <f>'תקציב אגף חינוך 2021 '!R22</f>
        <v>0</v>
      </c>
      <c r="S22" s="392">
        <f>'תקציב אגף חינוך 2021 '!S22</f>
        <v>0</v>
      </c>
      <c r="T22" s="392">
        <f>'תקציב אגף חינוך 2021 '!T22</f>
        <v>0</v>
      </c>
      <c r="U22" s="392">
        <f>'תקציב אגף חינוך 2021 '!U22</f>
        <v>0</v>
      </c>
      <c r="V22" s="392">
        <f>'תקציב אגף חינוך 2021 '!V22</f>
        <v>0</v>
      </c>
      <c r="W22" s="392">
        <f>'תקציב אגף חינוך 2021 '!W22</f>
        <v>0</v>
      </c>
      <c r="X22" s="392">
        <f>'תקציב אגף חינוך 2021 '!X22</f>
        <v>0</v>
      </c>
      <c r="Y22" s="392">
        <f>'תקציב אגף חינוך 2021 '!Y22</f>
        <v>0</v>
      </c>
      <c r="Z22" s="392">
        <f>'תקציב אגף חינוך 2021 '!Z22</f>
        <v>0</v>
      </c>
      <c r="AA22" s="392">
        <f>'תקציב אגף חינוך 2021 '!AA22</f>
        <v>0</v>
      </c>
      <c r="AB22" s="636" t="str">
        <f>'תקציב אגף חינוך 2021 '!AB22</f>
        <v>מימון מ. החינוך.</v>
      </c>
      <c r="AC22" s="391">
        <f>'תקציב אגף חינוך 2021 '!AC22</f>
        <v>810000</v>
      </c>
      <c r="AD22" s="601"/>
      <c r="AE22" s="601"/>
      <c r="AF22" s="601"/>
      <c r="AG22" s="601"/>
      <c r="AH22" s="601"/>
    </row>
    <row r="23" spans="1:34" s="394" customFormat="1" ht="42">
      <c r="A23" s="391">
        <f>A22+1</f>
        <v>19</v>
      </c>
      <c r="B23" s="391">
        <f>'תקציב אגף חינוך 2021 '!B23</f>
        <v>2217</v>
      </c>
      <c r="C23" s="635" t="str">
        <f>'תקציב אגף חינוך 2021 '!C23</f>
        <v>הצטיידות גנ"י ילדים גליל ים (מגרשים 303,302,404)</v>
      </c>
      <c r="D23" s="392">
        <f>'תקציב אגף חינוך 2021 '!D23</f>
        <v>1210000</v>
      </c>
      <c r="E23" s="392">
        <f>'תקציב אגף חינוך 2021 '!E23</f>
        <v>0</v>
      </c>
      <c r="F23" s="392">
        <f>'תקציב אגף חינוך 2021 '!F23</f>
        <v>1210000</v>
      </c>
      <c r="G23" s="392">
        <f>'תקציב אגף חינוך 2021 '!G23</f>
        <v>0</v>
      </c>
      <c r="H23" s="392">
        <f>'תקציב אגף חינוך 2021 '!H23</f>
        <v>0</v>
      </c>
      <c r="I23" s="392">
        <f>'תקציב אגף חינוך 2021 '!I23</f>
        <v>0</v>
      </c>
      <c r="J23" s="392">
        <f>'תקציב אגף חינוך 2021 '!J23</f>
        <v>0</v>
      </c>
      <c r="K23" s="392">
        <f>'תקציב אגף חינוך 2021 '!K23</f>
        <v>0</v>
      </c>
      <c r="L23" s="392">
        <f>'תקציב אגף חינוך 2021 '!L23</f>
        <v>0</v>
      </c>
      <c r="M23" s="392">
        <f>'תקציב אגף חינוך 2021 '!M23</f>
        <v>0</v>
      </c>
      <c r="N23" s="392">
        <f>'תקציב אגף חינוך 2021 '!N23</f>
        <v>1210000</v>
      </c>
      <c r="O23" s="392">
        <f>'תקציב אגף חינוך 2021 '!O23</f>
        <v>0</v>
      </c>
      <c r="P23" s="392">
        <f>'תקציב אגף חינוך 2021 '!P23</f>
        <v>0</v>
      </c>
      <c r="Q23" s="392">
        <f>'תקציב אגף חינוך 2021 '!Q23</f>
        <v>0</v>
      </c>
      <c r="R23" s="392">
        <f>'תקציב אגף חינוך 2021 '!R23</f>
        <v>0</v>
      </c>
      <c r="S23" s="392">
        <f>'תקציב אגף חינוך 2021 '!S23</f>
        <v>0</v>
      </c>
      <c r="T23" s="392">
        <f>'תקציב אגף חינוך 2021 '!T23</f>
        <v>0</v>
      </c>
      <c r="U23" s="392">
        <f>'תקציב אגף חינוך 2021 '!U23</f>
        <v>1210000</v>
      </c>
      <c r="V23" s="392">
        <f>'תקציב אגף חינוך 2021 '!V23</f>
        <v>0</v>
      </c>
      <c r="W23" s="392">
        <f>'תקציב אגף חינוך 2021 '!W23</f>
        <v>950000</v>
      </c>
      <c r="X23" s="392">
        <f>'תקציב אגף חינוך 2021 '!X23</f>
        <v>0</v>
      </c>
      <c r="Y23" s="392">
        <f>'תקציב אגף חינוך 2021 '!Y23</f>
        <v>0</v>
      </c>
      <c r="Z23" s="392">
        <f>'תקציב אגף חינוך 2021 '!Z23</f>
        <v>0</v>
      </c>
      <c r="AA23" s="392">
        <f>'תקציב אגף חינוך 2021 '!AA23</f>
        <v>260000</v>
      </c>
      <c r="AB23" s="636" t="str">
        <f>'תקציב אגף חינוך 2021 '!AB23</f>
        <v>הצטיידות 20 גנ"י ח"ר וח"מ  במגרשים 303,302,404. במקביל לבנית גנ"י בביצוע של החב. לפיתוח. מימון מ. החינוך.</v>
      </c>
      <c r="AC23" s="391">
        <f>'תקציב אגף חינוך 2021 '!AC23</f>
        <v>810000</v>
      </c>
      <c r="AD23" s="601"/>
      <c r="AE23" s="601"/>
      <c r="AF23" s="601"/>
      <c r="AG23" s="601"/>
      <c r="AH23" s="601"/>
    </row>
    <row r="24" spans="1:34" s="394" customFormat="1" ht="28">
      <c r="A24" s="391">
        <f>A23+1</f>
        <v>20</v>
      </c>
      <c r="B24" s="391">
        <f>'תקציב אגף חינוך 2021 '!B24</f>
        <v>2218</v>
      </c>
      <c r="C24" s="635" t="str">
        <f>'תקציב אגף חינוך 2021 '!C24</f>
        <v>הצטיידות בית ספר חלופי</v>
      </c>
      <c r="D24" s="392">
        <f>'תקציב אגף חינוך 2021 '!D24</f>
        <v>2300000</v>
      </c>
      <c r="E24" s="392">
        <f>'תקציב אגף חינוך 2021 '!E24</f>
        <v>0</v>
      </c>
      <c r="F24" s="392">
        <f>'תקציב אגף חינוך 2021 '!F24</f>
        <v>2300000</v>
      </c>
      <c r="G24" s="392">
        <f>'תקציב אגף חינוך 2021 '!G24</f>
        <v>0</v>
      </c>
      <c r="H24" s="392">
        <f>'תקציב אגף חינוך 2021 '!H24</f>
        <v>0</v>
      </c>
      <c r="I24" s="392">
        <f>'תקציב אגף חינוך 2021 '!I24</f>
        <v>0</v>
      </c>
      <c r="J24" s="392">
        <f>'תקציב אגף חינוך 2021 '!J24</f>
        <v>0</v>
      </c>
      <c r="K24" s="392">
        <f>'תקציב אגף חינוך 2021 '!K24</f>
        <v>0</v>
      </c>
      <c r="L24" s="392">
        <f>'תקציב אגף חינוך 2021 '!L24</f>
        <v>0</v>
      </c>
      <c r="M24" s="392">
        <f>'תקציב אגף חינוך 2021 '!M24</f>
        <v>0</v>
      </c>
      <c r="N24" s="392">
        <f>'תקציב אגף חינוך 2021 '!N24</f>
        <v>1500000</v>
      </c>
      <c r="O24" s="392">
        <f>'תקציב אגף חינוך 2021 '!O24</f>
        <v>800000</v>
      </c>
      <c r="P24" s="392">
        <f>'תקציב אגף חינוך 2021 '!P24</f>
        <v>0</v>
      </c>
      <c r="Q24" s="392">
        <f>'תקציב אגף חינוך 2021 '!Q24</f>
        <v>0</v>
      </c>
      <c r="R24" s="392">
        <f>'תקציב אגף חינוך 2021 '!R24</f>
        <v>0</v>
      </c>
      <c r="S24" s="392">
        <f>'תקציב אגף חינוך 2021 '!S24</f>
        <v>0</v>
      </c>
      <c r="T24" s="392">
        <f>'תקציב אגף חינוך 2021 '!T24</f>
        <v>0</v>
      </c>
      <c r="U24" s="392">
        <f>'תקציב אגף חינוך 2021 '!U24</f>
        <v>1500000</v>
      </c>
      <c r="V24" s="392">
        <f>'תקציב אגף חינוך 2021 '!V24</f>
        <v>0</v>
      </c>
      <c r="W24" s="392">
        <f>'תקציב אגף חינוך 2021 '!W24</f>
        <v>900000</v>
      </c>
      <c r="X24" s="392">
        <f>'תקציב אגף חינוך 2021 '!X24</f>
        <v>0</v>
      </c>
      <c r="Y24" s="392">
        <f>'תקציב אגף חינוך 2021 '!Y24</f>
        <v>0</v>
      </c>
      <c r="Z24" s="392">
        <f>'תקציב אגף חינוך 2021 '!Z24</f>
        <v>0</v>
      </c>
      <c r="AA24" s="392">
        <f>'תקציב אגף חינוך 2021 '!AA24</f>
        <v>600000</v>
      </c>
      <c r="AB24" s="636" t="str">
        <f>'תקציב אגף חינוך 2021 '!AB24</f>
        <v>הצטיידות ריהוט ומיחשוב 40 מרחבי למידה כולל 20  כיתות אם . מימון מ. הפיס.</v>
      </c>
      <c r="AC24" s="391">
        <f>'תקציב אגף חינוך 2021 '!AC24</f>
        <v>810000</v>
      </c>
      <c r="AD24" s="601"/>
      <c r="AE24" s="601"/>
      <c r="AF24" s="601"/>
      <c r="AG24" s="601"/>
      <c r="AH24" s="601"/>
    </row>
    <row r="25" spans="1:34" s="394" customFormat="1" ht="30" customHeight="1">
      <c r="A25" s="391">
        <f>A24+1</f>
        <v>21</v>
      </c>
      <c r="B25" s="391">
        <f>'תקציב אגף חינוך 2021 '!B25</f>
        <v>2219</v>
      </c>
      <c r="C25" s="635" t="str">
        <f>'תקציב אגף חינוך 2021 '!C25</f>
        <v>הצטיידות בי"ס דמוקרטי</v>
      </c>
      <c r="D25" s="392">
        <f>'תקציב אגף חינוך 2021 '!D25</f>
        <v>750000</v>
      </c>
      <c r="E25" s="392">
        <f>'תקציב אגף חינוך 2021 '!E25</f>
        <v>0</v>
      </c>
      <c r="F25" s="392">
        <f>'תקציב אגף חינוך 2021 '!F25</f>
        <v>750000</v>
      </c>
      <c r="G25" s="392">
        <f>'תקציב אגף חינוך 2021 '!G25</f>
        <v>0</v>
      </c>
      <c r="H25" s="392">
        <f>'תקציב אגף חינוך 2021 '!H25</f>
        <v>0</v>
      </c>
      <c r="I25" s="392">
        <f>'תקציב אגף חינוך 2021 '!I25</f>
        <v>0</v>
      </c>
      <c r="J25" s="392">
        <f>'תקציב אגף חינוך 2021 '!J25</f>
        <v>0</v>
      </c>
      <c r="K25" s="392">
        <f>'תקציב אגף חינוך 2021 '!K25</f>
        <v>0</v>
      </c>
      <c r="L25" s="392">
        <f>'תקציב אגף חינוך 2021 '!L25</f>
        <v>0</v>
      </c>
      <c r="M25" s="392">
        <f>'תקציב אגף חינוך 2021 '!M25</f>
        <v>0</v>
      </c>
      <c r="N25" s="392">
        <f>'תקציב אגף חינוך 2021 '!N25</f>
        <v>680000</v>
      </c>
      <c r="O25" s="392">
        <f>'תקציב אגף חינוך 2021 '!O25</f>
        <v>70000</v>
      </c>
      <c r="P25" s="392">
        <f>'תקציב אגף חינוך 2021 '!P25</f>
        <v>0</v>
      </c>
      <c r="Q25" s="392">
        <f>'תקציב אגף חינוך 2021 '!Q25</f>
        <v>0</v>
      </c>
      <c r="R25" s="392">
        <f>'תקציב אגף חינוך 2021 '!R25</f>
        <v>0</v>
      </c>
      <c r="S25" s="392">
        <f>'תקציב אגף חינוך 2021 '!S25</f>
        <v>0</v>
      </c>
      <c r="T25" s="392">
        <f>'תקציב אגף חינוך 2021 '!T25</f>
        <v>0</v>
      </c>
      <c r="U25" s="392">
        <f>'תקציב אגף חינוך 2021 '!U25</f>
        <v>680000</v>
      </c>
      <c r="V25" s="392">
        <f>'תקציב אגף חינוך 2021 '!V25</f>
        <v>0</v>
      </c>
      <c r="W25" s="392">
        <f>'תקציב אגף חינוך 2021 '!W25</f>
        <v>680000</v>
      </c>
      <c r="X25" s="392">
        <f>'תקציב אגף חינוך 2021 '!X25</f>
        <v>0</v>
      </c>
      <c r="Y25" s="392">
        <f>'תקציב אגף חינוך 2021 '!Y25</f>
        <v>0</v>
      </c>
      <c r="Z25" s="392">
        <f>'תקציב אגף חינוך 2021 '!Z25</f>
        <v>0</v>
      </c>
      <c r="AA25" s="392">
        <f>'תקציב אגף חינוך 2021 '!AA25</f>
        <v>0</v>
      </c>
      <c r="AB25" s="636" t="str">
        <f>'תקציב אגף חינוך 2021 '!AB25</f>
        <v>הצטיידות ריהוט ומיחשוב מבנה  בי"ס דמוקרטי בחט"ב סמדר.</v>
      </c>
      <c r="AC25" s="391">
        <f>'תקציב אגף חינוך 2021 '!AC25</f>
        <v>810000</v>
      </c>
      <c r="AD25" s="601"/>
      <c r="AE25" s="601"/>
      <c r="AF25" s="601"/>
      <c r="AG25" s="601"/>
      <c r="AH25" s="601"/>
    </row>
    <row r="26" spans="1:34" s="608" customFormat="1" ht="30" customHeight="1">
      <c r="A26" s="606">
        <f>A25</f>
        <v>21</v>
      </c>
      <c r="B26" s="606"/>
      <c r="C26" s="401" t="s">
        <v>1482</v>
      </c>
      <c r="D26" s="607">
        <f t="shared" ref="D26:AA26" si="1">SUM(D5:D25)</f>
        <v>44987720</v>
      </c>
      <c r="E26" s="607">
        <f t="shared" si="1"/>
        <v>38052720</v>
      </c>
      <c r="F26" s="607">
        <f t="shared" si="1"/>
        <v>6935000</v>
      </c>
      <c r="G26" s="607">
        <f t="shared" si="1"/>
        <v>12832720</v>
      </c>
      <c r="H26" s="607">
        <f t="shared" si="1"/>
        <v>7611002</v>
      </c>
      <c r="I26" s="607">
        <f t="shared" si="1"/>
        <v>1483152</v>
      </c>
      <c r="J26" s="607">
        <f t="shared" si="1"/>
        <v>1293005</v>
      </c>
      <c r="K26" s="607">
        <f t="shared" si="1"/>
        <v>2776157</v>
      </c>
      <c r="L26" s="607">
        <f t="shared" si="1"/>
        <v>10387159</v>
      </c>
      <c r="M26" s="607">
        <f t="shared" si="1"/>
        <v>2445561</v>
      </c>
      <c r="N26" s="607">
        <f t="shared" si="1"/>
        <v>6320000</v>
      </c>
      <c r="O26" s="607">
        <f t="shared" si="1"/>
        <v>25835000</v>
      </c>
      <c r="P26" s="607">
        <f t="shared" si="1"/>
        <v>2445561</v>
      </c>
      <c r="Q26" s="607">
        <f t="shared" si="1"/>
        <v>0</v>
      </c>
      <c r="R26" s="607">
        <f t="shared" si="1"/>
        <v>0</v>
      </c>
      <c r="S26" s="607">
        <f t="shared" si="1"/>
        <v>0</v>
      </c>
      <c r="T26" s="607">
        <f t="shared" si="1"/>
        <v>0</v>
      </c>
      <c r="U26" s="607">
        <f t="shared" si="1"/>
        <v>6320000</v>
      </c>
      <c r="V26" s="607">
        <f t="shared" si="1"/>
        <v>0</v>
      </c>
      <c r="W26" s="607">
        <f t="shared" si="1"/>
        <v>3496000</v>
      </c>
      <c r="X26" s="607">
        <f t="shared" si="1"/>
        <v>0</v>
      </c>
      <c r="Y26" s="607">
        <f t="shared" si="1"/>
        <v>0</v>
      </c>
      <c r="Z26" s="607">
        <f t="shared" si="1"/>
        <v>0</v>
      </c>
      <c r="AA26" s="607">
        <f t="shared" si="1"/>
        <v>2824000</v>
      </c>
      <c r="AB26" s="607"/>
      <c r="AC26" s="606"/>
      <c r="AD26" s="601"/>
      <c r="AE26" s="601"/>
      <c r="AF26" s="601"/>
      <c r="AG26" s="601"/>
      <c r="AH26" s="601"/>
    </row>
    <row r="27" spans="1:34" hidden="1">
      <c r="L27" s="400">
        <f>K26+H26</f>
        <v>10387159</v>
      </c>
      <c r="P27" s="400">
        <f>G26-L27</f>
        <v>2445561</v>
      </c>
    </row>
  </sheetData>
  <sheetProtection formatCells="0" formatColumns="0" formatRows="0" insertColumns="0" insertRows="0" insertHyperlinks="0" deleteColumns="0" deleteRows="0" sort="0" autoFilter="0" pivotTables="0"/>
  <conditionalFormatting sqref="A1:W2 AI1:XFD2 Z1:AC1 Z2:AA2 AC2 AD1:AH1048576">
    <cfRule type="cellIs" dxfId="223" priority="5" operator="equal">
      <formula>0</formula>
    </cfRule>
  </conditionalFormatting>
  <conditionalFormatting sqref="AB4">
    <cfRule type="cellIs" dxfId="222" priority="4" operator="equal">
      <formula>0</formula>
    </cfRule>
  </conditionalFormatting>
  <conditionalFormatting sqref="X1:X2">
    <cfRule type="cellIs" dxfId="221" priority="3" operator="equal">
      <formula>0</formula>
    </cfRule>
  </conditionalFormatting>
  <conditionalFormatting sqref="AB2">
    <cfRule type="cellIs" dxfId="220" priority="2" operator="equal">
      <formula>0</formula>
    </cfRule>
  </conditionalFormatting>
  <conditionalFormatting sqref="Y1:Y2">
    <cfRule type="cellIs" dxfId="21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4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457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1" thickBot="1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6" thickBot="1">
      <c r="A5" s="232"/>
      <c r="B5" s="235" t="s">
        <v>187</v>
      </c>
      <c r="C5" s="232" t="s">
        <v>1180</v>
      </c>
      <c r="D5" s="232"/>
      <c r="E5" s="232"/>
      <c r="F5" s="236">
        <f>'תקציב אגף תנוס 2021 '!U14</f>
        <v>2570000</v>
      </c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H6" s="232"/>
      <c r="I6" s="232"/>
      <c r="J6" s="232"/>
      <c r="K6" s="232"/>
      <c r="L6" s="232"/>
    </row>
    <row r="7" spans="1:17" ht="16" thickBot="1">
      <c r="B7" s="235" t="s">
        <v>187</v>
      </c>
      <c r="C7" s="232" t="s">
        <v>322</v>
      </c>
      <c r="D7" s="232"/>
      <c r="F7" s="236">
        <f>'תקציב אגף תנוס 2021 '!A14</f>
        <v>9</v>
      </c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/>
      <c r="C8" s="232"/>
      <c r="D8" s="232"/>
      <c r="E8" s="232"/>
      <c r="F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 t="s">
        <v>187</v>
      </c>
      <c r="C9" s="232" t="s">
        <v>310</v>
      </c>
      <c r="D9" s="232"/>
      <c r="E9" s="232"/>
      <c r="F9" s="232"/>
      <c r="G9" s="232"/>
      <c r="H9" s="232"/>
      <c r="I9" s="232"/>
      <c r="J9" s="232"/>
      <c r="K9" s="232"/>
      <c r="L9" s="232"/>
    </row>
    <row r="10" spans="1:17" ht="16" thickBot="1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D11" s="245" t="s">
        <v>311</v>
      </c>
      <c r="E11" s="246" t="s">
        <v>312</v>
      </c>
      <c r="F11" s="247" t="s">
        <v>314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D12" s="239" t="s">
        <v>14</v>
      </c>
      <c r="E12" s="417">
        <f>'תקציב אגף תנוס 2021 '!W14</f>
        <v>2570000</v>
      </c>
      <c r="F12" s="249">
        <f>E12/$E$14</f>
        <v>1</v>
      </c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7" ht="15.5" hidden="1">
      <c r="C13" s="235"/>
      <c r="D13" s="239" t="s">
        <v>91</v>
      </c>
      <c r="E13" s="248"/>
      <c r="F13" s="249">
        <f>E13/$E$14</f>
        <v>0</v>
      </c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6" thickBot="1">
      <c r="C14" s="235"/>
      <c r="D14" s="242" t="s">
        <v>105</v>
      </c>
      <c r="E14" s="347">
        <f>SUM(E12:E13)</f>
        <v>2570000</v>
      </c>
      <c r="F14" s="348">
        <f>SUM(F12:F13)</f>
        <v>1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B15" s="235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B16" s="235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B17" s="235"/>
      <c r="C17" s="232"/>
      <c r="D17" s="232"/>
      <c r="F17" s="232"/>
      <c r="H17" s="241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5.5">
      <c r="B18" s="235" t="s">
        <v>187</v>
      </c>
      <c r="C18" s="232" t="s">
        <v>1496</v>
      </c>
      <c r="D18" s="232"/>
      <c r="F18" s="232"/>
      <c r="H18" s="241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B19" s="235"/>
      <c r="C19" s="232" t="s">
        <v>1497</v>
      </c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2" spans="1:17" s="338" customFormat="1" ht="15.5">
      <c r="C22" s="340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</row>
    <row r="23" spans="1:17" s="338" customFormat="1" ht="15.5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  <row r="24" spans="1:17" s="338" customFormat="1" ht="15.5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9"/>
  <sheetViews>
    <sheetView showZeros="0" rightToLeft="1" zoomScaleNormal="100" workbookViewId="0">
      <pane xSplit="3" ySplit="4" topLeftCell="D8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453125" style="29" customWidth="1"/>
    <col min="2" max="2" width="4.6328125" style="12" customWidth="1"/>
    <col min="3" max="3" width="22.54296875" style="12" customWidth="1"/>
    <col min="4" max="6" width="9.81640625" style="14" customWidth="1"/>
    <col min="7" max="11" width="9.81640625" style="14" hidden="1" customWidth="1"/>
    <col min="12" max="15" width="9.81640625" style="14" customWidth="1"/>
    <col min="16" max="19" width="9.81640625" style="14" hidden="1" customWidth="1"/>
    <col min="20" max="20" width="9.81640625" style="14" customWidth="1"/>
    <col min="21" max="21" width="9.81640625" style="12" customWidth="1"/>
    <col min="22" max="22" width="9.81640625" style="12" hidden="1" customWidth="1"/>
    <col min="23" max="23" width="9.81640625" style="12" customWidth="1"/>
    <col min="24" max="27" width="8.6328125" style="12" hidden="1" customWidth="1"/>
    <col min="28" max="28" width="43" style="29" customWidth="1"/>
    <col min="29" max="29" width="7.90625" style="12" hidden="1" customWidth="1"/>
    <col min="30" max="16384" width="9.08984375" style="12"/>
  </cols>
  <sheetData>
    <row r="1" spans="1:29" s="558" customFormat="1" ht="18">
      <c r="A1" s="556"/>
      <c r="B1" s="556"/>
      <c r="C1" s="556"/>
      <c r="D1" s="557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</row>
    <row r="2" spans="1:29" s="558" customFormat="1" ht="18">
      <c r="A2" s="556" t="s">
        <v>457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</row>
    <row r="3" spans="1:29" ht="20.399999999999999" customHeight="1"/>
    <row r="4" spans="1:29" s="24" customFormat="1" ht="86.25" customHeight="1">
      <c r="A4" s="16" t="s">
        <v>0</v>
      </c>
      <c r="B4" s="16" t="s">
        <v>836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16" t="s">
        <v>344</v>
      </c>
      <c r="AC4" s="16" t="s">
        <v>16</v>
      </c>
    </row>
    <row r="5" spans="1:29" s="5" customFormat="1" ht="30" customHeight="1">
      <c r="A5" s="31">
        <v>1</v>
      </c>
      <c r="B5" s="3">
        <v>1486</v>
      </c>
      <c r="C5" s="3" t="s">
        <v>639</v>
      </c>
      <c r="D5" s="4">
        <v>9110365</v>
      </c>
      <c r="E5" s="4">
        <v>9110365</v>
      </c>
      <c r="F5" s="4">
        <f t="shared" ref="F5:F13" si="0">D5-E5</f>
        <v>0</v>
      </c>
      <c r="G5" s="4">
        <v>5790365</v>
      </c>
      <c r="H5" s="4">
        <v>5254148</v>
      </c>
      <c r="I5" s="4">
        <v>0</v>
      </c>
      <c r="J5" s="4">
        <v>63022</v>
      </c>
      <c r="K5" s="4">
        <f t="shared" ref="K5:K13" si="1">I5+J5</f>
        <v>63022</v>
      </c>
      <c r="L5" s="4">
        <f t="shared" ref="L5:L13" si="2">H5+K5</f>
        <v>5317170</v>
      </c>
      <c r="M5" s="4">
        <f t="shared" ref="M5:M13" si="3">P5+S5</f>
        <v>473195</v>
      </c>
      <c r="N5" s="4">
        <f>1500000-400000</f>
        <v>1100000</v>
      </c>
      <c r="O5" s="4">
        <f t="shared" ref="O5:O13" si="4">D5-L5-M5-N5</f>
        <v>2220000</v>
      </c>
      <c r="P5" s="4">
        <f t="shared" ref="P5:P13" si="5">G5-L5</f>
        <v>473195</v>
      </c>
      <c r="Q5" s="4"/>
      <c r="R5" s="4"/>
      <c r="S5" s="4">
        <f t="shared" ref="S5:S13" si="6">SUM(Q5:R5)</f>
        <v>0</v>
      </c>
      <c r="T5" s="4">
        <f t="shared" ref="T5:T13" si="7">P5-M5+S5</f>
        <v>0</v>
      </c>
      <c r="U5" s="4">
        <f t="shared" ref="U5:U13" si="8">N5-T5</f>
        <v>1100000</v>
      </c>
      <c r="V5" s="4"/>
      <c r="W5" s="4">
        <f t="shared" ref="W5:W13" si="9">U5-V5-Z5-AA5</f>
        <v>1100000</v>
      </c>
      <c r="X5" s="4"/>
      <c r="Y5" s="4"/>
      <c r="Z5" s="4"/>
      <c r="AA5" s="3"/>
      <c r="AB5" s="3" t="s">
        <v>427</v>
      </c>
      <c r="AC5" s="3">
        <v>930000</v>
      </c>
    </row>
    <row r="6" spans="1:29" s="5" customFormat="1" ht="30" customHeight="1">
      <c r="A6" s="31">
        <f>A5+1</f>
        <v>2</v>
      </c>
      <c r="B6" s="3">
        <v>1582</v>
      </c>
      <c r="C6" s="3" t="s">
        <v>58</v>
      </c>
      <c r="D6" s="4">
        <f>1774000+281000</f>
        <v>2055000</v>
      </c>
      <c r="E6" s="4">
        <v>1774000</v>
      </c>
      <c r="F6" s="4">
        <f t="shared" si="0"/>
        <v>281000</v>
      </c>
      <c r="G6" s="4">
        <v>934000</v>
      </c>
      <c r="H6" s="4">
        <v>909814</v>
      </c>
      <c r="I6" s="4">
        <v>0</v>
      </c>
      <c r="J6" s="4">
        <v>0</v>
      </c>
      <c r="K6" s="4">
        <f t="shared" si="1"/>
        <v>0</v>
      </c>
      <c r="L6" s="4">
        <f t="shared" si="2"/>
        <v>909814</v>
      </c>
      <c r="M6" s="4">
        <f t="shared" si="3"/>
        <v>24186</v>
      </c>
      <c r="N6" s="4">
        <f>1121000-421000-700000</f>
        <v>0</v>
      </c>
      <c r="O6" s="4">
        <f t="shared" si="4"/>
        <v>1121000</v>
      </c>
      <c r="P6" s="4">
        <f t="shared" si="5"/>
        <v>24186</v>
      </c>
      <c r="Q6" s="4"/>
      <c r="R6" s="4"/>
      <c r="S6" s="4">
        <f t="shared" si="6"/>
        <v>0</v>
      </c>
      <c r="T6" s="4">
        <f t="shared" si="7"/>
        <v>0</v>
      </c>
      <c r="U6" s="4">
        <f t="shared" si="8"/>
        <v>0</v>
      </c>
      <c r="V6" s="4"/>
      <c r="W6" s="4">
        <f t="shared" si="9"/>
        <v>0</v>
      </c>
      <c r="X6" s="4"/>
      <c r="Y6" s="4"/>
      <c r="Z6" s="4"/>
      <c r="AA6" s="3"/>
      <c r="AB6" s="72" t="s">
        <v>1437</v>
      </c>
      <c r="AC6" s="3">
        <v>829000</v>
      </c>
    </row>
    <row r="7" spans="1:29" s="5" customFormat="1" ht="30" customHeight="1">
      <c r="A7" s="31">
        <f t="shared" ref="A7:A13" si="10">A6+1</f>
        <v>3</v>
      </c>
      <c r="B7" s="3">
        <v>1678</v>
      </c>
      <c r="C7" s="3" t="s">
        <v>558</v>
      </c>
      <c r="D7" s="4">
        <f>1760000+150000</f>
        <v>1910000</v>
      </c>
      <c r="E7" s="4">
        <v>1760000</v>
      </c>
      <c r="F7" s="4">
        <f t="shared" si="0"/>
        <v>150000</v>
      </c>
      <c r="G7" s="4">
        <v>1610000</v>
      </c>
      <c r="H7" s="4">
        <v>1503896</v>
      </c>
      <c r="I7" s="4">
        <v>0</v>
      </c>
      <c r="J7" s="4">
        <v>105973</v>
      </c>
      <c r="K7" s="4">
        <f t="shared" si="1"/>
        <v>105973</v>
      </c>
      <c r="L7" s="4">
        <f t="shared" si="2"/>
        <v>1609869</v>
      </c>
      <c r="M7" s="4">
        <f t="shared" si="3"/>
        <v>131</v>
      </c>
      <c r="N7" s="4">
        <f>300000-100000</f>
        <v>200000</v>
      </c>
      <c r="O7" s="4">
        <f t="shared" si="4"/>
        <v>100000</v>
      </c>
      <c r="P7" s="4">
        <f t="shared" si="5"/>
        <v>131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200000</v>
      </c>
      <c r="V7" s="4"/>
      <c r="W7" s="4">
        <f t="shared" si="9"/>
        <v>200000</v>
      </c>
      <c r="X7" s="4"/>
      <c r="Y7" s="4"/>
      <c r="Z7" s="4"/>
      <c r="AA7" s="3"/>
      <c r="AB7" s="3" t="s">
        <v>559</v>
      </c>
      <c r="AC7" s="3">
        <v>829000</v>
      </c>
    </row>
    <row r="8" spans="1:29" s="5" customFormat="1" ht="42">
      <c r="A8" s="31">
        <f t="shared" si="10"/>
        <v>4</v>
      </c>
      <c r="B8" s="3">
        <v>1890</v>
      </c>
      <c r="C8" s="3" t="s">
        <v>640</v>
      </c>
      <c r="D8" s="4">
        <v>1100000</v>
      </c>
      <c r="E8" s="4">
        <v>1100000</v>
      </c>
      <c r="F8" s="4">
        <f t="shared" si="0"/>
        <v>0</v>
      </c>
      <c r="G8" s="4">
        <v>1100000</v>
      </c>
      <c r="H8" s="4">
        <v>1015344</v>
      </c>
      <c r="I8" s="4">
        <v>0</v>
      </c>
      <c r="J8" s="4">
        <v>0</v>
      </c>
      <c r="K8" s="4">
        <f t="shared" si="1"/>
        <v>0</v>
      </c>
      <c r="L8" s="4">
        <f t="shared" si="2"/>
        <v>1015344</v>
      </c>
      <c r="M8" s="4">
        <f t="shared" si="3"/>
        <v>84656</v>
      </c>
      <c r="N8" s="4"/>
      <c r="O8" s="4">
        <f t="shared" si="4"/>
        <v>0</v>
      </c>
      <c r="P8" s="4">
        <f t="shared" si="5"/>
        <v>84656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0</v>
      </c>
      <c r="V8" s="4"/>
      <c r="W8" s="4">
        <f t="shared" si="9"/>
        <v>0</v>
      </c>
      <c r="X8" s="4"/>
      <c r="Y8" s="4"/>
      <c r="Z8" s="4"/>
      <c r="AA8" s="4"/>
      <c r="AB8" s="3" t="s">
        <v>1253</v>
      </c>
      <c r="AC8" s="3">
        <v>829000</v>
      </c>
    </row>
    <row r="9" spans="1:29" s="5" customFormat="1" ht="30" customHeight="1">
      <c r="A9" s="31">
        <f t="shared" si="10"/>
        <v>5</v>
      </c>
      <c r="B9" s="278">
        <v>2004</v>
      </c>
      <c r="C9" s="3" t="s">
        <v>184</v>
      </c>
      <c r="D9" s="4">
        <f>735000+120000+120000+20000</f>
        <v>995000</v>
      </c>
      <c r="E9" s="4">
        <v>735000</v>
      </c>
      <c r="F9" s="4">
        <f t="shared" si="0"/>
        <v>260000</v>
      </c>
      <c r="G9" s="4">
        <v>685000</v>
      </c>
      <c r="H9" s="4">
        <v>516571</v>
      </c>
      <c r="I9" s="4">
        <v>0</v>
      </c>
      <c r="J9" s="4">
        <v>159647</v>
      </c>
      <c r="K9" s="4">
        <f t="shared" si="1"/>
        <v>159647</v>
      </c>
      <c r="L9" s="4">
        <f t="shared" si="2"/>
        <v>676218</v>
      </c>
      <c r="M9" s="4">
        <f t="shared" si="3"/>
        <v>8782</v>
      </c>
      <c r="N9" s="4">
        <f>170000+120000+20000-160000</f>
        <v>150000</v>
      </c>
      <c r="O9" s="4">
        <f t="shared" si="4"/>
        <v>160000</v>
      </c>
      <c r="P9" s="4">
        <f t="shared" si="5"/>
        <v>8782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150000</v>
      </c>
      <c r="V9" s="4"/>
      <c r="W9" s="4">
        <f t="shared" si="9"/>
        <v>150000</v>
      </c>
      <c r="X9" s="4"/>
      <c r="Y9" s="4"/>
      <c r="Z9" s="4"/>
      <c r="AA9" s="3"/>
      <c r="AB9" s="3" t="s">
        <v>1251</v>
      </c>
      <c r="AC9" s="3">
        <v>829000</v>
      </c>
    </row>
    <row r="10" spans="1:29" s="5" customFormat="1" ht="30" customHeight="1">
      <c r="A10" s="31">
        <f t="shared" si="10"/>
        <v>6</v>
      </c>
      <c r="B10" s="3">
        <v>2031</v>
      </c>
      <c r="C10" s="3" t="s">
        <v>428</v>
      </c>
      <c r="D10" s="4">
        <v>2700000</v>
      </c>
      <c r="E10" s="4">
        <v>2700000</v>
      </c>
      <c r="F10" s="4">
        <f t="shared" si="0"/>
        <v>0</v>
      </c>
      <c r="G10" s="4">
        <v>2100000</v>
      </c>
      <c r="H10" s="4">
        <v>1338082</v>
      </c>
      <c r="I10" s="4">
        <v>0</v>
      </c>
      <c r="J10" s="4">
        <v>224446</v>
      </c>
      <c r="K10" s="4">
        <f t="shared" si="1"/>
        <v>224446</v>
      </c>
      <c r="L10" s="4">
        <f t="shared" si="2"/>
        <v>1562528</v>
      </c>
      <c r="M10" s="4">
        <f t="shared" si="3"/>
        <v>537472</v>
      </c>
      <c r="N10" s="4">
        <f>600000-100000</f>
        <v>500000</v>
      </c>
      <c r="O10" s="4">
        <f t="shared" si="4"/>
        <v>100000</v>
      </c>
      <c r="P10" s="4">
        <f t="shared" si="5"/>
        <v>537472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500000</v>
      </c>
      <c r="V10" s="4"/>
      <c r="W10" s="4">
        <f t="shared" si="9"/>
        <v>500000</v>
      </c>
      <c r="X10" s="4"/>
      <c r="Y10" s="4"/>
      <c r="Z10" s="4"/>
      <c r="AA10" s="3"/>
      <c r="AB10" s="3" t="s">
        <v>1252</v>
      </c>
      <c r="AC10" s="3">
        <v>826000</v>
      </c>
    </row>
    <row r="11" spans="1:29" s="5" customFormat="1" ht="42">
      <c r="A11" s="31">
        <f t="shared" si="10"/>
        <v>7</v>
      </c>
      <c r="B11" s="278">
        <v>2060</v>
      </c>
      <c r="C11" s="3" t="s">
        <v>557</v>
      </c>
      <c r="D11" s="4">
        <v>2070229</v>
      </c>
      <c r="E11" s="4">
        <v>2070229</v>
      </c>
      <c r="F11" s="4">
        <f t="shared" si="0"/>
        <v>0</v>
      </c>
      <c r="G11" s="4">
        <v>1826000</v>
      </c>
      <c r="H11" s="4">
        <v>1480000</v>
      </c>
      <c r="I11" s="4">
        <v>0</v>
      </c>
      <c r="J11" s="4">
        <v>346000</v>
      </c>
      <c r="K11" s="4">
        <f t="shared" si="1"/>
        <v>346000</v>
      </c>
      <c r="L11" s="4">
        <f t="shared" si="2"/>
        <v>1826000</v>
      </c>
      <c r="M11" s="4">
        <f t="shared" si="3"/>
        <v>0</v>
      </c>
      <c r="N11" s="4">
        <v>180000</v>
      </c>
      <c r="O11" s="4">
        <f t="shared" si="4"/>
        <v>64229</v>
      </c>
      <c r="P11" s="4">
        <f t="shared" si="5"/>
        <v>0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180000</v>
      </c>
      <c r="V11" s="4"/>
      <c r="W11" s="4">
        <f t="shared" si="9"/>
        <v>180000</v>
      </c>
      <c r="X11" s="4"/>
      <c r="Y11" s="4"/>
      <c r="Z11" s="4"/>
      <c r="AA11" s="4"/>
      <c r="AB11" s="3" t="s">
        <v>1250</v>
      </c>
      <c r="AC11" s="3">
        <v>829000</v>
      </c>
    </row>
    <row r="12" spans="1:29" s="5" customFormat="1" ht="42">
      <c r="A12" s="31">
        <f t="shared" si="10"/>
        <v>8</v>
      </c>
      <c r="B12" s="31">
        <v>2089</v>
      </c>
      <c r="C12" s="3" t="s">
        <v>429</v>
      </c>
      <c r="D12" s="4">
        <v>350000</v>
      </c>
      <c r="E12" s="4">
        <v>350000</v>
      </c>
      <c r="F12" s="4">
        <f t="shared" si="0"/>
        <v>0</v>
      </c>
      <c r="G12" s="4">
        <v>350000</v>
      </c>
      <c r="H12" s="4">
        <v>310811</v>
      </c>
      <c r="I12" s="4">
        <v>0</v>
      </c>
      <c r="J12" s="4">
        <v>18486</v>
      </c>
      <c r="K12" s="4">
        <f t="shared" si="1"/>
        <v>18486</v>
      </c>
      <c r="L12" s="4">
        <f t="shared" si="2"/>
        <v>329297</v>
      </c>
      <c r="M12" s="4">
        <f t="shared" si="3"/>
        <v>20703</v>
      </c>
      <c r="N12" s="4"/>
      <c r="O12" s="4">
        <f t="shared" si="4"/>
        <v>0</v>
      </c>
      <c r="P12" s="4">
        <f t="shared" si="5"/>
        <v>20703</v>
      </c>
      <c r="Q12" s="4"/>
      <c r="R12" s="4"/>
      <c r="S12" s="4">
        <f t="shared" si="6"/>
        <v>0</v>
      </c>
      <c r="T12" s="4">
        <f t="shared" si="7"/>
        <v>0</v>
      </c>
      <c r="U12" s="4">
        <f t="shared" si="8"/>
        <v>0</v>
      </c>
      <c r="V12" s="4"/>
      <c r="W12" s="4">
        <f t="shared" si="9"/>
        <v>0</v>
      </c>
      <c r="X12" s="4"/>
      <c r="Y12" s="4"/>
      <c r="Z12" s="4"/>
      <c r="AA12" s="4"/>
      <c r="AB12" s="3" t="s">
        <v>1254</v>
      </c>
      <c r="AC12" s="3">
        <v>826000</v>
      </c>
    </row>
    <row r="13" spans="1:29" s="5" customFormat="1" ht="30" customHeight="1">
      <c r="A13" s="31">
        <f t="shared" si="10"/>
        <v>9</v>
      </c>
      <c r="B13" s="403">
        <v>2162</v>
      </c>
      <c r="C13" s="3" t="s">
        <v>744</v>
      </c>
      <c r="D13" s="4">
        <v>540000</v>
      </c>
      <c r="E13" s="4">
        <v>540000</v>
      </c>
      <c r="F13" s="4">
        <f t="shared" si="0"/>
        <v>0</v>
      </c>
      <c r="G13" s="4">
        <v>0</v>
      </c>
      <c r="H13" s="4">
        <v>0</v>
      </c>
      <c r="I13" s="4">
        <v>0</v>
      </c>
      <c r="J13" s="4">
        <v>0</v>
      </c>
      <c r="K13" s="4">
        <f t="shared" si="1"/>
        <v>0</v>
      </c>
      <c r="L13" s="4">
        <f t="shared" si="2"/>
        <v>0</v>
      </c>
      <c r="M13" s="4">
        <f t="shared" si="3"/>
        <v>0</v>
      </c>
      <c r="N13" s="4">
        <f>540000-100000</f>
        <v>440000</v>
      </c>
      <c r="O13" s="4">
        <f t="shared" si="4"/>
        <v>100000</v>
      </c>
      <c r="P13" s="4">
        <f t="shared" si="5"/>
        <v>0</v>
      </c>
      <c r="Q13" s="4"/>
      <c r="R13" s="4"/>
      <c r="S13" s="4">
        <f t="shared" si="6"/>
        <v>0</v>
      </c>
      <c r="T13" s="4">
        <f t="shared" si="7"/>
        <v>0</v>
      </c>
      <c r="U13" s="4">
        <f t="shared" si="8"/>
        <v>440000</v>
      </c>
      <c r="V13" s="4"/>
      <c r="W13" s="4">
        <f t="shared" si="9"/>
        <v>440000</v>
      </c>
      <c r="X13" s="4"/>
      <c r="Y13" s="4"/>
      <c r="Z13" s="4"/>
      <c r="AA13" s="4"/>
      <c r="AB13" s="3" t="s">
        <v>745</v>
      </c>
      <c r="AC13" s="3">
        <v>828000</v>
      </c>
    </row>
    <row r="14" spans="1:29" s="70" customFormat="1" ht="30" customHeight="1">
      <c r="A14" s="33">
        <f>A13</f>
        <v>9</v>
      </c>
      <c r="B14" s="33"/>
      <c r="C14" s="178" t="s">
        <v>512</v>
      </c>
      <c r="D14" s="73">
        <f t="shared" ref="D14:AA14" si="11">SUM(D5:D13)</f>
        <v>20830594</v>
      </c>
      <c r="E14" s="73">
        <f t="shared" si="11"/>
        <v>20139594</v>
      </c>
      <c r="F14" s="73">
        <f t="shared" si="11"/>
        <v>691000</v>
      </c>
      <c r="G14" s="73">
        <f t="shared" si="11"/>
        <v>14395365</v>
      </c>
      <c r="H14" s="73">
        <f t="shared" si="11"/>
        <v>12328666</v>
      </c>
      <c r="I14" s="73">
        <f t="shared" si="11"/>
        <v>0</v>
      </c>
      <c r="J14" s="73">
        <f t="shared" si="11"/>
        <v>917574</v>
      </c>
      <c r="K14" s="73">
        <f t="shared" si="11"/>
        <v>917574</v>
      </c>
      <c r="L14" s="73">
        <f t="shared" si="11"/>
        <v>13246240</v>
      </c>
      <c r="M14" s="73">
        <f t="shared" si="11"/>
        <v>1149125</v>
      </c>
      <c r="N14" s="73">
        <f t="shared" si="11"/>
        <v>2570000</v>
      </c>
      <c r="O14" s="73">
        <f t="shared" si="11"/>
        <v>3865229</v>
      </c>
      <c r="P14" s="73">
        <f t="shared" si="11"/>
        <v>1149125</v>
      </c>
      <c r="Q14" s="73">
        <f t="shared" si="11"/>
        <v>0</v>
      </c>
      <c r="R14" s="73">
        <f t="shared" si="11"/>
        <v>0</v>
      </c>
      <c r="S14" s="73">
        <f t="shared" si="11"/>
        <v>0</v>
      </c>
      <c r="T14" s="73">
        <f t="shared" si="11"/>
        <v>0</v>
      </c>
      <c r="U14" s="73">
        <f t="shared" si="11"/>
        <v>2570000</v>
      </c>
      <c r="V14" s="73">
        <f t="shared" si="11"/>
        <v>0</v>
      </c>
      <c r="W14" s="73">
        <f t="shared" si="11"/>
        <v>2570000</v>
      </c>
      <c r="X14" s="73">
        <f t="shared" si="11"/>
        <v>0</v>
      </c>
      <c r="Y14" s="73">
        <f>SUM(Y5:Y13)</f>
        <v>0</v>
      </c>
      <c r="Z14" s="73">
        <f t="shared" si="11"/>
        <v>0</v>
      </c>
      <c r="AA14" s="73">
        <f t="shared" si="11"/>
        <v>0</v>
      </c>
      <c r="AB14" s="346"/>
      <c r="AC14" s="33"/>
    </row>
    <row r="15" spans="1:29" s="5" customFormat="1" hidden="1">
      <c r="A15" s="23"/>
      <c r="B15" s="12"/>
      <c r="C15" s="12"/>
      <c r="D15" s="14"/>
      <c r="E15" s="14"/>
      <c r="F15" s="14"/>
      <c r="G15" s="14"/>
      <c r="H15" s="14"/>
      <c r="I15" s="14"/>
      <c r="J15" s="14"/>
      <c r="K15" s="14"/>
      <c r="L15" s="19">
        <f>K14+H14</f>
        <v>13246240</v>
      </c>
      <c r="M15" s="19">
        <f>P15+S14-T14</f>
        <v>1149125</v>
      </c>
      <c r="N15" s="14"/>
      <c r="O15" s="14"/>
      <c r="P15" s="19">
        <f>G14-L15</f>
        <v>1149125</v>
      </c>
      <c r="Q15" s="14"/>
      <c r="R15" s="14"/>
      <c r="S15" s="14"/>
      <c r="T15" s="14">
        <f>P15+S14-M14</f>
        <v>0</v>
      </c>
      <c r="U15" s="14">
        <f>N14-T14</f>
        <v>2570000</v>
      </c>
      <c r="V15" s="12"/>
      <c r="W15" s="12"/>
      <c r="X15" s="12"/>
      <c r="Y15" s="12"/>
      <c r="Z15" s="12"/>
      <c r="AA15" s="12"/>
      <c r="AB15" s="12"/>
      <c r="AC15" s="12"/>
    </row>
    <row r="16" spans="1:29">
      <c r="M16" s="21"/>
      <c r="N16" s="21"/>
      <c r="O16" s="21"/>
      <c r="P16" s="23"/>
      <c r="Q16" s="21"/>
      <c r="R16" s="21"/>
      <c r="S16" s="21"/>
    </row>
    <row r="17" spans="1:28">
      <c r="A17" s="12"/>
      <c r="C17" s="18"/>
      <c r="U17" s="14"/>
      <c r="AB17" s="18"/>
    </row>
    <row r="18" spans="1:28">
      <c r="M18" s="21"/>
      <c r="N18" s="21"/>
      <c r="O18" s="21"/>
      <c r="P18" s="21"/>
      <c r="Q18" s="21"/>
      <c r="R18" s="21"/>
      <c r="S18" s="21"/>
    </row>
    <row r="19" spans="1:28">
      <c r="M19" s="21"/>
      <c r="N19" s="21"/>
      <c r="O19" s="21"/>
      <c r="P19" s="21"/>
      <c r="Q19" s="21"/>
      <c r="R19" s="21"/>
      <c r="S19" s="21"/>
    </row>
    <row r="20" spans="1:28">
      <c r="M20" s="21"/>
      <c r="N20" s="21"/>
      <c r="O20" s="21"/>
      <c r="P20" s="21"/>
      <c r="Q20" s="21"/>
      <c r="R20" s="21"/>
      <c r="S20" s="21"/>
    </row>
    <row r="21" spans="1:28">
      <c r="M21" s="21"/>
      <c r="N21" s="21"/>
      <c r="O21" s="21"/>
      <c r="P21" s="21"/>
      <c r="Q21" s="21"/>
      <c r="R21" s="21"/>
      <c r="S21" s="21"/>
    </row>
    <row r="22" spans="1:28">
      <c r="M22" s="21"/>
      <c r="N22" s="21"/>
      <c r="O22" s="21"/>
      <c r="P22" s="21"/>
      <c r="Q22" s="21"/>
      <c r="R22" s="21"/>
      <c r="S22" s="21"/>
    </row>
    <row r="23" spans="1:28">
      <c r="M23" s="21"/>
      <c r="N23" s="21"/>
      <c r="O23" s="21"/>
      <c r="P23" s="21"/>
      <c r="Q23" s="21"/>
      <c r="R23" s="21"/>
      <c r="S23" s="21"/>
    </row>
    <row r="24" spans="1:28">
      <c r="M24" s="21"/>
      <c r="N24" s="21"/>
      <c r="O24" s="21"/>
      <c r="P24" s="21"/>
      <c r="Q24" s="21"/>
      <c r="R24" s="21"/>
      <c r="S24" s="21"/>
    </row>
    <row r="25" spans="1:28">
      <c r="M25" s="21"/>
      <c r="N25" s="21"/>
      <c r="O25" s="21"/>
      <c r="P25" s="21"/>
      <c r="Q25" s="21"/>
      <c r="R25" s="21"/>
      <c r="S25" s="21"/>
    </row>
    <row r="26" spans="1:28">
      <c r="M26" s="21"/>
      <c r="N26" s="21"/>
      <c r="O26" s="21"/>
      <c r="P26" s="21"/>
      <c r="Q26" s="21"/>
      <c r="R26" s="21"/>
      <c r="S26" s="21"/>
    </row>
    <row r="27" spans="1:28">
      <c r="M27" s="21"/>
      <c r="N27" s="21"/>
      <c r="O27" s="21"/>
      <c r="P27" s="21"/>
      <c r="Q27" s="21"/>
      <c r="R27" s="21"/>
      <c r="S27" s="21"/>
    </row>
    <row r="28" spans="1:28">
      <c r="M28" s="21"/>
      <c r="N28" s="21"/>
      <c r="O28" s="21"/>
      <c r="P28" s="21"/>
      <c r="Q28" s="21"/>
      <c r="R28" s="21"/>
      <c r="S28" s="21"/>
    </row>
    <row r="29" spans="1:28">
      <c r="M29" s="21"/>
      <c r="N29" s="21"/>
      <c r="O29" s="21"/>
      <c r="P29" s="21"/>
      <c r="Q29" s="21"/>
      <c r="R29" s="21"/>
      <c r="S29" s="21"/>
    </row>
  </sheetData>
  <sheetProtection formatCells="0" formatColumns="0" formatRows="0" insertColumns="0" insertRows="0" insertHyperlinks="0" deleteColumns="0" deleteRows="0" sort="0" autoFilter="0" pivotTables="0"/>
  <sortState ref="A5:AF13">
    <sortCondition ref="B5:B13"/>
  </sortState>
  <conditionalFormatting sqref="A1:A2 AD1:XFD2">
    <cfRule type="cellIs" dxfId="218" priority="3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rightToLeft="1" topLeftCell="A17" zoomScaleNormal="100" workbookViewId="0">
      <selection activeCell="U40" sqref="U40"/>
    </sheetView>
  </sheetViews>
  <sheetFormatPr defaultColWidth="9.08984375" defaultRowHeight="14"/>
  <cols>
    <col min="1" max="2" width="4.08984375" style="96" customWidth="1"/>
    <col min="3" max="3" width="33" style="96" customWidth="1"/>
    <col min="4" max="4" width="10.6328125" style="96" customWidth="1"/>
    <col min="5" max="5" width="12.08984375" style="96" customWidth="1"/>
    <col min="6" max="6" width="9" style="96" hidden="1" customWidth="1"/>
    <col min="7" max="7" width="13" style="96" customWidth="1"/>
    <col min="8" max="8" width="12.36328125" style="96" customWidth="1"/>
    <col min="9" max="9" width="13.1796875" style="96" customWidth="1"/>
    <col min="10" max="10" width="7.90625" style="96" customWidth="1"/>
    <col min="11" max="16384" width="9.08984375" style="96"/>
  </cols>
  <sheetData>
    <row r="2" spans="1:17" s="108" customFormat="1" ht="18">
      <c r="A2" s="106" t="s">
        <v>229</v>
      </c>
      <c r="B2" s="106"/>
      <c r="C2" s="107" t="s">
        <v>1170</v>
      </c>
      <c r="D2" s="106"/>
      <c r="E2" s="106"/>
      <c r="F2" s="106"/>
      <c r="G2" s="106"/>
      <c r="H2" s="106"/>
      <c r="I2" s="106"/>
    </row>
    <row r="3" spans="1:17" ht="15.5">
      <c r="A3" s="98"/>
      <c r="B3" s="98"/>
      <c r="C3" s="99"/>
      <c r="D3" s="98"/>
      <c r="E3" s="98"/>
      <c r="F3" s="98"/>
      <c r="G3" s="98"/>
      <c r="H3" s="98"/>
      <c r="I3" s="98"/>
    </row>
    <row r="4" spans="1:17" ht="15.5">
      <c r="C4" s="98" t="s">
        <v>1171</v>
      </c>
      <c r="D4" s="98"/>
      <c r="E4" s="98"/>
      <c r="F4" s="98"/>
      <c r="G4" s="98"/>
      <c r="H4" s="98"/>
      <c r="I4" s="98"/>
    </row>
    <row r="5" spans="1:17" ht="15.5">
      <c r="C5" s="98" t="s">
        <v>1172</v>
      </c>
      <c r="E5" s="98"/>
      <c r="F5" s="103"/>
      <c r="G5" s="103"/>
      <c r="H5" s="103"/>
      <c r="I5" s="98"/>
      <c r="J5" s="98"/>
      <c r="K5" s="98"/>
      <c r="L5" s="98"/>
      <c r="M5" s="98"/>
      <c r="N5" s="98"/>
      <c r="O5" s="98"/>
      <c r="P5" s="98"/>
      <c r="Q5" s="98"/>
    </row>
    <row r="6" spans="1:17" ht="15.5">
      <c r="C6" s="98"/>
      <c r="D6" s="103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ht="15.5">
      <c r="C7" s="98" t="s">
        <v>230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1:17" ht="15.5"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 ht="15.5">
      <c r="B9" s="101" t="s">
        <v>187</v>
      </c>
      <c r="C9" s="98" t="s">
        <v>13</v>
      </c>
      <c r="D9" s="109">
        <v>206270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 ht="15.5">
      <c r="B10" s="101" t="s">
        <v>187</v>
      </c>
      <c r="C10" s="98" t="s">
        <v>14</v>
      </c>
      <c r="D10" s="109">
        <v>59000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</row>
    <row r="11" spans="1:17" ht="15.5" hidden="1">
      <c r="B11" s="101" t="s">
        <v>187</v>
      </c>
      <c r="C11" s="98" t="s">
        <v>231</v>
      </c>
      <c r="D11" s="109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17" ht="15.5">
      <c r="B12" s="101" t="s">
        <v>187</v>
      </c>
      <c r="C12" s="98" t="s">
        <v>343</v>
      </c>
      <c r="D12" s="109">
        <v>100433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</row>
    <row r="13" spans="1:17" ht="18.5">
      <c r="B13" s="101" t="s">
        <v>187</v>
      </c>
      <c r="C13" s="98" t="s">
        <v>232</v>
      </c>
      <c r="D13" s="110">
        <v>137123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7" ht="17">
      <c r="C14" s="100" t="s">
        <v>105</v>
      </c>
      <c r="D14" s="111">
        <f>SUM(D9:D13)</f>
        <v>502826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17" ht="11.4" customHeight="1">
      <c r="C15" s="100"/>
      <c r="D15" s="111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spans="1:17" ht="15.5">
      <c r="B16" s="98"/>
      <c r="C16" s="98" t="s">
        <v>1176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ht="9.65" customHeight="1">
      <c r="C17" s="100"/>
      <c r="D17" s="111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ht="17">
      <c r="C18" s="100" t="s">
        <v>1173</v>
      </c>
      <c r="D18" s="111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ht="9.65" customHeight="1">
      <c r="C19" s="100"/>
      <c r="D19" s="111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ht="15.5">
      <c r="B20" s="98"/>
      <c r="C20" s="98" t="s">
        <v>1174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ht="15.5"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ht="46.5">
      <c r="C22" s="112" t="s">
        <v>233</v>
      </c>
      <c r="D22" s="113" t="s">
        <v>13</v>
      </c>
      <c r="E22" s="113" t="s">
        <v>14</v>
      </c>
      <c r="F22" s="113" t="s">
        <v>15</v>
      </c>
      <c r="G22" s="113" t="s">
        <v>343</v>
      </c>
      <c r="H22" s="113" t="s">
        <v>234</v>
      </c>
      <c r="I22" s="113" t="s">
        <v>105</v>
      </c>
      <c r="J22" s="98"/>
      <c r="K22" s="98"/>
      <c r="L22" s="98"/>
      <c r="M22" s="98"/>
      <c r="N22" s="98"/>
      <c r="O22" s="98"/>
      <c r="P22" s="98"/>
      <c r="Q22" s="98"/>
    </row>
    <row r="23" spans="1:17" ht="31.5" customHeight="1">
      <c r="C23" s="114" t="s">
        <v>1672</v>
      </c>
      <c r="D23" s="115">
        <v>6409.6940000000004</v>
      </c>
      <c r="E23" s="115">
        <v>1913.684</v>
      </c>
      <c r="F23" s="115">
        <f>D11</f>
        <v>0</v>
      </c>
      <c r="G23" s="115">
        <v>93867.482999999993</v>
      </c>
      <c r="H23" s="115">
        <v>105639.11599999999</v>
      </c>
      <c r="I23" s="115">
        <f>SUM(D23:H23)</f>
        <v>207829.97699999998</v>
      </c>
      <c r="J23" s="98"/>
      <c r="K23" s="98"/>
      <c r="L23" s="98"/>
      <c r="M23" s="98"/>
      <c r="N23" s="98"/>
      <c r="O23" s="98"/>
      <c r="P23" s="98"/>
      <c r="Q23" s="98"/>
    </row>
    <row r="24" spans="1:17" ht="31.5" customHeight="1">
      <c r="C24" s="114" t="s">
        <v>1175</v>
      </c>
      <c r="D24" s="115">
        <f>'ריכוז אגפים 2020'!BI19/1000</f>
        <v>1761.3925999999997</v>
      </c>
      <c r="E24" s="115">
        <f>'ריכוז אגפים 2020'!BJ19/1000</f>
        <v>2032.6856</v>
      </c>
      <c r="F24" s="115">
        <f>'ריכוז אגפים 2020'!BK19/1000</f>
        <v>0</v>
      </c>
      <c r="G24" s="115">
        <f>'ריכוז אגפים 2020'!BL19/1000</f>
        <v>90867.482999999993</v>
      </c>
      <c r="H24" s="115">
        <f>'ריכוז אגפים 2020'!BM19/1000</f>
        <v>63931.213000000003</v>
      </c>
      <c r="I24" s="115">
        <f>SUM(D24:H24)</f>
        <v>158592.77419999999</v>
      </c>
      <c r="J24" s="98"/>
      <c r="K24" s="98"/>
      <c r="L24" s="98"/>
      <c r="M24" s="98"/>
      <c r="N24" s="98"/>
      <c r="O24" s="98"/>
      <c r="P24" s="98"/>
      <c r="Q24" s="98"/>
    </row>
    <row r="25" spans="1:17" ht="31.5" customHeight="1">
      <c r="C25" s="114" t="s">
        <v>235</v>
      </c>
      <c r="D25" s="115">
        <f t="shared" ref="D25:I25" si="0">D24/D23*100</f>
        <v>27.480135557173234</v>
      </c>
      <c r="E25" s="115">
        <f t="shared" si="0"/>
        <v>106.21845612964313</v>
      </c>
      <c r="F25" s="115"/>
      <c r="G25" s="115">
        <f t="shared" si="0"/>
        <v>96.804005067441722</v>
      </c>
      <c r="H25" s="115">
        <f t="shared" si="0"/>
        <v>60.518504338866308</v>
      </c>
      <c r="I25" s="115">
        <f t="shared" si="0"/>
        <v>76.308902348576979</v>
      </c>
      <c r="J25" s="98"/>
      <c r="K25" s="98"/>
      <c r="L25" s="98"/>
      <c r="M25" s="98"/>
      <c r="N25" s="98"/>
      <c r="O25" s="98"/>
      <c r="P25" s="98"/>
      <c r="Q25" s="98"/>
    </row>
    <row r="26" spans="1:17" ht="31.5" customHeight="1">
      <c r="C26" s="116" t="s">
        <v>1239</v>
      </c>
      <c r="D26" s="115">
        <f>'ריכוז תקציב מעבר לתוכנית 2020'!AC86/1000</f>
        <v>24449.868999999999</v>
      </c>
      <c r="E26" s="115">
        <f>'ריכוז תקציב מעבר לתוכנית 2020'!AD86/1000</f>
        <v>6360</v>
      </c>
      <c r="F26" s="115"/>
      <c r="G26" s="115"/>
      <c r="H26" s="115">
        <f>'ריכוז תקציב מעבר לתוכנית 2020'!AE86/1000</f>
        <v>12628.183999999999</v>
      </c>
      <c r="I26" s="115">
        <f>SUM(D26:H26)</f>
        <v>43438.053</v>
      </c>
      <c r="J26" s="98"/>
      <c r="K26" s="98"/>
      <c r="L26" s="98"/>
      <c r="M26" s="98"/>
      <c r="N26" s="98"/>
      <c r="O26" s="98"/>
      <c r="P26" s="98"/>
      <c r="Q26" s="98"/>
    </row>
    <row r="27" spans="1:17" ht="31.5" customHeight="1">
      <c r="C27" s="114" t="s">
        <v>236</v>
      </c>
      <c r="D27" s="115">
        <f>D24+D26</f>
        <v>26211.261599999998</v>
      </c>
      <c r="E27" s="115">
        <f>E24+E26</f>
        <v>8392.6856000000007</v>
      </c>
      <c r="F27" s="115">
        <f>F24+F26</f>
        <v>0</v>
      </c>
      <c r="G27" s="115">
        <f>G24+G26</f>
        <v>90867.482999999993</v>
      </c>
      <c r="H27" s="115">
        <f>H24+H26</f>
        <v>76559.396999999997</v>
      </c>
      <c r="I27" s="115">
        <f>SUM(D27:H27)</f>
        <v>202030.8272</v>
      </c>
      <c r="J27" s="98"/>
      <c r="K27" s="98"/>
      <c r="L27" s="98"/>
      <c r="M27" s="98"/>
      <c r="N27" s="98"/>
      <c r="O27" s="98"/>
      <c r="P27" s="98"/>
      <c r="Q27" s="98"/>
    </row>
    <row r="28" spans="1:17" ht="31.5" hidden="1" customHeight="1">
      <c r="C28" s="114" t="s">
        <v>235</v>
      </c>
      <c r="D28" s="115">
        <f t="shared" ref="D28:I28" si="1">D27/D23*100</f>
        <v>408.93155897925857</v>
      </c>
      <c r="E28" s="115">
        <f t="shared" si="1"/>
        <v>438.56172701449145</v>
      </c>
      <c r="F28" s="115" t="e">
        <f t="shared" si="1"/>
        <v>#DIV/0!</v>
      </c>
      <c r="G28" s="115">
        <f t="shared" si="1"/>
        <v>96.804005067441722</v>
      </c>
      <c r="H28" s="115">
        <f t="shared" si="1"/>
        <v>72.472583924310769</v>
      </c>
      <c r="I28" s="115">
        <f t="shared" si="1"/>
        <v>97.209666341829021</v>
      </c>
      <c r="J28" s="551" t="s">
        <v>1249</v>
      </c>
      <c r="L28" s="98"/>
      <c r="M28" s="98"/>
      <c r="N28" s="98"/>
      <c r="O28" s="98"/>
      <c r="P28" s="98"/>
      <c r="Q28" s="98"/>
    </row>
    <row r="29" spans="1:17" ht="15.5"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ht="15.5">
      <c r="C30" s="211" t="s">
        <v>1673</v>
      </c>
      <c r="D30" s="213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ht="15.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ht="15.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ht="15.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17" ht="15.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</row>
    <row r="35" spans="1:17" ht="15.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17" ht="15.5">
      <c r="A36" s="98"/>
      <c r="B36" s="98"/>
      <c r="C36" s="101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</row>
    <row r="37" spans="1:17" ht="15.5">
      <c r="A37" s="98"/>
      <c r="B37" s="98"/>
      <c r="C37" s="101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</row>
    <row r="38" spans="1:17" ht="15.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</row>
    <row r="39" spans="1:17" ht="15.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ht="15.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ht="15.5">
      <c r="A41" s="105"/>
      <c r="B41" s="105"/>
      <c r="C41" s="105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</row>
    <row r="42" spans="1:17" ht="15.5">
      <c r="A42" s="105"/>
      <c r="B42" s="105"/>
      <c r="C42" s="105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1:17" ht="15.5">
      <c r="A43" s="105"/>
      <c r="B43" s="105"/>
      <c r="C43" s="105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</row>
    <row r="44" spans="1:17" ht="15.5">
      <c r="A44" s="105"/>
      <c r="B44" s="105"/>
      <c r="C44" s="105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</row>
    <row r="45" spans="1:17" ht="15.5">
      <c r="A45" s="105"/>
      <c r="B45" s="105"/>
      <c r="C45" s="105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</row>
    <row r="46" spans="1:17" ht="15.5">
      <c r="A46" s="105"/>
      <c r="B46" s="105"/>
      <c r="C46" s="105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</row>
    <row r="47" spans="1:17" ht="15.5">
      <c r="A47" s="105"/>
      <c r="B47" s="105"/>
      <c r="C47" s="105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</row>
    <row r="48" spans="1:17" ht="15.5"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4:17" ht="15.5"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1"/>
  <sheetViews>
    <sheetView showZeros="0" rightToLeft="1" zoomScaleNormal="100" workbookViewId="0">
      <pane xSplit="3" ySplit="4" topLeftCell="D11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08984375" defaultRowHeight="14"/>
  <cols>
    <col min="1" max="1" width="3.453125" style="29" customWidth="1"/>
    <col min="2" max="2" width="4.6328125" style="12" customWidth="1"/>
    <col min="3" max="3" width="26.1796875" style="12" customWidth="1"/>
    <col min="4" max="4" width="9.1796875" style="14" customWidth="1"/>
    <col min="5" max="5" width="10.08984375" style="14" hidden="1" customWidth="1"/>
    <col min="6" max="6" width="9.08984375" style="14" hidden="1" customWidth="1"/>
    <col min="7" max="8" width="10.08984375" style="14" hidden="1" customWidth="1"/>
    <col min="9" max="11" width="9.08984375" style="14" hidden="1" customWidth="1"/>
    <col min="12" max="12" width="9.08984375" style="14" customWidth="1"/>
    <col min="13" max="13" width="9.08984375" style="14" bestFit="1" customWidth="1"/>
    <col min="14" max="15" width="8.1796875" style="14" customWidth="1"/>
    <col min="16" max="16" width="9.08984375" style="14" hidden="1" customWidth="1"/>
    <col min="17" max="19" width="8.6328125" style="14" hidden="1" customWidth="1"/>
    <col min="20" max="20" width="5.6328125" style="14" customWidth="1"/>
    <col min="21" max="21" width="8.90625" style="12" customWidth="1"/>
    <col min="22" max="22" width="6.6328125" style="12" customWidth="1"/>
    <col min="23" max="23" width="9.08984375" style="12" bestFit="1" customWidth="1"/>
    <col min="24" max="27" width="8.6328125" style="12" hidden="1" customWidth="1"/>
    <col min="28" max="28" width="43" style="29" customWidth="1"/>
    <col min="29" max="29" width="7.90625" style="12" hidden="1" customWidth="1"/>
    <col min="30" max="16384" width="9.08984375" style="12"/>
  </cols>
  <sheetData>
    <row r="1" spans="1:29" s="558" customFormat="1" ht="18">
      <c r="A1" s="556"/>
      <c r="B1" s="556"/>
      <c r="C1" s="556"/>
      <c r="D1" s="557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</row>
    <row r="2" spans="1:29" s="558" customFormat="1" ht="18">
      <c r="A2" s="556" t="s">
        <v>457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</row>
    <row r="3" spans="1:29" ht="20.399999999999999" customHeight="1"/>
    <row r="4" spans="1:29" s="24" customFormat="1" ht="86.25" customHeight="1">
      <c r="A4" s="16" t="s">
        <v>0</v>
      </c>
      <c r="B4" s="16" t="s">
        <v>836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559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16" t="s">
        <v>344</v>
      </c>
      <c r="AC4" s="16" t="s">
        <v>16</v>
      </c>
    </row>
    <row r="5" spans="1:29" s="5" customFormat="1" ht="30" customHeight="1">
      <c r="A5" s="31">
        <v>1</v>
      </c>
      <c r="B5" s="3">
        <f>'תקציב אגף תנוס 2021 '!B10</f>
        <v>2031</v>
      </c>
      <c r="C5" s="280" t="str">
        <f>'תקציב אגף תנוס 2021 '!C10</f>
        <v>הצטיידות מבנה תרבות מערב העיר</v>
      </c>
      <c r="D5" s="4">
        <f>'תקציב אגף תנוס 2021 '!D10</f>
        <v>2700000</v>
      </c>
      <c r="E5" s="4">
        <f>'תקציב אגף תנוס 2021 '!E10</f>
        <v>2700000</v>
      </c>
      <c r="F5" s="4">
        <f>'תקציב אגף תנוס 2021 '!F10</f>
        <v>0</v>
      </c>
      <c r="G5" s="4">
        <f>'תקציב אגף תנוס 2021 '!G10</f>
        <v>2100000</v>
      </c>
      <c r="H5" s="4">
        <f>'תקציב אגף תנוס 2021 '!H10</f>
        <v>1338082</v>
      </c>
      <c r="I5" s="4">
        <f>'תקציב אגף תנוס 2021 '!I10</f>
        <v>0</v>
      </c>
      <c r="J5" s="4">
        <f>'תקציב אגף תנוס 2021 '!J10</f>
        <v>224446</v>
      </c>
      <c r="K5" s="4">
        <f>'תקציב אגף תנוס 2021 '!K10</f>
        <v>224446</v>
      </c>
      <c r="L5" s="4">
        <f>'תקציב אגף תנוס 2021 '!L10</f>
        <v>1562528</v>
      </c>
      <c r="M5" s="4">
        <f>'תקציב אגף תנוס 2021 '!M10</f>
        <v>537472</v>
      </c>
      <c r="N5" s="4">
        <f>'תקציב אגף תנוס 2021 '!N10</f>
        <v>500000</v>
      </c>
      <c r="O5" s="4">
        <f>'תקציב אגף תנוס 2021 '!O10</f>
        <v>100000</v>
      </c>
      <c r="P5" s="4">
        <f>'תקציב אגף תנוס 2021 '!P10</f>
        <v>537472</v>
      </c>
      <c r="Q5" s="4">
        <f>'תקציב אגף תנוס 2021 '!Q10</f>
        <v>0</v>
      </c>
      <c r="R5" s="4">
        <f>'תקציב אגף תנוס 2021 '!R10</f>
        <v>0</v>
      </c>
      <c r="S5" s="4">
        <f>'תקציב אגף תנוס 2021 '!S10</f>
        <v>0</v>
      </c>
      <c r="T5" s="4">
        <f>'תקציב אגף תנוס 2021 '!T10</f>
        <v>0</v>
      </c>
      <c r="U5" s="4">
        <f>'תקציב אגף תנוס 2021 '!U10</f>
        <v>500000</v>
      </c>
      <c r="V5" s="4">
        <f>'תקציב אגף תנוס 2021 '!V10</f>
        <v>0</v>
      </c>
      <c r="W5" s="4">
        <f>'תקציב אגף תנוס 2021 '!W10</f>
        <v>500000</v>
      </c>
      <c r="X5" s="4"/>
      <c r="Y5" s="4"/>
      <c r="Z5" s="4"/>
      <c r="AA5" s="3"/>
      <c r="AB5" s="280" t="str">
        <f>'תקציב אגף תנוס 2021 '!AB10</f>
        <v>המשך הצטיידות עפ"י התוכנית המקורית.</v>
      </c>
      <c r="AC5" s="3">
        <f>'תקציב אגף תנוס 2021 '!AC10</f>
        <v>826000</v>
      </c>
    </row>
    <row r="6" spans="1:29" s="5" customFormat="1" ht="42">
      <c r="A6" s="31">
        <f t="shared" ref="A6:A12" si="0">A5+1</f>
        <v>2</v>
      </c>
      <c r="B6" s="3">
        <f>'תקציב אגף תנוס 2021 '!B12</f>
        <v>2089</v>
      </c>
      <c r="C6" s="280" t="str">
        <f>'תקציב אגף תנוס 2021 '!C12</f>
        <v>מקרן דיגיטלי לסינמטק</v>
      </c>
      <c r="D6" s="4">
        <f>'תקציב אגף תנוס 2021 '!D12</f>
        <v>350000</v>
      </c>
      <c r="E6" s="4">
        <f>'תקציב אגף תנוס 2021 '!E12</f>
        <v>350000</v>
      </c>
      <c r="F6" s="4">
        <f>'תקציב אגף תנוס 2021 '!F12</f>
        <v>0</v>
      </c>
      <c r="G6" s="4">
        <f>'תקציב אגף תנוס 2021 '!G12</f>
        <v>350000</v>
      </c>
      <c r="H6" s="4">
        <f>'תקציב אגף תנוס 2021 '!H12</f>
        <v>310811</v>
      </c>
      <c r="I6" s="4">
        <f>'תקציב אגף תנוס 2021 '!I12</f>
        <v>0</v>
      </c>
      <c r="J6" s="4">
        <f>'תקציב אגף תנוס 2021 '!J12</f>
        <v>18486</v>
      </c>
      <c r="K6" s="4">
        <f>'תקציב אגף תנוס 2021 '!K12</f>
        <v>18486</v>
      </c>
      <c r="L6" s="4">
        <f>'תקציב אגף תנוס 2021 '!L12</f>
        <v>329297</v>
      </c>
      <c r="M6" s="4">
        <f>'תקציב אגף תנוס 2021 '!M12</f>
        <v>20703</v>
      </c>
      <c r="N6" s="4">
        <f>'תקציב אגף תנוס 2021 '!N12</f>
        <v>0</v>
      </c>
      <c r="O6" s="4">
        <f>'תקציב אגף תנוס 2021 '!O12</f>
        <v>0</v>
      </c>
      <c r="P6" s="4">
        <f>'תקציב אגף תנוס 2021 '!P12</f>
        <v>20703</v>
      </c>
      <c r="Q6" s="4">
        <f>'תקציב אגף תנוס 2021 '!Q12</f>
        <v>0</v>
      </c>
      <c r="R6" s="4">
        <f>'תקציב אגף תנוס 2021 '!R12</f>
        <v>0</v>
      </c>
      <c r="S6" s="4">
        <f>'תקציב אגף תנוס 2021 '!S12</f>
        <v>0</v>
      </c>
      <c r="T6" s="4">
        <f>'תקציב אגף תנוס 2021 '!T12</f>
        <v>0</v>
      </c>
      <c r="U6" s="4">
        <f>'תקציב אגף תנוס 2021 '!U12</f>
        <v>0</v>
      </c>
      <c r="V6" s="4">
        <f>'תקציב אגף תנוס 2021 '!V12</f>
        <v>0</v>
      </c>
      <c r="W6" s="4">
        <f>'תקציב אגף תנוס 2021 '!W12</f>
        <v>0</v>
      </c>
      <c r="X6" s="4"/>
      <c r="Y6" s="4"/>
      <c r="Z6" s="4"/>
      <c r="AA6" s="4"/>
      <c r="AB6" s="280" t="str">
        <f>'תקציב אגף תנוס 2021 '!AB12</f>
        <v>מערכות הקרנה דיגיטליות, באמצעות מקרןdcp, במטרה לאפשר הקרנת סרטים בשיטה חדשנית שתגרום להרחבת היצע התכנים לקהל. התב"ר לסגירה.</v>
      </c>
      <c r="AC6" s="3">
        <f>'תקציב אגף תנוס 2021 '!AC12</f>
        <v>826000</v>
      </c>
    </row>
    <row r="7" spans="1:29" s="5" customFormat="1" ht="30" customHeight="1">
      <c r="A7" s="31">
        <f t="shared" si="0"/>
        <v>3</v>
      </c>
      <c r="B7" s="3">
        <f>'תקציב אגף תנוס 2021 '!B13</f>
        <v>2162</v>
      </c>
      <c r="C7" s="280" t="str">
        <f>'תקציב אגף תנוס 2021 '!C13</f>
        <v>שיפוץ מבנה מועדון נוער הכוכב השמיני</v>
      </c>
      <c r="D7" s="4">
        <f>'תקציב אגף תנוס 2021 '!D13</f>
        <v>540000</v>
      </c>
      <c r="E7" s="4">
        <f>'תקציב אגף תנוס 2021 '!E13</f>
        <v>540000</v>
      </c>
      <c r="F7" s="4">
        <f>'תקציב אגף תנוס 2021 '!F13</f>
        <v>0</v>
      </c>
      <c r="G7" s="4">
        <f>'תקציב אגף תנוס 2021 '!G13</f>
        <v>0</v>
      </c>
      <c r="H7" s="4">
        <f>'תקציב אגף תנוס 2021 '!H13</f>
        <v>0</v>
      </c>
      <c r="I7" s="4">
        <f>'תקציב אגף תנוס 2021 '!I13</f>
        <v>0</v>
      </c>
      <c r="J7" s="4">
        <f>'תקציב אגף תנוס 2021 '!J13</f>
        <v>0</v>
      </c>
      <c r="K7" s="4">
        <f>'תקציב אגף תנוס 2021 '!K13</f>
        <v>0</v>
      </c>
      <c r="L7" s="4">
        <f>'תקציב אגף תנוס 2021 '!L13</f>
        <v>0</v>
      </c>
      <c r="M7" s="4">
        <f>'תקציב אגף תנוס 2021 '!M13</f>
        <v>0</v>
      </c>
      <c r="N7" s="4">
        <f>'תקציב אגף תנוס 2021 '!N13</f>
        <v>440000</v>
      </c>
      <c r="O7" s="4">
        <f>'תקציב אגף תנוס 2021 '!O13</f>
        <v>100000</v>
      </c>
      <c r="P7" s="4">
        <f>'תקציב אגף תנוס 2021 '!P13</f>
        <v>0</v>
      </c>
      <c r="Q7" s="4">
        <f>'תקציב אגף תנוס 2021 '!Q13</f>
        <v>0</v>
      </c>
      <c r="R7" s="4">
        <f>'תקציב אגף תנוס 2021 '!R13</f>
        <v>0</v>
      </c>
      <c r="S7" s="4">
        <f>'תקציב אגף תנוס 2021 '!S13</f>
        <v>0</v>
      </c>
      <c r="T7" s="4">
        <f>'תקציב אגף תנוס 2021 '!T13</f>
        <v>0</v>
      </c>
      <c r="U7" s="4">
        <f>'תקציב אגף תנוס 2021 '!U13</f>
        <v>440000</v>
      </c>
      <c r="V7" s="4">
        <f>'תקציב אגף תנוס 2021 '!V13</f>
        <v>0</v>
      </c>
      <c r="W7" s="4">
        <f>'תקציב אגף תנוס 2021 '!W13</f>
        <v>440000</v>
      </c>
      <c r="X7" s="4"/>
      <c r="Y7" s="4"/>
      <c r="Z7" s="4"/>
      <c r="AA7" s="4"/>
      <c r="AB7" s="280" t="str">
        <f>'תקציב אגף תנוס 2021 '!AB13</f>
        <v>שיפוץ מועדון הנוער יוסף נבו 18 הכולל איטום גגות וקירות, החלפות תקרות.</v>
      </c>
      <c r="AC7" s="3">
        <f>'תקציב אגף תנוס 2021 '!AC13</f>
        <v>828000</v>
      </c>
    </row>
    <row r="8" spans="1:29" s="5" customFormat="1" ht="28">
      <c r="A8" s="31">
        <f t="shared" si="0"/>
        <v>4</v>
      </c>
      <c r="B8" s="3">
        <f>'תקציב אגף תנוס 2021 '!B6</f>
        <v>1582</v>
      </c>
      <c r="C8" s="280" t="str">
        <f>'תקציב אגף תנוס 2021 '!C6</f>
        <v>גידור שיפוץ גדרות מ.ספורט</v>
      </c>
      <c r="D8" s="4">
        <f>'תקציב אגף תנוס 2021 '!D6</f>
        <v>2055000</v>
      </c>
      <c r="E8" s="4">
        <f>'תקציב אגף תנוס 2021 '!E6</f>
        <v>1774000</v>
      </c>
      <c r="F8" s="4">
        <f>'תקציב אגף תנוס 2021 '!F6</f>
        <v>281000</v>
      </c>
      <c r="G8" s="4">
        <f>'תקציב אגף תנוס 2021 '!G6</f>
        <v>934000</v>
      </c>
      <c r="H8" s="4">
        <f>'תקציב אגף תנוס 2021 '!H6</f>
        <v>909814</v>
      </c>
      <c r="I8" s="4">
        <f>'תקציב אגף תנוס 2021 '!I6</f>
        <v>0</v>
      </c>
      <c r="J8" s="4">
        <f>'תקציב אגף תנוס 2021 '!J6</f>
        <v>0</v>
      </c>
      <c r="K8" s="4">
        <f>'תקציב אגף תנוס 2021 '!K6</f>
        <v>0</v>
      </c>
      <c r="L8" s="4">
        <f>'תקציב אגף תנוס 2021 '!L6</f>
        <v>909814</v>
      </c>
      <c r="M8" s="4">
        <f>'תקציב אגף תנוס 2021 '!M6</f>
        <v>24186</v>
      </c>
      <c r="N8" s="4">
        <f>'תקציב אגף תנוס 2021 '!N6</f>
        <v>0</v>
      </c>
      <c r="O8" s="4">
        <f>'תקציב אגף תנוס 2021 '!O6</f>
        <v>1121000</v>
      </c>
      <c r="P8" s="4">
        <f>'תקציב אגף תנוס 2021 '!P6</f>
        <v>24186</v>
      </c>
      <c r="Q8" s="4">
        <f>'תקציב אגף תנוס 2021 '!Q6</f>
        <v>0</v>
      </c>
      <c r="R8" s="4">
        <f>'תקציב אגף תנוס 2021 '!R6</f>
        <v>0</v>
      </c>
      <c r="S8" s="4">
        <f>'תקציב אגף תנוס 2021 '!S6</f>
        <v>0</v>
      </c>
      <c r="T8" s="4">
        <f>'תקציב אגף תנוס 2021 '!T6</f>
        <v>0</v>
      </c>
      <c r="U8" s="4">
        <f>'תקציב אגף תנוס 2021 '!U6</f>
        <v>0</v>
      </c>
      <c r="V8" s="4">
        <f>'תקציב אגף תנוס 2021 '!V6</f>
        <v>0</v>
      </c>
      <c r="W8" s="4">
        <f>'תקציב אגף תנוס 2021 '!W6</f>
        <v>0</v>
      </c>
      <c r="X8" s="4"/>
      <c r="Y8" s="4"/>
      <c r="Z8" s="4"/>
      <c r="AA8" s="3"/>
      <c r="AB8" s="280" t="str">
        <f>'תקציב אגף תנוס 2021 '!AB6</f>
        <v xml:space="preserve">גדר בגובה 4 מ' סביב מגרשי אימונים במתחם האצטדיון מול משרדי תבל . </v>
      </c>
      <c r="AC8" s="3">
        <f>'תקציב אגף תנוס 2021 '!AC6</f>
        <v>829000</v>
      </c>
    </row>
    <row r="9" spans="1:29" s="5" customFormat="1" ht="47.25" customHeight="1">
      <c r="A9" s="31">
        <f t="shared" si="0"/>
        <v>5</v>
      </c>
      <c r="B9" s="3">
        <f>'תקציב אגף תנוס 2021 '!B7</f>
        <v>1678</v>
      </c>
      <c r="C9" s="280" t="str">
        <f>'תקציב אגף תנוס 2021 '!C7</f>
        <v>עבודות התאמה לתקן חדש מגרשי ספורט</v>
      </c>
      <c r="D9" s="4">
        <f>'תקציב אגף תנוס 2021 '!D7</f>
        <v>1910000</v>
      </c>
      <c r="E9" s="4">
        <f>'תקציב אגף תנוס 2021 '!E7</f>
        <v>1760000</v>
      </c>
      <c r="F9" s="4">
        <f>'תקציב אגף תנוס 2021 '!F7</f>
        <v>150000</v>
      </c>
      <c r="G9" s="4">
        <f>'תקציב אגף תנוס 2021 '!G7</f>
        <v>1610000</v>
      </c>
      <c r="H9" s="4">
        <f>'תקציב אגף תנוס 2021 '!H7</f>
        <v>1503896</v>
      </c>
      <c r="I9" s="4">
        <f>'תקציב אגף תנוס 2021 '!I7</f>
        <v>0</v>
      </c>
      <c r="J9" s="4">
        <f>'תקציב אגף תנוס 2021 '!J7</f>
        <v>105973</v>
      </c>
      <c r="K9" s="4">
        <f>'תקציב אגף תנוס 2021 '!K7</f>
        <v>105973</v>
      </c>
      <c r="L9" s="4">
        <f>'תקציב אגף תנוס 2021 '!L7</f>
        <v>1609869</v>
      </c>
      <c r="M9" s="4">
        <f>'תקציב אגף תנוס 2021 '!M7</f>
        <v>131</v>
      </c>
      <c r="N9" s="4">
        <f>'תקציב אגף תנוס 2021 '!N7</f>
        <v>200000</v>
      </c>
      <c r="O9" s="4">
        <f>'תקציב אגף תנוס 2021 '!O7</f>
        <v>100000</v>
      </c>
      <c r="P9" s="4">
        <f>'תקציב אגף תנוס 2021 '!P7</f>
        <v>131</v>
      </c>
      <c r="Q9" s="4">
        <f>'תקציב אגף תנוס 2021 '!Q7</f>
        <v>0</v>
      </c>
      <c r="R9" s="4">
        <f>'תקציב אגף תנוס 2021 '!R7</f>
        <v>0</v>
      </c>
      <c r="S9" s="4">
        <f>'תקציב אגף תנוס 2021 '!S7</f>
        <v>0</v>
      </c>
      <c r="T9" s="4">
        <f>'תקציב אגף תנוס 2021 '!T7</f>
        <v>0</v>
      </c>
      <c r="U9" s="4">
        <f>'תקציב אגף תנוס 2021 '!U7</f>
        <v>200000</v>
      </c>
      <c r="V9" s="4">
        <f>'תקציב אגף תנוס 2021 '!V7</f>
        <v>0</v>
      </c>
      <c r="W9" s="4">
        <f>'תקציב אגף תנוס 2021 '!W7</f>
        <v>200000</v>
      </c>
      <c r="X9" s="4"/>
      <c r="Y9" s="4"/>
      <c r="Z9" s="4"/>
      <c r="AA9" s="3"/>
      <c r="AB9" s="280" t="str">
        <f>'תקציב אגף תנוס 2021 '!AB7</f>
        <v>עבודות שיפוץ במתקנים במגרשי הספורט בהתאם לדוחות מכון התקנים.</v>
      </c>
      <c r="AC9" s="3">
        <f>'תקציב אגף תנוס 2021 '!AC7</f>
        <v>829000</v>
      </c>
    </row>
    <row r="10" spans="1:29" s="5" customFormat="1" ht="22.75" customHeight="1">
      <c r="A10" s="31">
        <f t="shared" si="0"/>
        <v>6</v>
      </c>
      <c r="B10" s="3">
        <f>'תקציב אגף תנוס 2021 '!B8</f>
        <v>1890</v>
      </c>
      <c r="C10" s="280" t="str">
        <f>'תקציב אגף תנוס 2021 '!C8</f>
        <v xml:space="preserve">סירות מתקנים מועדון ימי </v>
      </c>
      <c r="D10" s="4">
        <f>'תקציב אגף תנוס 2021 '!D8</f>
        <v>1100000</v>
      </c>
      <c r="E10" s="4">
        <f>'תקציב אגף תנוס 2021 '!E8</f>
        <v>1100000</v>
      </c>
      <c r="F10" s="4">
        <f>'תקציב אגף תנוס 2021 '!F8</f>
        <v>0</v>
      </c>
      <c r="G10" s="4">
        <f>'תקציב אגף תנוס 2021 '!G8</f>
        <v>1100000</v>
      </c>
      <c r="H10" s="4">
        <f>'תקציב אגף תנוס 2021 '!H8</f>
        <v>1015344</v>
      </c>
      <c r="I10" s="4">
        <f>'תקציב אגף תנוס 2021 '!I8</f>
        <v>0</v>
      </c>
      <c r="J10" s="4">
        <f>'תקציב אגף תנוס 2021 '!J8</f>
        <v>0</v>
      </c>
      <c r="K10" s="4">
        <f>'תקציב אגף תנוס 2021 '!K8</f>
        <v>0</v>
      </c>
      <c r="L10" s="4">
        <f>'תקציב אגף תנוס 2021 '!L8</f>
        <v>1015344</v>
      </c>
      <c r="M10" s="4">
        <f>'תקציב אגף תנוס 2021 '!M8</f>
        <v>84656</v>
      </c>
      <c r="N10" s="4">
        <f>'תקציב אגף תנוס 2021 '!N8</f>
        <v>0</v>
      </c>
      <c r="O10" s="4">
        <f>'תקציב אגף תנוס 2021 '!O8</f>
        <v>0</v>
      </c>
      <c r="P10" s="4">
        <f>'תקציב אגף תנוס 2021 '!P8</f>
        <v>84656</v>
      </c>
      <c r="Q10" s="4">
        <f>'תקציב אגף תנוס 2021 '!Q8</f>
        <v>0</v>
      </c>
      <c r="R10" s="4">
        <f>'תקציב אגף תנוס 2021 '!R8</f>
        <v>0</v>
      </c>
      <c r="S10" s="4">
        <f>'תקציב אגף תנוס 2021 '!S8</f>
        <v>0</v>
      </c>
      <c r="T10" s="4">
        <f>'תקציב אגף תנוס 2021 '!T8</f>
        <v>0</v>
      </c>
      <c r="U10" s="4">
        <f>'תקציב אגף תנוס 2021 '!U8</f>
        <v>0</v>
      </c>
      <c r="V10" s="4">
        <f>'תקציב אגף תנוס 2021 '!V8</f>
        <v>0</v>
      </c>
      <c r="W10" s="4">
        <f>'תקציב אגף תנוס 2021 '!W8</f>
        <v>0</v>
      </c>
      <c r="X10" s="4"/>
      <c r="Y10" s="4"/>
      <c r="Z10" s="4"/>
      <c r="AA10" s="4"/>
      <c r="AB10" s="280" t="str">
        <f>'תקציב אגף תנוס 2021 '!AB8</f>
        <v>הצטיידות כלי שייט עבור המרכז לחינוך וספורט ימי כולל החינוך המיוחד. ייסגר לאחר קבלת תקבול  מ. התרבות והספורט.</v>
      </c>
      <c r="AC10" s="3">
        <f>'תקציב אגף תנוס 2021 '!AC8</f>
        <v>829000</v>
      </c>
    </row>
    <row r="11" spans="1:29" s="5" customFormat="1" ht="46.75" customHeight="1">
      <c r="A11" s="31">
        <f t="shared" si="0"/>
        <v>7</v>
      </c>
      <c r="B11" s="3">
        <f>'תקציב אגף תנוס 2021 '!B9</f>
        <v>2004</v>
      </c>
      <c r="C11" s="280" t="str">
        <f>'תקציב אגף תנוס 2021 '!C9</f>
        <v>ציפוי מגרשי ספורט</v>
      </c>
      <c r="D11" s="4">
        <f>'תקציב אגף תנוס 2021 '!D9</f>
        <v>995000</v>
      </c>
      <c r="E11" s="4">
        <f>'תקציב אגף תנוס 2021 '!E9</f>
        <v>735000</v>
      </c>
      <c r="F11" s="4">
        <f>'תקציב אגף תנוס 2021 '!F9</f>
        <v>260000</v>
      </c>
      <c r="G11" s="4">
        <f>'תקציב אגף תנוס 2021 '!G9</f>
        <v>685000</v>
      </c>
      <c r="H11" s="4">
        <f>'תקציב אגף תנוס 2021 '!H9</f>
        <v>516571</v>
      </c>
      <c r="I11" s="4">
        <f>'תקציב אגף תנוס 2021 '!I9</f>
        <v>0</v>
      </c>
      <c r="J11" s="4">
        <f>'תקציב אגף תנוס 2021 '!J9</f>
        <v>159647</v>
      </c>
      <c r="K11" s="4">
        <f>'תקציב אגף תנוס 2021 '!K9</f>
        <v>159647</v>
      </c>
      <c r="L11" s="4">
        <f>'תקציב אגף תנוס 2021 '!L9</f>
        <v>676218</v>
      </c>
      <c r="M11" s="4">
        <f>'תקציב אגף תנוס 2021 '!M9</f>
        <v>8782</v>
      </c>
      <c r="N11" s="4">
        <f>'תקציב אגף תנוס 2021 '!N9</f>
        <v>150000</v>
      </c>
      <c r="O11" s="4">
        <f>'תקציב אגף תנוס 2021 '!O9</f>
        <v>160000</v>
      </c>
      <c r="P11" s="4">
        <f>'תקציב אגף תנוס 2021 '!P9</f>
        <v>8782</v>
      </c>
      <c r="Q11" s="4">
        <f>'תקציב אגף תנוס 2021 '!Q9</f>
        <v>0</v>
      </c>
      <c r="R11" s="4">
        <f>'תקציב אגף תנוס 2021 '!R9</f>
        <v>0</v>
      </c>
      <c r="S11" s="4">
        <f>'תקציב אגף תנוס 2021 '!S9</f>
        <v>0</v>
      </c>
      <c r="T11" s="4">
        <f>'תקציב אגף תנוס 2021 '!T9</f>
        <v>0</v>
      </c>
      <c r="U11" s="4">
        <f>'תקציב אגף תנוס 2021 '!U9</f>
        <v>150000</v>
      </c>
      <c r="V11" s="4">
        <f>'תקציב אגף תנוס 2021 '!V9</f>
        <v>0</v>
      </c>
      <c r="W11" s="4">
        <f>'תקציב אגף תנוס 2021 '!W9</f>
        <v>150000</v>
      </c>
      <c r="X11" s="4"/>
      <c r="Y11" s="4"/>
      <c r="Z11" s="4"/>
      <c r="AA11" s="3"/>
      <c r="AB11" s="280" t="str">
        <f>'תקציב אגף תנוס 2021 '!AB9</f>
        <v>המשך חידוש ציפוי מגרשי הספורט לפי התוכנית השנתית. בן גוריון, האשל, סמדר, 6 מגרשי טניס נווה עמל.</v>
      </c>
      <c r="AC11" s="3">
        <f>'תקציב אגף תנוס 2021 '!AC9</f>
        <v>829000</v>
      </c>
    </row>
    <row r="12" spans="1:29" s="5" customFormat="1" ht="48.65" customHeight="1">
      <c r="A12" s="31">
        <f t="shared" si="0"/>
        <v>8</v>
      </c>
      <c r="B12" s="3">
        <f>'תקציב אגף תנוס 2021 '!B11</f>
        <v>2060</v>
      </c>
      <c r="C12" s="280" t="str">
        <f>'תקציב אגף תנוס 2021 '!C11</f>
        <v>הקמה שיפוץ רצפות פרקט אולמות ספורט</v>
      </c>
      <c r="D12" s="4">
        <f>'תקציב אגף תנוס 2021 '!D11</f>
        <v>2070229</v>
      </c>
      <c r="E12" s="4">
        <f>'תקציב אגף תנוס 2021 '!E11</f>
        <v>2070229</v>
      </c>
      <c r="F12" s="4">
        <f>'תקציב אגף תנוס 2021 '!F11</f>
        <v>0</v>
      </c>
      <c r="G12" s="4">
        <f>'תקציב אגף תנוס 2021 '!G11</f>
        <v>1826000</v>
      </c>
      <c r="H12" s="4">
        <f>'תקציב אגף תנוס 2021 '!H11</f>
        <v>1480000</v>
      </c>
      <c r="I12" s="4">
        <f>'תקציב אגף תנוס 2021 '!I11</f>
        <v>0</v>
      </c>
      <c r="J12" s="4">
        <f>'תקציב אגף תנוס 2021 '!J11</f>
        <v>346000</v>
      </c>
      <c r="K12" s="4">
        <f>'תקציב אגף תנוס 2021 '!K11</f>
        <v>346000</v>
      </c>
      <c r="L12" s="4">
        <f>'תקציב אגף תנוס 2021 '!L11</f>
        <v>1826000</v>
      </c>
      <c r="M12" s="4">
        <f>'תקציב אגף תנוס 2021 '!M11</f>
        <v>0</v>
      </c>
      <c r="N12" s="4">
        <f>'תקציב אגף תנוס 2021 '!N11</f>
        <v>180000</v>
      </c>
      <c r="O12" s="4">
        <f>'תקציב אגף תנוס 2021 '!O11</f>
        <v>64229</v>
      </c>
      <c r="P12" s="4">
        <f>'תקציב אגף תנוס 2021 '!P11</f>
        <v>0</v>
      </c>
      <c r="Q12" s="4">
        <f>'תקציב אגף תנוס 2021 '!Q11</f>
        <v>0</v>
      </c>
      <c r="R12" s="4">
        <f>'תקציב אגף תנוס 2021 '!R11</f>
        <v>0</v>
      </c>
      <c r="S12" s="4">
        <f>'תקציב אגף תנוס 2021 '!S11</f>
        <v>0</v>
      </c>
      <c r="T12" s="4">
        <f>'תקציב אגף תנוס 2021 '!T11</f>
        <v>0</v>
      </c>
      <c r="U12" s="4">
        <f>'תקציב אגף תנוס 2021 '!U11</f>
        <v>180000</v>
      </c>
      <c r="V12" s="4">
        <f>'תקציב אגף תנוס 2021 '!V11</f>
        <v>0</v>
      </c>
      <c r="W12" s="4">
        <f>'תקציב אגף תנוס 2021 '!W11</f>
        <v>180000</v>
      </c>
      <c r="X12" s="4"/>
      <c r="Y12" s="4"/>
      <c r="Z12" s="4"/>
      <c r="AA12" s="4"/>
      <c r="AB12" s="280" t="str">
        <f>'תקציב אגף תנוס 2021 '!AB11</f>
        <v>הקמה ושיפוץ רצפות פרקט: חידוש רצפה באולם תיכון חדש , חידוש רצפה אולם בנווה ישראל וחידוש רצפה בחדר מחול בלב טוב.</v>
      </c>
      <c r="AC12" s="3">
        <f>'תקציב אגף תנוס 2021 '!AC11</f>
        <v>829000</v>
      </c>
    </row>
    <row r="13" spans="1:29" s="70" customFormat="1" ht="21.65" customHeight="1">
      <c r="A13" s="33"/>
      <c r="B13" s="33"/>
      <c r="C13" s="412" t="s">
        <v>1483</v>
      </c>
      <c r="D13" s="73">
        <f>SUM(D5:D12)</f>
        <v>11720229</v>
      </c>
      <c r="E13" s="73">
        <f t="shared" ref="E13:W13" si="1">SUM(E5:E12)</f>
        <v>11029229</v>
      </c>
      <c r="F13" s="73">
        <f t="shared" si="1"/>
        <v>691000</v>
      </c>
      <c r="G13" s="73">
        <f t="shared" si="1"/>
        <v>8605000</v>
      </c>
      <c r="H13" s="73">
        <f t="shared" si="1"/>
        <v>7074518</v>
      </c>
      <c r="I13" s="73">
        <f t="shared" si="1"/>
        <v>0</v>
      </c>
      <c r="J13" s="73">
        <f t="shared" si="1"/>
        <v>854552</v>
      </c>
      <c r="K13" s="73">
        <f t="shared" si="1"/>
        <v>854552</v>
      </c>
      <c r="L13" s="73">
        <f t="shared" si="1"/>
        <v>7929070</v>
      </c>
      <c r="M13" s="73">
        <f t="shared" si="1"/>
        <v>675930</v>
      </c>
      <c r="N13" s="73">
        <f t="shared" si="1"/>
        <v>1470000</v>
      </c>
      <c r="O13" s="73">
        <f t="shared" si="1"/>
        <v>1645229</v>
      </c>
      <c r="P13" s="73">
        <f t="shared" si="1"/>
        <v>675930</v>
      </c>
      <c r="Q13" s="73">
        <f t="shared" si="1"/>
        <v>0</v>
      </c>
      <c r="R13" s="73">
        <f t="shared" si="1"/>
        <v>0</v>
      </c>
      <c r="S13" s="73">
        <f t="shared" si="1"/>
        <v>0</v>
      </c>
      <c r="T13" s="73">
        <f t="shared" si="1"/>
        <v>0</v>
      </c>
      <c r="U13" s="73">
        <f t="shared" si="1"/>
        <v>1470000</v>
      </c>
      <c r="V13" s="73">
        <f t="shared" si="1"/>
        <v>0</v>
      </c>
      <c r="W13" s="73">
        <f t="shared" si="1"/>
        <v>1470000</v>
      </c>
      <c r="X13" s="73"/>
      <c r="Y13" s="73"/>
      <c r="Z13" s="73"/>
      <c r="AA13" s="73"/>
      <c r="AB13" s="412"/>
      <c r="AC13" s="33"/>
    </row>
    <row r="14" spans="1:29" s="5" customFormat="1" ht="28">
      <c r="A14" s="31">
        <f>A12+1</f>
        <v>9</v>
      </c>
      <c r="B14" s="3">
        <f>'תקציב אגף תנוס 2021 '!B5</f>
        <v>1486</v>
      </c>
      <c r="C14" s="280" t="str">
        <f>'תקציב אגף תנוס 2021 '!C5</f>
        <v xml:space="preserve">שיפוץ מבני  תרבות ונוער </v>
      </c>
      <c r="D14" s="4">
        <f>'תקציב אגף תנוס 2021 '!D5</f>
        <v>9110365</v>
      </c>
      <c r="E14" s="4">
        <f>'תקציב אגף תנוס 2021 '!E5</f>
        <v>9110365</v>
      </c>
      <c r="F14" s="4">
        <f>'תקציב אגף תנוס 2021 '!F5</f>
        <v>0</v>
      </c>
      <c r="G14" s="4">
        <f>'תקציב אגף תנוס 2021 '!G5</f>
        <v>5790365</v>
      </c>
      <c r="H14" s="4">
        <f>'תקציב אגף תנוס 2021 '!H5</f>
        <v>5254148</v>
      </c>
      <c r="I14" s="4">
        <f>'תקציב אגף תנוס 2021 '!I5</f>
        <v>0</v>
      </c>
      <c r="J14" s="4">
        <f>'תקציב אגף תנוס 2021 '!J5</f>
        <v>63022</v>
      </c>
      <c r="K14" s="4">
        <f>'תקציב אגף תנוס 2021 '!K5</f>
        <v>63022</v>
      </c>
      <c r="L14" s="4">
        <f>'תקציב אגף תנוס 2021 '!L5</f>
        <v>5317170</v>
      </c>
      <c r="M14" s="4">
        <f>'תקציב אגף תנוס 2021 '!M5</f>
        <v>473195</v>
      </c>
      <c r="N14" s="4">
        <f>'תקציב אגף תנוס 2021 '!N5</f>
        <v>1100000</v>
      </c>
      <c r="O14" s="4">
        <f>'תקציב אגף תנוס 2021 '!O5</f>
        <v>2220000</v>
      </c>
      <c r="P14" s="4">
        <f>'תקציב אגף תנוס 2021 '!P5</f>
        <v>473195</v>
      </c>
      <c r="Q14" s="4">
        <f>'תקציב אגף תנוס 2021 '!Q5</f>
        <v>0</v>
      </c>
      <c r="R14" s="4">
        <f>'תקציב אגף תנוס 2021 '!R5</f>
        <v>0</v>
      </c>
      <c r="S14" s="4">
        <f>'תקציב אגף תנוס 2021 '!S5</f>
        <v>0</v>
      </c>
      <c r="T14" s="4">
        <f>'תקציב אגף תנוס 2021 '!T5</f>
        <v>0</v>
      </c>
      <c r="U14" s="4">
        <f>'תקציב אגף תנוס 2021 '!U5</f>
        <v>1100000</v>
      </c>
      <c r="V14" s="4">
        <f>'תקציב אגף תנוס 2021 '!V5</f>
        <v>0</v>
      </c>
      <c r="W14" s="4">
        <f>'תקציב אגף תנוס 2021 '!W5</f>
        <v>1100000</v>
      </c>
      <c r="X14" s="4"/>
      <c r="Y14" s="4"/>
      <c r="Z14" s="4"/>
      <c r="AA14" s="3"/>
      <c r="AB14" s="280" t="str">
        <f>'תקציב אגף תנוס 2021 '!AB5</f>
        <v>עבודות שונות,שיפוצים, ציוד בספריות, מרכזים קהילתיים, מוזיאונים.לפי פרוט.</v>
      </c>
      <c r="AC14" s="3">
        <f>'תקציב אגף תנוס 2021 '!AC5</f>
        <v>930000</v>
      </c>
    </row>
    <row r="15" spans="1:29" s="70" customFormat="1" ht="25.25" customHeight="1">
      <c r="A15" s="33"/>
      <c r="B15" s="33"/>
      <c r="C15" s="412" t="s">
        <v>1487</v>
      </c>
      <c r="D15" s="73">
        <f>SUM(D14)</f>
        <v>9110365</v>
      </c>
      <c r="E15" s="73">
        <f t="shared" ref="E15:W15" si="2">SUM(E14)</f>
        <v>9110365</v>
      </c>
      <c r="F15" s="73">
        <f t="shared" si="2"/>
        <v>0</v>
      </c>
      <c r="G15" s="73">
        <f t="shared" si="2"/>
        <v>5790365</v>
      </c>
      <c r="H15" s="73">
        <f t="shared" si="2"/>
        <v>5254148</v>
      </c>
      <c r="I15" s="73">
        <f t="shared" si="2"/>
        <v>0</v>
      </c>
      <c r="J15" s="73">
        <f t="shared" si="2"/>
        <v>63022</v>
      </c>
      <c r="K15" s="73">
        <f t="shared" si="2"/>
        <v>63022</v>
      </c>
      <c r="L15" s="73">
        <f t="shared" si="2"/>
        <v>5317170</v>
      </c>
      <c r="M15" s="73">
        <f t="shared" si="2"/>
        <v>473195</v>
      </c>
      <c r="N15" s="73">
        <f t="shared" si="2"/>
        <v>1100000</v>
      </c>
      <c r="O15" s="73">
        <f t="shared" si="2"/>
        <v>2220000</v>
      </c>
      <c r="P15" s="73">
        <f t="shared" si="2"/>
        <v>473195</v>
      </c>
      <c r="Q15" s="73">
        <f t="shared" si="2"/>
        <v>0</v>
      </c>
      <c r="R15" s="73">
        <f t="shared" si="2"/>
        <v>0</v>
      </c>
      <c r="S15" s="73">
        <f t="shared" si="2"/>
        <v>0</v>
      </c>
      <c r="T15" s="73">
        <f t="shared" si="2"/>
        <v>0</v>
      </c>
      <c r="U15" s="73">
        <f t="shared" si="2"/>
        <v>1100000</v>
      </c>
      <c r="V15" s="73">
        <f t="shared" si="2"/>
        <v>0</v>
      </c>
      <c r="W15" s="73">
        <f t="shared" si="2"/>
        <v>1100000</v>
      </c>
      <c r="X15" s="73"/>
      <c r="Y15" s="73"/>
      <c r="Z15" s="73"/>
      <c r="AA15" s="33"/>
      <c r="AB15" s="412"/>
      <c r="AC15" s="33"/>
    </row>
    <row r="16" spans="1:29" s="70" customFormat="1" ht="35.15" customHeight="1">
      <c r="A16" s="33">
        <f>A14</f>
        <v>9</v>
      </c>
      <c r="B16" s="33"/>
      <c r="C16" s="178" t="s">
        <v>512</v>
      </c>
      <c r="D16" s="73">
        <f>D15+D13</f>
        <v>20830594</v>
      </c>
      <c r="E16" s="73">
        <f t="shared" ref="E16:W16" si="3">E15+E13</f>
        <v>20139594</v>
      </c>
      <c r="F16" s="73">
        <f t="shared" si="3"/>
        <v>691000</v>
      </c>
      <c r="G16" s="73">
        <f t="shared" si="3"/>
        <v>14395365</v>
      </c>
      <c r="H16" s="73">
        <f t="shared" si="3"/>
        <v>12328666</v>
      </c>
      <c r="I16" s="73">
        <f t="shared" si="3"/>
        <v>0</v>
      </c>
      <c r="J16" s="73">
        <f t="shared" si="3"/>
        <v>917574</v>
      </c>
      <c r="K16" s="73">
        <f t="shared" si="3"/>
        <v>917574</v>
      </c>
      <c r="L16" s="73">
        <f t="shared" si="3"/>
        <v>13246240</v>
      </c>
      <c r="M16" s="73">
        <f t="shared" si="3"/>
        <v>1149125</v>
      </c>
      <c r="N16" s="73">
        <f t="shared" si="3"/>
        <v>2570000</v>
      </c>
      <c r="O16" s="73">
        <f t="shared" si="3"/>
        <v>3865229</v>
      </c>
      <c r="P16" s="73">
        <f t="shared" si="3"/>
        <v>1149125</v>
      </c>
      <c r="Q16" s="73">
        <f t="shared" si="3"/>
        <v>0</v>
      </c>
      <c r="R16" s="73">
        <f t="shared" si="3"/>
        <v>0</v>
      </c>
      <c r="S16" s="73">
        <f t="shared" si="3"/>
        <v>0</v>
      </c>
      <c r="T16" s="73">
        <f t="shared" si="3"/>
        <v>0</v>
      </c>
      <c r="U16" s="73">
        <f t="shared" si="3"/>
        <v>2570000</v>
      </c>
      <c r="V16" s="73">
        <f t="shared" si="3"/>
        <v>0</v>
      </c>
      <c r="W16" s="73">
        <f t="shared" si="3"/>
        <v>2570000</v>
      </c>
      <c r="X16" s="73">
        <f t="shared" ref="X16:AA16" si="4">SUM(X5:X14)</f>
        <v>0</v>
      </c>
      <c r="Y16" s="73">
        <f>SUM(Y5:Y14)</f>
        <v>0</v>
      </c>
      <c r="Z16" s="73">
        <f t="shared" si="4"/>
        <v>0</v>
      </c>
      <c r="AA16" s="73">
        <f t="shared" si="4"/>
        <v>0</v>
      </c>
      <c r="AB16" s="346"/>
      <c r="AC16" s="33"/>
    </row>
    <row r="17" spans="1:29" s="5" customFormat="1" hidden="1">
      <c r="A17" s="23"/>
      <c r="B17" s="12"/>
      <c r="C17" s="12"/>
      <c r="D17" s="14"/>
      <c r="E17" s="14"/>
      <c r="F17" s="14"/>
      <c r="G17" s="14"/>
      <c r="H17" s="14"/>
      <c r="I17" s="14"/>
      <c r="J17" s="14"/>
      <c r="K17" s="14"/>
      <c r="L17" s="19">
        <f>K16+H16</f>
        <v>13246240</v>
      </c>
      <c r="M17" s="19">
        <f>P17+S16-T16</f>
        <v>1149125</v>
      </c>
      <c r="N17" s="14"/>
      <c r="O17" s="14"/>
      <c r="P17" s="19">
        <f>G16-L17</f>
        <v>1149125</v>
      </c>
      <c r="Q17" s="14"/>
      <c r="R17" s="14"/>
      <c r="S17" s="14"/>
      <c r="T17" s="14">
        <f>P17+S16-M16</f>
        <v>0</v>
      </c>
      <c r="U17" s="14">
        <f>N16-T16</f>
        <v>2570000</v>
      </c>
      <c r="V17" s="12"/>
      <c r="W17" s="12"/>
      <c r="X17" s="12"/>
      <c r="Y17" s="12"/>
      <c r="Z17" s="12"/>
      <c r="AA17" s="12"/>
      <c r="AB17" s="12"/>
      <c r="AC17" s="12"/>
    </row>
    <row r="18" spans="1:29">
      <c r="M18" s="21"/>
      <c r="N18" s="21"/>
      <c r="O18" s="21"/>
      <c r="P18" s="23"/>
      <c r="Q18" s="21"/>
      <c r="R18" s="21"/>
      <c r="S18" s="21"/>
    </row>
    <row r="19" spans="1:29">
      <c r="A19" s="12"/>
      <c r="C19" s="18"/>
      <c r="U19" s="14"/>
      <c r="AB19" s="18"/>
    </row>
    <row r="20" spans="1:29">
      <c r="M20" s="21"/>
      <c r="N20" s="21"/>
      <c r="O20" s="21"/>
      <c r="P20" s="21"/>
      <c r="Q20" s="21"/>
      <c r="R20" s="21"/>
      <c r="S20" s="21"/>
    </row>
    <row r="21" spans="1:29">
      <c r="M21" s="21"/>
      <c r="N21" s="21"/>
      <c r="O21" s="21"/>
      <c r="P21" s="21"/>
      <c r="Q21" s="21"/>
      <c r="R21" s="21"/>
      <c r="S21" s="21"/>
    </row>
    <row r="22" spans="1:29">
      <c r="M22" s="21"/>
      <c r="N22" s="21"/>
      <c r="O22" s="21"/>
      <c r="P22" s="21"/>
      <c r="Q22" s="21"/>
      <c r="R22" s="21"/>
      <c r="S22" s="21"/>
    </row>
    <row r="23" spans="1:29">
      <c r="M23" s="21"/>
      <c r="N23" s="21"/>
      <c r="O23" s="21"/>
      <c r="P23" s="21"/>
      <c r="Q23" s="21"/>
      <c r="R23" s="21"/>
      <c r="S23" s="21"/>
    </row>
    <row r="24" spans="1:29">
      <c r="M24" s="21"/>
      <c r="N24" s="21"/>
      <c r="O24" s="21"/>
      <c r="P24" s="21"/>
      <c r="Q24" s="21"/>
      <c r="R24" s="21"/>
      <c r="S24" s="21"/>
    </row>
    <row r="25" spans="1:29">
      <c r="M25" s="21"/>
      <c r="N25" s="21"/>
      <c r="O25" s="21"/>
      <c r="P25" s="21"/>
      <c r="Q25" s="21"/>
      <c r="R25" s="21"/>
      <c r="S25" s="21"/>
    </row>
    <row r="26" spans="1:29">
      <c r="M26" s="21"/>
      <c r="N26" s="21"/>
      <c r="O26" s="21"/>
      <c r="P26" s="21"/>
      <c r="Q26" s="21"/>
      <c r="R26" s="21"/>
      <c r="S26" s="21"/>
    </row>
    <row r="27" spans="1:29">
      <c r="M27" s="21"/>
      <c r="N27" s="21"/>
      <c r="O27" s="21"/>
      <c r="P27" s="21"/>
      <c r="Q27" s="21"/>
      <c r="R27" s="21"/>
      <c r="S27" s="21"/>
    </row>
    <row r="28" spans="1:29">
      <c r="M28" s="21"/>
      <c r="N28" s="21"/>
      <c r="O28" s="21"/>
      <c r="P28" s="21"/>
      <c r="Q28" s="21"/>
      <c r="R28" s="21"/>
      <c r="S28" s="21"/>
    </row>
    <row r="29" spans="1:29">
      <c r="M29" s="21"/>
      <c r="N29" s="21"/>
      <c r="O29" s="21"/>
      <c r="P29" s="21"/>
      <c r="Q29" s="21"/>
      <c r="R29" s="21"/>
      <c r="S29" s="21"/>
    </row>
    <row r="30" spans="1:29">
      <c r="M30" s="21"/>
      <c r="N30" s="21"/>
      <c r="O30" s="21"/>
      <c r="P30" s="21"/>
      <c r="Q30" s="21"/>
      <c r="R30" s="21"/>
      <c r="S30" s="21"/>
    </row>
    <row r="31" spans="1:29">
      <c r="M31" s="21"/>
      <c r="N31" s="21"/>
      <c r="O31" s="21"/>
      <c r="P31" s="21"/>
      <c r="Q31" s="21"/>
      <c r="R31" s="21"/>
      <c r="S31" s="21"/>
    </row>
  </sheetData>
  <sheetProtection formatCells="0" formatColumns="0" formatRows="0" insertColumns="0" insertRows="0" insertHyperlinks="0" deleteColumns="0" deleteRows="0" sort="0" autoFilter="0" pivotTables="0"/>
  <sortState ref="A5:AC13">
    <sortCondition ref="AC5:AC13"/>
  </sortState>
  <conditionalFormatting sqref="A1:A2 AD1:XFD2">
    <cfRule type="cellIs" dxfId="217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5" max="16383" man="1"/>
  </row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showZeros="0" rightToLeft="1" topLeftCell="A7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190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A5" s="232"/>
      <c r="C5" s="232" t="s">
        <v>324</v>
      </c>
      <c r="D5" s="232"/>
      <c r="E5" s="232"/>
      <c r="F5" s="232"/>
      <c r="G5" s="232"/>
      <c r="H5" s="232"/>
      <c r="I5" s="232"/>
      <c r="J5" s="232"/>
      <c r="K5" s="232"/>
      <c r="L5" s="232"/>
    </row>
    <row r="6" spans="1:17" ht="16" thickBot="1">
      <c r="A6" s="232"/>
      <c r="C6" s="232"/>
      <c r="D6" s="232"/>
      <c r="E6" s="232"/>
      <c r="F6" s="232"/>
      <c r="G6" s="232"/>
      <c r="H6" s="232"/>
      <c r="I6" s="232"/>
      <c r="J6" s="232"/>
      <c r="K6" s="232"/>
      <c r="L6" s="232"/>
    </row>
    <row r="7" spans="1:17" ht="16" thickBot="1">
      <c r="A7" s="232"/>
      <c r="B7" s="235" t="s">
        <v>187</v>
      </c>
      <c r="C7" s="232" t="s">
        <v>1180</v>
      </c>
      <c r="D7" s="232"/>
      <c r="E7" s="232"/>
      <c r="F7" s="236">
        <f>'תקציב אגף שאיפה  2021 '!U42</f>
        <v>27235000</v>
      </c>
      <c r="I7" s="232"/>
      <c r="J7" s="232"/>
      <c r="K7" s="232"/>
      <c r="L7" s="232"/>
    </row>
    <row r="8" spans="1:17" ht="21" thickBot="1">
      <c r="A8" s="232"/>
      <c r="C8" s="234"/>
      <c r="D8" s="232"/>
      <c r="E8" s="232"/>
      <c r="F8" s="232"/>
      <c r="H8" s="232"/>
      <c r="I8" s="232"/>
      <c r="J8" s="232"/>
      <c r="K8" s="232"/>
      <c r="L8" s="232"/>
    </row>
    <row r="9" spans="1:17" ht="16" thickBot="1">
      <c r="B9" s="235" t="s">
        <v>187</v>
      </c>
      <c r="C9" s="232" t="s">
        <v>336</v>
      </c>
      <c r="D9" s="232"/>
      <c r="F9" s="244">
        <f>'תקציב אגף שאיפה  2021 '!A42</f>
        <v>37</v>
      </c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B10" s="235"/>
      <c r="C10" s="232"/>
      <c r="D10" s="232"/>
      <c r="F10" s="238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B11" s="235"/>
      <c r="C11" s="232"/>
      <c r="D11" s="232"/>
      <c r="F11" s="238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B12" s="235" t="s">
        <v>187</v>
      </c>
      <c r="C12" s="232" t="s">
        <v>310</v>
      </c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7" ht="16" thickBot="1"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D14" s="245" t="s">
        <v>311</v>
      </c>
      <c r="E14" s="246" t="s">
        <v>312</v>
      </c>
      <c r="F14" s="247" t="s">
        <v>314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13</v>
      </c>
      <c r="E15" s="248">
        <f>'תקציב אגף שאיפה  2021 '!V42</f>
        <v>533000</v>
      </c>
      <c r="F15" s="256">
        <f>E15/$E$18</f>
        <v>1.9570405727923627E-2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C16" s="235"/>
      <c r="D16" s="239" t="s">
        <v>14</v>
      </c>
      <c r="E16" s="248">
        <f>'תקציב אגף שאיפה  2021 '!W42</f>
        <v>7320000</v>
      </c>
      <c r="F16" s="256">
        <f>E16/$E$18</f>
        <v>0.26877180099137138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C17" s="235"/>
      <c r="D17" s="239" t="s">
        <v>91</v>
      </c>
      <c r="E17" s="248">
        <f>'תקציב אגף שאיפה  2021 '!AA42</f>
        <v>19382000</v>
      </c>
      <c r="F17" s="256">
        <f>E17/$E$18</f>
        <v>0.711657793280705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6" thickBot="1">
      <c r="C18" s="235"/>
      <c r="D18" s="242" t="s">
        <v>105</v>
      </c>
      <c r="E18" s="250">
        <f>SUM(E15:E17)</f>
        <v>27235000</v>
      </c>
      <c r="F18" s="148">
        <f>SUM(F15:F17)</f>
        <v>1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C19" s="235"/>
      <c r="D19" s="238"/>
      <c r="E19" s="259"/>
      <c r="F19" s="26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5.5">
      <c r="C20" s="235"/>
      <c r="D20" s="238"/>
      <c r="E20" s="259"/>
      <c r="F20" s="26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t="15.5">
      <c r="B21" s="235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t="20.5">
      <c r="C22" s="232"/>
      <c r="D22" s="344"/>
      <c r="E22" s="232"/>
      <c r="F22" s="232"/>
      <c r="H22" s="232"/>
      <c r="I22" s="232"/>
      <c r="J22" s="232"/>
      <c r="K22" s="232"/>
      <c r="L22" s="232"/>
    </row>
    <row r="23" spans="1:17" s="338" customFormat="1" ht="15.5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</row>
    <row r="24" spans="1:17" ht="15.5">
      <c r="B24" s="235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ht="15.5">
      <c r="B25" s="235"/>
      <c r="C25" s="232"/>
      <c r="D25" s="337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8" spans="1:17" s="363" customFormat="1" ht="15.5">
      <c r="C28" s="364" t="s">
        <v>187</v>
      </c>
      <c r="D28" s="365" t="s">
        <v>1716</v>
      </c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4"/>
  <sheetViews>
    <sheetView showZeros="0" rightToLeft="1" topLeftCell="A10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190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C5" s="235"/>
      <c r="D5" s="238"/>
      <c r="E5" s="259"/>
      <c r="F5" s="26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5.5">
      <c r="C6" s="235"/>
      <c r="D6" s="238"/>
      <c r="E6" s="259"/>
      <c r="F6" s="26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</row>
    <row r="7" spans="1:17" ht="15.5">
      <c r="B7" s="235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5.5">
      <c r="B8" s="235" t="s">
        <v>187</v>
      </c>
      <c r="C8" s="232" t="s">
        <v>1178</v>
      </c>
      <c r="D8" s="232"/>
      <c r="F8" s="232"/>
      <c r="H8" s="241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/>
      <c r="C9" s="232"/>
      <c r="D9" s="232" t="s">
        <v>602</v>
      </c>
      <c r="E9" s="232"/>
      <c r="F9" s="232"/>
      <c r="G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B10" s="235"/>
      <c r="C10" s="232"/>
      <c r="D10" s="232" t="s">
        <v>1498</v>
      </c>
      <c r="E10" s="232"/>
      <c r="F10" s="232"/>
      <c r="G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B11" s="235"/>
      <c r="C11" s="232"/>
      <c r="D11" s="232" t="s">
        <v>830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D12" s="232" t="s">
        <v>1499</v>
      </c>
      <c r="E12" s="232"/>
    </row>
    <row r="13" spans="1:17" ht="15.5">
      <c r="B13" s="235"/>
      <c r="C13" s="232"/>
      <c r="D13" s="232" t="s">
        <v>603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B14" s="235"/>
      <c r="C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B15" s="235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B16" s="235"/>
      <c r="C16" s="232"/>
      <c r="D16" s="355" t="s">
        <v>1500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ht="15.5">
      <c r="B17" s="235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ht="15.5">
      <c r="B18" s="235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ht="15.5">
      <c r="B19" s="235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ht="15.5">
      <c r="B20" s="23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ht="15.5">
      <c r="B21" s="235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ht="15.5">
      <c r="B22" s="235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2:17" ht="15.5">
      <c r="B23" s="235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34" spans="4:4" ht="15.5">
      <c r="D34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3"/>
  <sheetViews>
    <sheetView showZeros="0" rightToLeft="1" zoomScale="93" zoomScaleNormal="93" workbookViewId="0">
      <pane xSplit="3" ySplit="4" topLeftCell="D26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36328125" style="29" customWidth="1"/>
    <col min="2" max="2" width="4.81640625" style="12" customWidth="1"/>
    <col min="3" max="3" width="25.54296875" style="12" customWidth="1"/>
    <col min="4" max="6" width="10.81640625" style="14" customWidth="1"/>
    <col min="7" max="11" width="10.81640625" style="14" hidden="1" customWidth="1"/>
    <col min="12" max="15" width="10.81640625" style="14" customWidth="1"/>
    <col min="16" max="19" width="10.81640625" style="14" hidden="1" customWidth="1"/>
    <col min="20" max="20" width="10.81640625" style="14" customWidth="1"/>
    <col min="21" max="23" width="10.81640625" style="12" customWidth="1"/>
    <col min="24" max="26" width="10.81640625" style="12" hidden="1" customWidth="1"/>
    <col min="27" max="27" width="10.81640625" style="14" customWidth="1"/>
    <col min="28" max="28" width="36.1796875" style="18" hidden="1" customWidth="1"/>
    <col min="29" max="29" width="7.90625" style="12" hidden="1" customWidth="1"/>
    <col min="30" max="30" width="30.6328125" style="166" customWidth="1"/>
    <col min="31" max="31" width="9.08984375" style="17" customWidth="1"/>
    <col min="32" max="32" width="1.54296875" style="17" customWidth="1"/>
    <col min="33" max="34" width="9.08984375" style="17" customWidth="1"/>
    <col min="35" max="16384" width="9.08984375" style="12"/>
  </cols>
  <sheetData>
    <row r="1" spans="1:34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593"/>
      <c r="AB1" s="402"/>
      <c r="AD1" s="166"/>
    </row>
    <row r="2" spans="1:34" s="166" customFormat="1" ht="18">
      <c r="A2" s="282" t="s">
        <v>190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593"/>
      <c r="AB2" s="183"/>
    </row>
    <row r="3" spans="1:34" ht="24" customHeight="1"/>
    <row r="4" spans="1:34" s="24" customFormat="1" ht="86.25" customHeight="1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9" t="s">
        <v>91</v>
      </c>
      <c r="AB4" s="16" t="s">
        <v>344</v>
      </c>
      <c r="AC4" s="16" t="s">
        <v>16</v>
      </c>
      <c r="AD4" s="166"/>
    </row>
    <row r="5" spans="1:34" s="5" customFormat="1" ht="30" customHeight="1">
      <c r="A5" s="3">
        <v>1</v>
      </c>
      <c r="B5" s="3">
        <v>1134</v>
      </c>
      <c r="C5" s="3" t="s">
        <v>64</v>
      </c>
      <c r="D5" s="4">
        <v>2795000</v>
      </c>
      <c r="E5" s="4">
        <v>2795000</v>
      </c>
      <c r="F5" s="4">
        <f t="shared" ref="F5:F41" si="0">D5-E5</f>
        <v>0</v>
      </c>
      <c r="G5" s="4">
        <v>2705000</v>
      </c>
      <c r="H5" s="4">
        <v>2514559</v>
      </c>
      <c r="I5" s="4">
        <v>0</v>
      </c>
      <c r="J5" s="4">
        <v>39610</v>
      </c>
      <c r="K5" s="4">
        <f t="shared" ref="K5:K40" si="1">I5+J5</f>
        <v>39610</v>
      </c>
      <c r="L5" s="4">
        <f t="shared" ref="L5:L41" si="2">H5+K5</f>
        <v>2554169</v>
      </c>
      <c r="M5" s="4">
        <f>P5+S5-150000</f>
        <v>831</v>
      </c>
      <c r="N5" s="4">
        <v>100000</v>
      </c>
      <c r="O5" s="4">
        <f t="shared" ref="O5:O41" si="3">D5-L5-M5-N5</f>
        <v>140000</v>
      </c>
      <c r="P5" s="4">
        <f t="shared" ref="P5:P41" si="4">G5-L5</f>
        <v>150831</v>
      </c>
      <c r="Q5" s="4"/>
      <c r="R5" s="4"/>
      <c r="S5" s="4">
        <f t="shared" ref="S5:S41" si="5">SUM(Q5:R5)</f>
        <v>0</v>
      </c>
      <c r="T5" s="4">
        <f t="shared" ref="T5:T41" si="6">P5-M5+S5</f>
        <v>150000</v>
      </c>
      <c r="U5" s="4">
        <f t="shared" ref="U5:U41" si="7">N5-T5</f>
        <v>-50000</v>
      </c>
      <c r="V5" s="10">
        <f>U5-W5-X5-Z5-AA5</f>
        <v>-50000</v>
      </c>
      <c r="W5" s="4"/>
      <c r="X5" s="4"/>
      <c r="Y5" s="4"/>
      <c r="Z5" s="4"/>
      <c r="AA5" s="4"/>
      <c r="AB5" s="3" t="s">
        <v>844</v>
      </c>
      <c r="AC5" s="3">
        <v>746000</v>
      </c>
      <c r="AD5" s="22"/>
      <c r="AE5" s="23"/>
      <c r="AF5" s="23"/>
      <c r="AG5" s="23"/>
      <c r="AH5" s="23"/>
    </row>
    <row r="6" spans="1:34" s="5" customFormat="1" ht="30" customHeight="1">
      <c r="A6" s="3">
        <f>A5+1</f>
        <v>2</v>
      </c>
      <c r="B6" s="3">
        <v>1165</v>
      </c>
      <c r="C6" s="3" t="s">
        <v>93</v>
      </c>
      <c r="D6" s="4">
        <v>12050000</v>
      </c>
      <c r="E6" s="4">
        <v>12050000</v>
      </c>
      <c r="F6" s="4">
        <f t="shared" si="0"/>
        <v>0</v>
      </c>
      <c r="G6" s="4">
        <v>12050000</v>
      </c>
      <c r="H6" s="4">
        <v>12043918</v>
      </c>
      <c r="I6" s="4">
        <v>0</v>
      </c>
      <c r="J6" s="4">
        <v>3199</v>
      </c>
      <c r="K6" s="4">
        <f t="shared" si="1"/>
        <v>3199</v>
      </c>
      <c r="L6" s="4">
        <f t="shared" si="2"/>
        <v>12047117</v>
      </c>
      <c r="M6" s="4">
        <f>P6+S6</f>
        <v>2883</v>
      </c>
      <c r="N6" s="4"/>
      <c r="O6" s="4">
        <f t="shared" si="3"/>
        <v>0</v>
      </c>
      <c r="P6" s="4">
        <f t="shared" si="4"/>
        <v>2883</v>
      </c>
      <c r="Q6" s="4"/>
      <c r="R6" s="4"/>
      <c r="S6" s="4">
        <f t="shared" si="5"/>
        <v>0</v>
      </c>
      <c r="T6" s="4">
        <f t="shared" si="6"/>
        <v>0</v>
      </c>
      <c r="U6" s="4">
        <f t="shared" si="7"/>
        <v>0</v>
      </c>
      <c r="V6" s="10">
        <f>U6-W6-X6-Z6-AA6</f>
        <v>0</v>
      </c>
      <c r="W6" s="4"/>
      <c r="X6" s="4"/>
      <c r="Y6" s="4"/>
      <c r="Z6" s="4"/>
      <c r="AA6" s="4"/>
      <c r="AB6" s="3" t="s">
        <v>911</v>
      </c>
      <c r="AC6" s="3">
        <v>746000</v>
      </c>
      <c r="AD6" s="166"/>
      <c r="AE6" s="22"/>
      <c r="AF6" s="22"/>
      <c r="AG6" s="22"/>
      <c r="AH6" s="22"/>
    </row>
    <row r="7" spans="1:34" s="5" customFormat="1" ht="30" customHeight="1">
      <c r="A7" s="3">
        <f t="shared" ref="A7:A41" si="8">A6+1</f>
        <v>3</v>
      </c>
      <c r="B7" s="3">
        <v>1210</v>
      </c>
      <c r="C7" s="3" t="s">
        <v>68</v>
      </c>
      <c r="D7" s="4">
        <v>113550000</v>
      </c>
      <c r="E7" s="4">
        <v>89650000</v>
      </c>
      <c r="F7" s="4">
        <f t="shared" si="0"/>
        <v>23900000</v>
      </c>
      <c r="G7" s="4">
        <v>85250000</v>
      </c>
      <c r="H7" s="4">
        <v>80024869</v>
      </c>
      <c r="I7" s="4">
        <v>0</v>
      </c>
      <c r="J7" s="4">
        <v>754523</v>
      </c>
      <c r="K7" s="4">
        <f t="shared" si="1"/>
        <v>754523</v>
      </c>
      <c r="L7" s="4">
        <f t="shared" si="2"/>
        <v>80779392</v>
      </c>
      <c r="M7" s="4">
        <f>P7+S7</f>
        <v>4470608</v>
      </c>
      <c r="N7" s="4">
        <v>19300000</v>
      </c>
      <c r="O7" s="4">
        <f t="shared" si="3"/>
        <v>9000000</v>
      </c>
      <c r="P7" s="4">
        <f t="shared" si="4"/>
        <v>4470608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19300000</v>
      </c>
      <c r="V7" s="10"/>
      <c r="W7" s="4"/>
      <c r="X7" s="4"/>
      <c r="Y7" s="4"/>
      <c r="Z7" s="4"/>
      <c r="AA7" s="4">
        <f>U7</f>
        <v>19300000</v>
      </c>
      <c r="AB7" s="3" t="s">
        <v>838</v>
      </c>
      <c r="AC7" s="3">
        <v>764000</v>
      </c>
      <c r="AD7" s="166"/>
    </row>
    <row r="8" spans="1:34" s="5" customFormat="1" ht="30" customHeight="1">
      <c r="A8" s="3">
        <f t="shared" si="8"/>
        <v>4</v>
      </c>
      <c r="B8" s="3">
        <v>1254</v>
      </c>
      <c r="C8" s="3" t="s">
        <v>430</v>
      </c>
      <c r="D8" s="4">
        <v>49000000</v>
      </c>
      <c r="E8" s="4">
        <v>45990000</v>
      </c>
      <c r="F8" s="4">
        <f t="shared" si="0"/>
        <v>3010000</v>
      </c>
      <c r="G8" s="4">
        <v>39772866</v>
      </c>
      <c r="H8" s="4">
        <v>37044062</v>
      </c>
      <c r="I8" s="4">
        <v>0</v>
      </c>
      <c r="J8" s="4">
        <v>2638448</v>
      </c>
      <c r="K8" s="4">
        <f t="shared" si="1"/>
        <v>2638448</v>
      </c>
      <c r="L8" s="4">
        <f t="shared" si="2"/>
        <v>39682510</v>
      </c>
      <c r="M8" s="4">
        <f>P8+S8</f>
        <v>90356</v>
      </c>
      <c r="N8" s="4">
        <f>7000000-1184000+484000-3000000</f>
        <v>3300000</v>
      </c>
      <c r="O8" s="4">
        <f t="shared" si="3"/>
        <v>5927134</v>
      </c>
      <c r="P8" s="4">
        <f t="shared" si="4"/>
        <v>90356</v>
      </c>
      <c r="Q8" s="4"/>
      <c r="R8" s="4"/>
      <c r="S8" s="4">
        <f t="shared" si="5"/>
        <v>0</v>
      </c>
      <c r="T8" s="4">
        <f t="shared" si="6"/>
        <v>0</v>
      </c>
      <c r="U8" s="4">
        <f t="shared" si="7"/>
        <v>3300000</v>
      </c>
      <c r="V8" s="10">
        <f t="shared" ref="V8:V40" si="9">U8-W8-X8-Z8-AA8</f>
        <v>0</v>
      </c>
      <c r="W8" s="4">
        <f>2000000+1300000</f>
        <v>3300000</v>
      </c>
      <c r="X8" s="4"/>
      <c r="Y8" s="4"/>
      <c r="Z8" s="4"/>
      <c r="AA8" s="4"/>
      <c r="AB8" s="3" t="s">
        <v>839</v>
      </c>
      <c r="AC8" s="3">
        <v>746000</v>
      </c>
      <c r="AD8" s="166"/>
      <c r="AE8" s="22"/>
      <c r="AF8" s="22"/>
      <c r="AG8" s="22"/>
      <c r="AH8" s="22"/>
    </row>
    <row r="9" spans="1:34" s="5" customFormat="1" ht="30" customHeight="1">
      <c r="A9" s="3">
        <f t="shared" si="8"/>
        <v>5</v>
      </c>
      <c r="B9" s="3">
        <v>1342</v>
      </c>
      <c r="C9" s="3" t="s">
        <v>77</v>
      </c>
      <c r="D9" s="4">
        <v>4700000</v>
      </c>
      <c r="E9" s="4">
        <v>4000000</v>
      </c>
      <c r="F9" s="4">
        <f t="shared" si="0"/>
        <v>700000</v>
      </c>
      <c r="G9" s="4">
        <f>2890000</f>
        <v>2890000</v>
      </c>
      <c r="H9" s="4">
        <v>2728645</v>
      </c>
      <c r="I9" s="4">
        <v>0</v>
      </c>
      <c r="J9" s="4">
        <v>131353</v>
      </c>
      <c r="K9" s="4">
        <f t="shared" si="1"/>
        <v>131353</v>
      </c>
      <c r="L9" s="4">
        <f t="shared" si="2"/>
        <v>2859998</v>
      </c>
      <c r="M9" s="4">
        <f>P9+S9</f>
        <v>30002</v>
      </c>
      <c r="N9" s="4">
        <f>1050000-1050000</f>
        <v>0</v>
      </c>
      <c r="O9" s="4">
        <f t="shared" si="3"/>
        <v>1810000</v>
      </c>
      <c r="P9" s="4">
        <f t="shared" si="4"/>
        <v>30002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0</v>
      </c>
      <c r="V9" s="10">
        <f t="shared" si="9"/>
        <v>0</v>
      </c>
      <c r="W9" s="4"/>
      <c r="X9" s="4"/>
      <c r="Y9" s="4"/>
      <c r="Z9" s="4"/>
      <c r="AA9" s="4"/>
      <c r="AB9" s="3" t="s">
        <v>1402</v>
      </c>
      <c r="AC9" s="3">
        <v>746000</v>
      </c>
      <c r="AD9" s="166"/>
      <c r="AE9" s="22"/>
      <c r="AF9" s="22"/>
      <c r="AG9" s="22"/>
      <c r="AH9" s="22"/>
    </row>
    <row r="10" spans="1:34" s="5" customFormat="1" ht="30" customHeight="1">
      <c r="A10" s="3">
        <f t="shared" si="8"/>
        <v>6</v>
      </c>
      <c r="B10" s="3">
        <v>1343</v>
      </c>
      <c r="C10" s="3" t="s">
        <v>78</v>
      </c>
      <c r="D10" s="4">
        <f>8320000-1300000</f>
        <v>7020000</v>
      </c>
      <c r="E10" s="4">
        <v>8320000</v>
      </c>
      <c r="F10" s="4">
        <f t="shared" si="0"/>
        <v>-1300000</v>
      </c>
      <c r="G10" s="4">
        <v>7020000</v>
      </c>
      <c r="H10" s="4">
        <v>6091577</v>
      </c>
      <c r="I10" s="4">
        <v>0</v>
      </c>
      <c r="J10" s="4">
        <v>377960</v>
      </c>
      <c r="K10" s="4">
        <f t="shared" si="1"/>
        <v>377960</v>
      </c>
      <c r="L10" s="4">
        <f t="shared" si="2"/>
        <v>6469537</v>
      </c>
      <c r="M10" s="4">
        <f>P10+S10-500000</f>
        <v>50463</v>
      </c>
      <c r="N10" s="4">
        <v>500000</v>
      </c>
      <c r="O10" s="4">
        <f t="shared" si="3"/>
        <v>0</v>
      </c>
      <c r="P10" s="4">
        <f t="shared" si="4"/>
        <v>550463</v>
      </c>
      <c r="Q10" s="4"/>
      <c r="R10" s="4"/>
      <c r="S10" s="4">
        <f t="shared" si="5"/>
        <v>0</v>
      </c>
      <c r="T10" s="4">
        <f t="shared" si="6"/>
        <v>500000</v>
      </c>
      <c r="U10" s="4">
        <f t="shared" si="7"/>
        <v>0</v>
      </c>
      <c r="V10" s="10">
        <f t="shared" si="9"/>
        <v>0</v>
      </c>
      <c r="W10" s="4"/>
      <c r="X10" s="4"/>
      <c r="Y10" s="4"/>
      <c r="Z10" s="4"/>
      <c r="AA10" s="4"/>
      <c r="AB10" s="3" t="s">
        <v>1290</v>
      </c>
      <c r="AC10" s="3">
        <v>746000</v>
      </c>
      <c r="AD10" s="166"/>
      <c r="AE10" s="22"/>
      <c r="AF10" s="22"/>
      <c r="AG10" s="22"/>
      <c r="AH10" s="22"/>
    </row>
    <row r="11" spans="1:34" s="5" customFormat="1" ht="30" customHeight="1">
      <c r="A11" s="3">
        <f t="shared" si="8"/>
        <v>7</v>
      </c>
      <c r="B11" s="3">
        <v>1345</v>
      </c>
      <c r="C11" s="3" t="s">
        <v>560</v>
      </c>
      <c r="D11" s="4">
        <f>1739000-856000</f>
        <v>883000</v>
      </c>
      <c r="E11" s="4">
        <v>1739000</v>
      </c>
      <c r="F11" s="4">
        <f t="shared" si="0"/>
        <v>-856000</v>
      </c>
      <c r="G11" s="4">
        <v>883000</v>
      </c>
      <c r="H11" s="4">
        <v>825751</v>
      </c>
      <c r="I11" s="4">
        <v>0</v>
      </c>
      <c r="J11" s="4">
        <v>9360</v>
      </c>
      <c r="K11" s="4">
        <f t="shared" si="1"/>
        <v>9360</v>
      </c>
      <c r="L11" s="4">
        <f t="shared" si="2"/>
        <v>835111</v>
      </c>
      <c r="M11" s="4">
        <f>P11+S11</f>
        <v>47889</v>
      </c>
      <c r="N11" s="4"/>
      <c r="O11" s="4">
        <f t="shared" si="3"/>
        <v>0</v>
      </c>
      <c r="P11" s="4">
        <f t="shared" si="4"/>
        <v>47889</v>
      </c>
      <c r="Q11" s="4"/>
      <c r="R11" s="4"/>
      <c r="S11" s="4">
        <f t="shared" si="5"/>
        <v>0</v>
      </c>
      <c r="T11" s="4">
        <f t="shared" si="6"/>
        <v>0</v>
      </c>
      <c r="U11" s="4">
        <f t="shared" si="7"/>
        <v>0</v>
      </c>
      <c r="V11" s="10">
        <f t="shared" si="9"/>
        <v>0</v>
      </c>
      <c r="W11" s="4"/>
      <c r="X11" s="4"/>
      <c r="Y11" s="4"/>
      <c r="Z11" s="4"/>
      <c r="AA11" s="4"/>
      <c r="AB11" s="3" t="s">
        <v>747</v>
      </c>
      <c r="AC11" s="3">
        <v>870000</v>
      </c>
      <c r="AD11" s="22"/>
      <c r="AE11" s="23"/>
      <c r="AF11" s="23"/>
      <c r="AG11" s="23"/>
      <c r="AH11" s="23"/>
    </row>
    <row r="12" spans="1:34" s="5" customFormat="1" ht="30" customHeight="1">
      <c r="A12" s="3">
        <f t="shared" si="8"/>
        <v>8</v>
      </c>
      <c r="B12" s="3">
        <v>1435</v>
      </c>
      <c r="C12" s="31" t="s">
        <v>748</v>
      </c>
      <c r="D12" s="4">
        <f>31274320+1300000</f>
        <v>32574320</v>
      </c>
      <c r="E12" s="4">
        <v>31274320</v>
      </c>
      <c r="F12" s="4">
        <f t="shared" si="0"/>
        <v>1300000</v>
      </c>
      <c r="G12" s="4">
        <v>29074320</v>
      </c>
      <c r="H12" s="4">
        <v>25932742</v>
      </c>
      <c r="I12" s="4">
        <v>0</v>
      </c>
      <c r="J12" s="4">
        <v>2329566</v>
      </c>
      <c r="K12" s="4">
        <f t="shared" si="1"/>
        <v>2329566</v>
      </c>
      <c r="L12" s="4">
        <f t="shared" si="2"/>
        <v>28262308</v>
      </c>
      <c r="M12" s="4">
        <f>P12+S12</f>
        <v>812012</v>
      </c>
      <c r="N12" s="4">
        <f>3500000-1000000+300000</f>
        <v>2800000</v>
      </c>
      <c r="O12" s="4">
        <f t="shared" si="3"/>
        <v>700000</v>
      </c>
      <c r="P12" s="4">
        <f t="shared" si="4"/>
        <v>812012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2800000</v>
      </c>
      <c r="V12" s="10">
        <f t="shared" si="9"/>
        <v>0</v>
      </c>
      <c r="W12" s="4">
        <v>2800000</v>
      </c>
      <c r="X12" s="4"/>
      <c r="Y12" s="4"/>
      <c r="Z12" s="4"/>
      <c r="AA12" s="4"/>
      <c r="AB12" s="72" t="s">
        <v>1291</v>
      </c>
      <c r="AC12" s="3">
        <v>848500</v>
      </c>
      <c r="AD12" s="166"/>
      <c r="AE12" s="22"/>
      <c r="AF12" s="22"/>
      <c r="AG12" s="22"/>
      <c r="AH12" s="22"/>
    </row>
    <row r="13" spans="1:34" s="5" customFormat="1" ht="30" customHeight="1">
      <c r="A13" s="3">
        <f t="shared" si="8"/>
        <v>9</v>
      </c>
      <c r="B13" s="3">
        <v>1491</v>
      </c>
      <c r="C13" s="3" t="s">
        <v>79</v>
      </c>
      <c r="D13" s="4">
        <v>6870000</v>
      </c>
      <c r="E13" s="4">
        <v>6870000</v>
      </c>
      <c r="F13" s="4">
        <f t="shared" si="0"/>
        <v>0</v>
      </c>
      <c r="G13" s="4">
        <v>6870000</v>
      </c>
      <c r="H13" s="4">
        <v>6814753</v>
      </c>
      <c r="I13" s="4">
        <v>0</v>
      </c>
      <c r="J13" s="4">
        <v>53410</v>
      </c>
      <c r="K13" s="4">
        <f t="shared" si="1"/>
        <v>53410</v>
      </c>
      <c r="L13" s="4">
        <f t="shared" si="2"/>
        <v>6868163</v>
      </c>
      <c r="M13" s="4">
        <f>P13+S13</f>
        <v>1837</v>
      </c>
      <c r="N13" s="4"/>
      <c r="O13" s="4">
        <f t="shared" si="3"/>
        <v>0</v>
      </c>
      <c r="P13" s="4">
        <f t="shared" si="4"/>
        <v>1837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0</v>
      </c>
      <c r="V13" s="10">
        <f t="shared" si="9"/>
        <v>0</v>
      </c>
      <c r="W13" s="4"/>
      <c r="X13" s="4"/>
      <c r="Y13" s="4"/>
      <c r="Z13" s="4"/>
      <c r="AA13" s="4"/>
      <c r="AB13" s="72" t="s">
        <v>912</v>
      </c>
      <c r="AC13" s="3">
        <v>746000</v>
      </c>
      <c r="AD13" s="166"/>
      <c r="AE13" s="22"/>
      <c r="AF13" s="22"/>
      <c r="AG13" s="22"/>
      <c r="AH13" s="22"/>
    </row>
    <row r="14" spans="1:34" s="5" customFormat="1" ht="30" customHeight="1">
      <c r="A14" s="3">
        <f t="shared" si="8"/>
        <v>10</v>
      </c>
      <c r="B14" s="3">
        <v>1504</v>
      </c>
      <c r="C14" s="3" t="s">
        <v>80</v>
      </c>
      <c r="D14" s="4">
        <v>2500000</v>
      </c>
      <c r="E14" s="4">
        <v>2000000</v>
      </c>
      <c r="F14" s="4">
        <f t="shared" si="0"/>
        <v>500000</v>
      </c>
      <c r="G14" s="4">
        <v>1500000</v>
      </c>
      <c r="H14" s="4">
        <v>1461344</v>
      </c>
      <c r="I14" s="4">
        <v>0</v>
      </c>
      <c r="J14" s="4">
        <v>0</v>
      </c>
      <c r="K14" s="4">
        <f t="shared" si="1"/>
        <v>0</v>
      </c>
      <c r="L14" s="4">
        <f t="shared" si="2"/>
        <v>1461344</v>
      </c>
      <c r="M14" s="4">
        <f>P14+S14</f>
        <v>38656</v>
      </c>
      <c r="N14" s="4">
        <f>500000-500000</f>
        <v>0</v>
      </c>
      <c r="O14" s="4">
        <f t="shared" si="3"/>
        <v>1000000</v>
      </c>
      <c r="P14" s="4">
        <f t="shared" si="4"/>
        <v>38656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0</v>
      </c>
      <c r="V14" s="10">
        <f t="shared" si="9"/>
        <v>0</v>
      </c>
      <c r="W14" s="4"/>
      <c r="X14" s="4"/>
      <c r="Y14" s="4"/>
      <c r="Z14" s="4"/>
      <c r="AA14" s="4"/>
      <c r="AB14" s="3" t="s">
        <v>749</v>
      </c>
      <c r="AC14" s="3">
        <v>746000</v>
      </c>
      <c r="AD14" s="166"/>
      <c r="AE14" s="22"/>
      <c r="AF14" s="22"/>
      <c r="AG14" s="22"/>
      <c r="AH14" s="22"/>
    </row>
    <row r="15" spans="1:34" s="5" customFormat="1" ht="30" customHeight="1">
      <c r="A15" s="3">
        <f t="shared" si="8"/>
        <v>11</v>
      </c>
      <c r="B15" s="3">
        <v>1579</v>
      </c>
      <c r="C15" s="3" t="s">
        <v>470</v>
      </c>
      <c r="D15" s="4">
        <v>170000</v>
      </c>
      <c r="E15" s="4">
        <v>170000</v>
      </c>
      <c r="F15" s="4">
        <f t="shared" si="0"/>
        <v>0</v>
      </c>
      <c r="G15" s="4">
        <v>170000</v>
      </c>
      <c r="H15" s="4">
        <v>155741</v>
      </c>
      <c r="I15" s="4">
        <v>0</v>
      </c>
      <c r="J15" s="4">
        <v>5137</v>
      </c>
      <c r="K15" s="4">
        <f t="shared" si="1"/>
        <v>5137</v>
      </c>
      <c r="L15" s="4">
        <f t="shared" si="2"/>
        <v>160878</v>
      </c>
      <c r="M15" s="4">
        <f>P15+S15-9000</f>
        <v>122</v>
      </c>
      <c r="N15" s="4"/>
      <c r="O15" s="4">
        <f t="shared" si="3"/>
        <v>9000</v>
      </c>
      <c r="P15" s="4">
        <f t="shared" si="4"/>
        <v>9122</v>
      </c>
      <c r="Q15" s="4"/>
      <c r="R15" s="4"/>
      <c r="S15" s="4">
        <f t="shared" si="5"/>
        <v>0</v>
      </c>
      <c r="T15" s="4">
        <f t="shared" si="6"/>
        <v>9000</v>
      </c>
      <c r="U15" s="4">
        <f t="shared" si="7"/>
        <v>-9000</v>
      </c>
      <c r="V15" s="10">
        <f t="shared" si="9"/>
        <v>-9000</v>
      </c>
      <c r="W15" s="4"/>
      <c r="X15" s="4"/>
      <c r="Y15" s="4"/>
      <c r="Z15" s="4"/>
      <c r="AA15" s="4"/>
      <c r="AB15" s="3" t="s">
        <v>1292</v>
      </c>
      <c r="AC15" s="3">
        <v>870000</v>
      </c>
      <c r="AD15" s="22"/>
      <c r="AE15" s="23"/>
      <c r="AF15" s="23"/>
      <c r="AG15" s="23"/>
      <c r="AH15" s="23"/>
    </row>
    <row r="16" spans="1:34" s="5" customFormat="1" ht="30" customHeight="1">
      <c r="A16" s="3">
        <f t="shared" si="8"/>
        <v>12</v>
      </c>
      <c r="B16" s="3">
        <v>1598</v>
      </c>
      <c r="C16" s="3" t="s">
        <v>65</v>
      </c>
      <c r="D16" s="4">
        <f>724500-108000</f>
        <v>616500</v>
      </c>
      <c r="E16" s="4">
        <v>724500</v>
      </c>
      <c r="F16" s="4">
        <f t="shared" si="0"/>
        <v>-108000</v>
      </c>
      <c r="G16" s="4">
        <v>616500</v>
      </c>
      <c r="H16" s="4">
        <v>454074</v>
      </c>
      <c r="I16" s="4">
        <v>0</v>
      </c>
      <c r="J16" s="4">
        <v>70325</v>
      </c>
      <c r="K16" s="4">
        <f t="shared" si="1"/>
        <v>70325</v>
      </c>
      <c r="L16" s="4">
        <f t="shared" si="2"/>
        <v>524399</v>
      </c>
      <c r="M16" s="4">
        <f>P16+S16</f>
        <v>92101</v>
      </c>
      <c r="N16" s="4"/>
      <c r="O16" s="4">
        <f t="shared" si="3"/>
        <v>0</v>
      </c>
      <c r="P16" s="4">
        <f t="shared" si="4"/>
        <v>92101</v>
      </c>
      <c r="Q16" s="4"/>
      <c r="R16" s="4"/>
      <c r="S16" s="4">
        <f t="shared" si="5"/>
        <v>0</v>
      </c>
      <c r="T16" s="4">
        <f t="shared" si="6"/>
        <v>0</v>
      </c>
      <c r="U16" s="4">
        <f t="shared" si="7"/>
        <v>0</v>
      </c>
      <c r="V16" s="10">
        <f t="shared" si="9"/>
        <v>0</v>
      </c>
      <c r="W16" s="4"/>
      <c r="X16" s="4"/>
      <c r="Y16" s="4"/>
      <c r="Z16" s="4"/>
      <c r="AA16" s="4"/>
      <c r="AB16" s="3" t="s">
        <v>840</v>
      </c>
      <c r="AC16" s="3">
        <v>870000</v>
      </c>
      <c r="AD16" s="22"/>
      <c r="AE16" s="23"/>
      <c r="AF16" s="23"/>
      <c r="AG16" s="23"/>
      <c r="AH16" s="23"/>
    </row>
    <row r="17" spans="1:34" s="5" customFormat="1" ht="30" customHeight="1">
      <c r="A17" s="3">
        <f t="shared" si="8"/>
        <v>13</v>
      </c>
      <c r="B17" s="3">
        <v>1680</v>
      </c>
      <c r="C17" s="3" t="s">
        <v>81</v>
      </c>
      <c r="D17" s="4">
        <v>2800000</v>
      </c>
      <c r="E17" s="4">
        <v>950000</v>
      </c>
      <c r="F17" s="4">
        <f t="shared" si="0"/>
        <v>1850000</v>
      </c>
      <c r="G17" s="4">
        <v>500000</v>
      </c>
      <c r="H17" s="4">
        <v>427578</v>
      </c>
      <c r="I17" s="4">
        <v>0</v>
      </c>
      <c r="J17" s="4">
        <v>60790</v>
      </c>
      <c r="K17" s="4">
        <f t="shared" si="1"/>
        <v>60790</v>
      </c>
      <c r="L17" s="4">
        <f t="shared" si="2"/>
        <v>488368</v>
      </c>
      <c r="M17" s="4">
        <f>P17+S17</f>
        <v>11632</v>
      </c>
      <c r="N17" s="4">
        <f>1150000-650000</f>
        <v>500000</v>
      </c>
      <c r="O17" s="4">
        <f t="shared" si="3"/>
        <v>1800000</v>
      </c>
      <c r="P17" s="4">
        <f t="shared" si="4"/>
        <v>11632</v>
      </c>
      <c r="Q17" s="4"/>
      <c r="R17" s="4"/>
      <c r="S17" s="4">
        <f t="shared" si="5"/>
        <v>0</v>
      </c>
      <c r="T17" s="4">
        <f t="shared" si="6"/>
        <v>0</v>
      </c>
      <c r="U17" s="4">
        <f t="shared" si="7"/>
        <v>500000</v>
      </c>
      <c r="V17" s="10">
        <f t="shared" si="9"/>
        <v>0</v>
      </c>
      <c r="W17" s="4">
        <v>500000</v>
      </c>
      <c r="X17" s="4"/>
      <c r="Y17" s="4"/>
      <c r="Z17" s="4"/>
      <c r="AA17" s="4"/>
      <c r="AB17" s="3" t="s">
        <v>1293</v>
      </c>
      <c r="AC17" s="3">
        <v>746000</v>
      </c>
      <c r="AD17" s="166"/>
      <c r="AE17" s="22"/>
      <c r="AF17" s="23"/>
      <c r="AG17" s="23"/>
      <c r="AH17" s="23"/>
    </row>
    <row r="18" spans="1:34" s="5" customFormat="1" ht="30" customHeight="1">
      <c r="A18" s="3">
        <f t="shared" si="8"/>
        <v>14</v>
      </c>
      <c r="B18" s="3">
        <v>1817</v>
      </c>
      <c r="C18" s="3" t="s">
        <v>123</v>
      </c>
      <c r="D18" s="4">
        <v>872000</v>
      </c>
      <c r="E18" s="4">
        <v>872000</v>
      </c>
      <c r="F18" s="4">
        <f t="shared" si="0"/>
        <v>0</v>
      </c>
      <c r="G18" s="4">
        <v>790000</v>
      </c>
      <c r="H18" s="4">
        <v>634858</v>
      </c>
      <c r="I18" s="4">
        <v>0</v>
      </c>
      <c r="J18" s="4">
        <v>39400</v>
      </c>
      <c r="K18" s="4">
        <f t="shared" si="1"/>
        <v>39400</v>
      </c>
      <c r="L18" s="4">
        <f t="shared" si="2"/>
        <v>674258</v>
      </c>
      <c r="M18" s="4">
        <f>P18+S18-100000</f>
        <v>15742</v>
      </c>
      <c r="N18" s="4">
        <v>182000</v>
      </c>
      <c r="O18" s="4">
        <f t="shared" si="3"/>
        <v>0</v>
      </c>
      <c r="P18" s="4">
        <f t="shared" si="4"/>
        <v>115742</v>
      </c>
      <c r="Q18" s="4"/>
      <c r="R18" s="4"/>
      <c r="S18" s="4">
        <f t="shared" si="5"/>
        <v>0</v>
      </c>
      <c r="T18" s="4">
        <f t="shared" si="6"/>
        <v>100000</v>
      </c>
      <c r="U18" s="4">
        <f t="shared" si="7"/>
        <v>82000</v>
      </c>
      <c r="V18" s="10">
        <f t="shared" si="9"/>
        <v>0</v>
      </c>
      <c r="W18" s="4"/>
      <c r="X18" s="4"/>
      <c r="Y18" s="4"/>
      <c r="Z18" s="4"/>
      <c r="AA18" s="4">
        <v>82000</v>
      </c>
      <c r="AB18" s="3" t="s">
        <v>1438</v>
      </c>
      <c r="AC18" s="3">
        <v>810000</v>
      </c>
      <c r="AD18" s="22"/>
      <c r="AE18" s="23"/>
      <c r="AF18" s="23"/>
      <c r="AG18" s="23"/>
      <c r="AH18" s="23"/>
    </row>
    <row r="19" spans="1:34" s="5" customFormat="1" ht="30" customHeight="1">
      <c r="A19" s="3">
        <f t="shared" si="8"/>
        <v>15</v>
      </c>
      <c r="B19" s="3">
        <v>1831</v>
      </c>
      <c r="C19" s="3" t="s">
        <v>147</v>
      </c>
      <c r="D19" s="4">
        <v>146059</v>
      </c>
      <c r="E19" s="4">
        <v>146059</v>
      </c>
      <c r="F19" s="4">
        <f t="shared" si="0"/>
        <v>0</v>
      </c>
      <c r="G19" s="4">
        <v>146059</v>
      </c>
      <c r="H19" s="4">
        <v>38025</v>
      </c>
      <c r="I19" s="4">
        <v>0</v>
      </c>
      <c r="J19" s="4">
        <v>0</v>
      </c>
      <c r="K19" s="4">
        <f t="shared" si="1"/>
        <v>0</v>
      </c>
      <c r="L19" s="4">
        <f t="shared" si="2"/>
        <v>38025</v>
      </c>
      <c r="M19" s="4">
        <f>P19+S19</f>
        <v>108034</v>
      </c>
      <c r="N19" s="4"/>
      <c r="O19" s="4">
        <f t="shared" si="3"/>
        <v>0</v>
      </c>
      <c r="P19" s="4">
        <f t="shared" si="4"/>
        <v>108034</v>
      </c>
      <c r="Q19" s="4"/>
      <c r="R19" s="4"/>
      <c r="S19" s="4">
        <f t="shared" si="5"/>
        <v>0</v>
      </c>
      <c r="T19" s="4">
        <f t="shared" si="6"/>
        <v>0</v>
      </c>
      <c r="U19" s="4">
        <f t="shared" si="7"/>
        <v>0</v>
      </c>
      <c r="V19" s="10">
        <f t="shared" si="9"/>
        <v>0</v>
      </c>
      <c r="W19" s="4"/>
      <c r="X19" s="4"/>
      <c r="Y19" s="4"/>
      <c r="Z19" s="4"/>
      <c r="AA19" s="4"/>
      <c r="AB19" s="72" t="s">
        <v>1294</v>
      </c>
      <c r="AC19" s="3">
        <v>870000</v>
      </c>
      <c r="AD19" s="22"/>
      <c r="AE19" s="23"/>
      <c r="AF19" s="23"/>
      <c r="AG19" s="23"/>
      <c r="AH19" s="23"/>
    </row>
    <row r="20" spans="1:34" s="5" customFormat="1" ht="30" customHeight="1">
      <c r="A20" s="3">
        <f t="shared" si="8"/>
        <v>16</v>
      </c>
      <c r="B20" s="3">
        <v>1866</v>
      </c>
      <c r="C20" s="3" t="s">
        <v>150</v>
      </c>
      <c r="D20" s="4">
        <f>380000-80000-95000</f>
        <v>205000</v>
      </c>
      <c r="E20" s="4">
        <v>300000</v>
      </c>
      <c r="F20" s="4">
        <f t="shared" si="0"/>
        <v>-95000</v>
      </c>
      <c r="G20" s="4">
        <v>205000</v>
      </c>
      <c r="H20" s="4">
        <v>191823</v>
      </c>
      <c r="I20" s="4">
        <v>0</v>
      </c>
      <c r="J20" s="4">
        <v>12586</v>
      </c>
      <c r="K20" s="4">
        <f t="shared" si="1"/>
        <v>12586</v>
      </c>
      <c r="L20" s="4">
        <f t="shared" si="2"/>
        <v>204409</v>
      </c>
      <c r="M20" s="4">
        <f>P20+S20</f>
        <v>591</v>
      </c>
      <c r="N20" s="4"/>
      <c r="O20" s="4">
        <f t="shared" si="3"/>
        <v>0</v>
      </c>
      <c r="P20" s="4">
        <f t="shared" si="4"/>
        <v>591</v>
      </c>
      <c r="Q20" s="4"/>
      <c r="R20" s="4"/>
      <c r="S20" s="4">
        <f t="shared" si="5"/>
        <v>0</v>
      </c>
      <c r="T20" s="4">
        <f t="shared" si="6"/>
        <v>0</v>
      </c>
      <c r="U20" s="4">
        <f t="shared" si="7"/>
        <v>0</v>
      </c>
      <c r="V20" s="10">
        <f t="shared" si="9"/>
        <v>0</v>
      </c>
      <c r="W20" s="4"/>
      <c r="X20" s="4"/>
      <c r="Y20" s="4"/>
      <c r="Z20" s="4"/>
      <c r="AA20" s="4"/>
      <c r="AB20" s="72" t="s">
        <v>1387</v>
      </c>
      <c r="AC20" s="3">
        <v>870000</v>
      </c>
      <c r="AD20" s="22"/>
      <c r="AE20" s="23"/>
      <c r="AF20" s="23"/>
      <c r="AG20" s="23"/>
      <c r="AH20" s="23"/>
    </row>
    <row r="21" spans="1:34" s="5" customFormat="1" ht="30" customHeight="1">
      <c r="A21" s="3">
        <f t="shared" si="8"/>
        <v>17</v>
      </c>
      <c r="B21" s="3">
        <v>1899</v>
      </c>
      <c r="C21" s="3" t="s">
        <v>163</v>
      </c>
      <c r="D21" s="4">
        <v>1270000</v>
      </c>
      <c r="E21" s="4">
        <v>770000</v>
      </c>
      <c r="F21" s="4">
        <f t="shared" si="0"/>
        <v>500000</v>
      </c>
      <c r="G21" s="4">
        <v>470000</v>
      </c>
      <c r="H21" s="4">
        <v>269380</v>
      </c>
      <c r="I21" s="4">
        <v>0</v>
      </c>
      <c r="J21" s="4">
        <v>64263</v>
      </c>
      <c r="K21" s="4">
        <f t="shared" si="1"/>
        <v>64263</v>
      </c>
      <c r="L21" s="4">
        <f t="shared" si="2"/>
        <v>333643</v>
      </c>
      <c r="M21" s="4">
        <f>P21+S21</f>
        <v>136357</v>
      </c>
      <c r="N21" s="4">
        <f>500000-400000+100000</f>
        <v>200000</v>
      </c>
      <c r="O21" s="4">
        <f t="shared" si="3"/>
        <v>600000</v>
      </c>
      <c r="P21" s="4">
        <f t="shared" si="4"/>
        <v>136357</v>
      </c>
      <c r="Q21" s="4"/>
      <c r="R21" s="4"/>
      <c r="S21" s="4">
        <f t="shared" si="5"/>
        <v>0</v>
      </c>
      <c r="T21" s="4">
        <f t="shared" si="6"/>
        <v>0</v>
      </c>
      <c r="U21" s="4">
        <f t="shared" si="7"/>
        <v>200000</v>
      </c>
      <c r="V21" s="10">
        <f t="shared" si="9"/>
        <v>0</v>
      </c>
      <c r="W21" s="4">
        <v>200000</v>
      </c>
      <c r="X21" s="4"/>
      <c r="Y21" s="4"/>
      <c r="Z21" s="4"/>
      <c r="AA21" s="4"/>
      <c r="AB21" s="3" t="s">
        <v>432</v>
      </c>
      <c r="AC21" s="3">
        <v>870000</v>
      </c>
      <c r="AD21" s="166"/>
      <c r="AE21" s="22"/>
      <c r="AF21" s="23"/>
      <c r="AG21" s="23"/>
      <c r="AH21" s="23"/>
    </row>
    <row r="22" spans="1:34" s="5" customFormat="1" ht="30" customHeight="1">
      <c r="A22" s="3">
        <f t="shared" si="8"/>
        <v>18</v>
      </c>
      <c r="B22" s="3">
        <v>1922</v>
      </c>
      <c r="C22" s="3" t="s">
        <v>148</v>
      </c>
      <c r="D22" s="4">
        <v>330000</v>
      </c>
      <c r="E22" s="4">
        <v>330000</v>
      </c>
      <c r="F22" s="4">
        <f t="shared" si="0"/>
        <v>0</v>
      </c>
      <c r="G22" s="4">
        <v>200000</v>
      </c>
      <c r="H22" s="4">
        <v>54652</v>
      </c>
      <c r="I22" s="4">
        <v>0</v>
      </c>
      <c r="J22" s="4">
        <v>3744</v>
      </c>
      <c r="K22" s="4">
        <f t="shared" si="1"/>
        <v>3744</v>
      </c>
      <c r="L22" s="4">
        <f t="shared" si="2"/>
        <v>58396</v>
      </c>
      <c r="M22" s="4">
        <f>P22+S22-100000</f>
        <v>41604</v>
      </c>
      <c r="N22" s="4">
        <v>100000</v>
      </c>
      <c r="O22" s="4">
        <f t="shared" si="3"/>
        <v>130000</v>
      </c>
      <c r="P22" s="4">
        <f t="shared" si="4"/>
        <v>141604</v>
      </c>
      <c r="Q22" s="4"/>
      <c r="R22" s="4"/>
      <c r="S22" s="4">
        <f t="shared" si="5"/>
        <v>0</v>
      </c>
      <c r="T22" s="4">
        <f t="shared" si="6"/>
        <v>100000</v>
      </c>
      <c r="U22" s="4">
        <f t="shared" si="7"/>
        <v>0</v>
      </c>
      <c r="V22" s="10">
        <f t="shared" si="9"/>
        <v>0</v>
      </c>
      <c r="W22" s="4"/>
      <c r="X22" s="4"/>
      <c r="Y22" s="4"/>
      <c r="Z22" s="4"/>
      <c r="AA22" s="4"/>
      <c r="AB22" s="4"/>
      <c r="AC22" s="3">
        <v>870000</v>
      </c>
      <c r="AD22" s="22"/>
      <c r="AE22" s="23"/>
      <c r="AF22" s="23"/>
      <c r="AG22" s="23"/>
      <c r="AH22" s="23"/>
    </row>
    <row r="23" spans="1:34" s="5" customFormat="1" ht="30" customHeight="1">
      <c r="A23" s="3">
        <f t="shared" si="8"/>
        <v>19</v>
      </c>
      <c r="B23" s="3">
        <v>1973</v>
      </c>
      <c r="C23" s="3" t="s">
        <v>164</v>
      </c>
      <c r="D23" s="4">
        <v>2500000</v>
      </c>
      <c r="E23" s="4">
        <v>1800000</v>
      </c>
      <c r="F23" s="4">
        <f t="shared" si="0"/>
        <v>700000</v>
      </c>
      <c r="G23" s="4">
        <v>900000</v>
      </c>
      <c r="H23" s="4">
        <v>586058</v>
      </c>
      <c r="I23" s="4">
        <v>0</v>
      </c>
      <c r="J23" s="4">
        <v>313346</v>
      </c>
      <c r="K23" s="4">
        <f t="shared" si="1"/>
        <v>313346</v>
      </c>
      <c r="L23" s="4">
        <f t="shared" si="2"/>
        <v>899404</v>
      </c>
      <c r="M23" s="4">
        <f>P23+S23</f>
        <v>596</v>
      </c>
      <c r="N23" s="4">
        <f>720000-470000</f>
        <v>250000</v>
      </c>
      <c r="O23" s="4">
        <f t="shared" si="3"/>
        <v>1350000</v>
      </c>
      <c r="P23" s="4">
        <f t="shared" si="4"/>
        <v>596</v>
      </c>
      <c r="Q23" s="4"/>
      <c r="R23" s="4"/>
      <c r="S23" s="4">
        <f t="shared" si="5"/>
        <v>0</v>
      </c>
      <c r="T23" s="4">
        <f t="shared" si="6"/>
        <v>0</v>
      </c>
      <c r="U23" s="4">
        <f t="shared" si="7"/>
        <v>250000</v>
      </c>
      <c r="V23" s="10">
        <f t="shared" si="9"/>
        <v>0</v>
      </c>
      <c r="W23" s="4">
        <v>250000</v>
      </c>
      <c r="X23" s="4"/>
      <c r="Y23" s="4"/>
      <c r="Z23" s="4"/>
      <c r="AA23" s="4"/>
      <c r="AB23" s="3" t="s">
        <v>1405</v>
      </c>
      <c r="AC23" s="3">
        <v>742000</v>
      </c>
      <c r="AD23" s="166"/>
      <c r="AE23" s="22"/>
      <c r="AF23" s="23"/>
      <c r="AG23" s="23"/>
      <c r="AH23" s="23"/>
    </row>
    <row r="24" spans="1:34" s="5" customFormat="1" ht="30" customHeight="1">
      <c r="A24" s="3">
        <f t="shared" si="8"/>
        <v>20</v>
      </c>
      <c r="B24" s="3">
        <v>1989</v>
      </c>
      <c r="C24" s="3" t="s">
        <v>561</v>
      </c>
      <c r="D24" s="4">
        <v>1070000</v>
      </c>
      <c r="E24" s="4">
        <v>860000</v>
      </c>
      <c r="F24" s="4">
        <f t="shared" si="0"/>
        <v>210000</v>
      </c>
      <c r="G24" s="4">
        <v>570000</v>
      </c>
      <c r="H24" s="4">
        <v>542461</v>
      </c>
      <c r="I24" s="4">
        <v>0</v>
      </c>
      <c r="J24" s="4">
        <v>26086</v>
      </c>
      <c r="K24" s="4">
        <f t="shared" si="1"/>
        <v>26086</v>
      </c>
      <c r="L24" s="4">
        <f t="shared" si="2"/>
        <v>568547</v>
      </c>
      <c r="M24" s="4">
        <f>P24+S24</f>
        <v>1453</v>
      </c>
      <c r="N24" s="4">
        <f>500000-500000</f>
        <v>0</v>
      </c>
      <c r="O24" s="4">
        <f t="shared" si="3"/>
        <v>500000</v>
      </c>
      <c r="P24" s="4">
        <f t="shared" si="4"/>
        <v>1453</v>
      </c>
      <c r="Q24" s="4"/>
      <c r="R24" s="4"/>
      <c r="S24" s="4">
        <f t="shared" si="5"/>
        <v>0</v>
      </c>
      <c r="T24" s="4">
        <f t="shared" si="6"/>
        <v>0</v>
      </c>
      <c r="U24" s="4">
        <f t="shared" si="7"/>
        <v>0</v>
      </c>
      <c r="V24" s="10">
        <f t="shared" si="9"/>
        <v>0</v>
      </c>
      <c r="W24" s="4"/>
      <c r="X24" s="4"/>
      <c r="Y24" s="4"/>
      <c r="Z24" s="4"/>
      <c r="AA24" s="4"/>
      <c r="AB24" s="72" t="s">
        <v>1295</v>
      </c>
      <c r="AC24" s="3">
        <v>746000</v>
      </c>
      <c r="AD24" s="166"/>
      <c r="AE24" s="22"/>
      <c r="AF24" s="23"/>
      <c r="AG24" s="23"/>
      <c r="AH24" s="23"/>
    </row>
    <row r="25" spans="1:34" s="5" customFormat="1" ht="30" customHeight="1">
      <c r="A25" s="3">
        <f t="shared" si="8"/>
        <v>21</v>
      </c>
      <c r="B25" s="3">
        <v>2035</v>
      </c>
      <c r="C25" s="3" t="s">
        <v>191</v>
      </c>
      <c r="D25" s="4">
        <f>953000-190000</f>
        <v>763000</v>
      </c>
      <c r="E25" s="4">
        <v>953000</v>
      </c>
      <c r="F25" s="4">
        <f t="shared" si="0"/>
        <v>-190000</v>
      </c>
      <c r="G25" s="4">
        <v>763000</v>
      </c>
      <c r="H25" s="4">
        <v>738785</v>
      </c>
      <c r="I25" s="4">
        <v>0</v>
      </c>
      <c r="J25" s="4">
        <v>15714</v>
      </c>
      <c r="K25" s="4">
        <f t="shared" si="1"/>
        <v>15714</v>
      </c>
      <c r="L25" s="4">
        <f t="shared" si="2"/>
        <v>754499</v>
      </c>
      <c r="M25" s="4">
        <f>P25+S25-8000</f>
        <v>501</v>
      </c>
      <c r="N25" s="4"/>
      <c r="O25" s="4">
        <f t="shared" si="3"/>
        <v>8000</v>
      </c>
      <c r="P25" s="4">
        <f t="shared" si="4"/>
        <v>8501</v>
      </c>
      <c r="Q25" s="4"/>
      <c r="R25" s="4"/>
      <c r="S25" s="4">
        <f t="shared" si="5"/>
        <v>0</v>
      </c>
      <c r="T25" s="4">
        <f t="shared" si="6"/>
        <v>8000</v>
      </c>
      <c r="U25" s="4">
        <f t="shared" si="7"/>
        <v>-8000</v>
      </c>
      <c r="V25" s="10">
        <f t="shared" si="9"/>
        <v>-8000</v>
      </c>
      <c r="W25" s="4"/>
      <c r="X25" s="4"/>
      <c r="Y25" s="4"/>
      <c r="Z25" s="4"/>
      <c r="AA25" s="4"/>
      <c r="AB25" s="3" t="s">
        <v>1557</v>
      </c>
      <c r="AC25" s="3">
        <v>746000</v>
      </c>
      <c r="AD25" s="166"/>
      <c r="AE25" s="22"/>
      <c r="AF25" s="22"/>
      <c r="AG25" s="22"/>
      <c r="AH25" s="22"/>
    </row>
    <row r="26" spans="1:34" s="5" customFormat="1" ht="30" customHeight="1">
      <c r="A26" s="3">
        <f t="shared" si="8"/>
        <v>22</v>
      </c>
      <c r="B26" s="3">
        <v>2036</v>
      </c>
      <c r="C26" s="3" t="s">
        <v>433</v>
      </c>
      <c r="D26" s="4">
        <v>1120000</v>
      </c>
      <c r="E26" s="4">
        <v>1120000</v>
      </c>
      <c r="F26" s="4">
        <f t="shared" si="0"/>
        <v>0</v>
      </c>
      <c r="G26" s="4">
        <v>1120000</v>
      </c>
      <c r="H26" s="4">
        <v>549990</v>
      </c>
      <c r="I26" s="4">
        <v>0</v>
      </c>
      <c r="J26" s="4">
        <v>570000</v>
      </c>
      <c r="K26" s="4">
        <f t="shared" si="1"/>
        <v>570000</v>
      </c>
      <c r="L26" s="4">
        <f t="shared" si="2"/>
        <v>1119990</v>
      </c>
      <c r="M26" s="4">
        <f>P26+S26</f>
        <v>10</v>
      </c>
      <c r="N26" s="4"/>
      <c r="O26" s="4">
        <f t="shared" si="3"/>
        <v>0</v>
      </c>
      <c r="P26" s="4">
        <f t="shared" si="4"/>
        <v>10</v>
      </c>
      <c r="Q26" s="4"/>
      <c r="R26" s="4"/>
      <c r="S26" s="4">
        <f t="shared" si="5"/>
        <v>0</v>
      </c>
      <c r="T26" s="4">
        <f t="shared" si="6"/>
        <v>0</v>
      </c>
      <c r="U26" s="4">
        <f t="shared" si="7"/>
        <v>0</v>
      </c>
      <c r="V26" s="10">
        <f t="shared" si="9"/>
        <v>0</v>
      </c>
      <c r="W26" s="4"/>
      <c r="X26" s="4"/>
      <c r="Y26" s="4"/>
      <c r="Z26" s="4"/>
      <c r="AA26" s="4"/>
      <c r="AB26" s="3" t="s">
        <v>1556</v>
      </c>
      <c r="AC26" s="3">
        <v>810000</v>
      </c>
      <c r="AD26" s="166"/>
      <c r="AE26" s="22"/>
      <c r="AF26" s="22"/>
      <c r="AG26" s="22"/>
      <c r="AH26" s="22"/>
    </row>
    <row r="27" spans="1:34" s="5" customFormat="1" ht="30" customHeight="1">
      <c r="A27" s="3">
        <f t="shared" si="8"/>
        <v>23</v>
      </c>
      <c r="B27" s="3">
        <v>2037</v>
      </c>
      <c r="C27" s="3" t="s">
        <v>641</v>
      </c>
      <c r="D27" s="4">
        <v>5000000</v>
      </c>
      <c r="E27" s="4">
        <v>5000000</v>
      </c>
      <c r="F27" s="4">
        <f t="shared" si="0"/>
        <v>0</v>
      </c>
      <c r="G27" s="4">
        <v>800000</v>
      </c>
      <c r="H27" s="4">
        <v>538658</v>
      </c>
      <c r="I27" s="4">
        <v>0</v>
      </c>
      <c r="J27" s="4">
        <v>50310</v>
      </c>
      <c r="K27" s="4">
        <f t="shared" si="1"/>
        <v>50310</v>
      </c>
      <c r="L27" s="4">
        <f t="shared" si="2"/>
        <v>588968</v>
      </c>
      <c r="M27" s="4">
        <f>P27+S27-200000</f>
        <v>11032</v>
      </c>
      <c r="N27" s="4">
        <v>200000</v>
      </c>
      <c r="O27" s="4">
        <f t="shared" si="3"/>
        <v>4200000</v>
      </c>
      <c r="P27" s="4">
        <f t="shared" si="4"/>
        <v>211032</v>
      </c>
      <c r="Q27" s="4"/>
      <c r="R27" s="4"/>
      <c r="S27" s="4">
        <f t="shared" si="5"/>
        <v>0</v>
      </c>
      <c r="T27" s="4">
        <f t="shared" si="6"/>
        <v>200000</v>
      </c>
      <c r="U27" s="4">
        <f t="shared" si="7"/>
        <v>0</v>
      </c>
      <c r="V27" s="10">
        <f t="shared" si="9"/>
        <v>0</v>
      </c>
      <c r="W27" s="4"/>
      <c r="X27" s="4"/>
      <c r="Y27" s="4"/>
      <c r="Z27" s="4"/>
      <c r="AA27" s="4"/>
      <c r="AB27" s="3" t="s">
        <v>434</v>
      </c>
      <c r="AC27" s="3">
        <v>870000</v>
      </c>
      <c r="AD27" s="166"/>
      <c r="AE27" s="22"/>
      <c r="AF27" s="23"/>
      <c r="AG27" s="23"/>
      <c r="AH27" s="23"/>
    </row>
    <row r="28" spans="1:34" s="5" customFormat="1" ht="30" customHeight="1">
      <c r="A28" s="3">
        <f t="shared" si="8"/>
        <v>24</v>
      </c>
      <c r="B28" s="3">
        <v>2038</v>
      </c>
      <c r="C28" s="3" t="s">
        <v>754</v>
      </c>
      <c r="D28" s="4">
        <v>4950000</v>
      </c>
      <c r="E28" s="4">
        <v>3750000</v>
      </c>
      <c r="F28" s="4">
        <f t="shared" si="0"/>
        <v>1200000</v>
      </c>
      <c r="G28" s="4">
        <v>3450000</v>
      </c>
      <c r="H28" s="4">
        <v>2297203</v>
      </c>
      <c r="I28" s="4">
        <v>0</v>
      </c>
      <c r="J28" s="4">
        <v>284976</v>
      </c>
      <c r="K28" s="4">
        <f t="shared" si="1"/>
        <v>284976</v>
      </c>
      <c r="L28" s="4">
        <f t="shared" si="2"/>
        <v>2582179</v>
      </c>
      <c r="M28" s="4">
        <f>P28+S28-760000</f>
        <v>107821</v>
      </c>
      <c r="N28" s="4">
        <f>1400000-640000</f>
        <v>760000</v>
      </c>
      <c r="O28" s="4">
        <f t="shared" si="3"/>
        <v>1500000</v>
      </c>
      <c r="P28" s="4">
        <f t="shared" si="4"/>
        <v>867821</v>
      </c>
      <c r="Q28" s="4"/>
      <c r="R28" s="4"/>
      <c r="S28" s="4">
        <f t="shared" si="5"/>
        <v>0</v>
      </c>
      <c r="T28" s="4">
        <f t="shared" si="6"/>
        <v>760000</v>
      </c>
      <c r="U28" s="4">
        <f t="shared" si="7"/>
        <v>0</v>
      </c>
      <c r="V28" s="10">
        <f t="shared" si="9"/>
        <v>0</v>
      </c>
      <c r="W28" s="4"/>
      <c r="X28" s="4"/>
      <c r="Y28" s="4"/>
      <c r="Z28" s="4"/>
      <c r="AA28" s="4"/>
      <c r="AB28" s="3" t="s">
        <v>841</v>
      </c>
      <c r="AC28" s="3">
        <v>810000</v>
      </c>
      <c r="AD28" s="166"/>
      <c r="AE28" s="22"/>
      <c r="AF28" s="23"/>
      <c r="AG28" s="23"/>
      <c r="AH28" s="23"/>
    </row>
    <row r="29" spans="1:34" s="5" customFormat="1" ht="30" customHeight="1">
      <c r="A29" s="3">
        <f t="shared" si="8"/>
        <v>25</v>
      </c>
      <c r="B29" s="3">
        <v>2039</v>
      </c>
      <c r="C29" s="3" t="s">
        <v>192</v>
      </c>
      <c r="D29" s="4">
        <v>535000</v>
      </c>
      <c r="E29" s="4">
        <v>285000</v>
      </c>
      <c r="F29" s="4">
        <f t="shared" si="0"/>
        <v>250000</v>
      </c>
      <c r="G29" s="4">
        <v>35000</v>
      </c>
      <c r="H29" s="4">
        <v>25514</v>
      </c>
      <c r="I29" s="4">
        <v>0</v>
      </c>
      <c r="J29" s="4">
        <v>9484</v>
      </c>
      <c r="K29" s="4">
        <f t="shared" si="1"/>
        <v>9484</v>
      </c>
      <c r="L29" s="4">
        <f t="shared" si="2"/>
        <v>34998</v>
      </c>
      <c r="M29" s="4">
        <f t="shared" ref="M29:M38" si="10">P29+S29</f>
        <v>2</v>
      </c>
      <c r="N29" s="4">
        <f>250000-250000</f>
        <v>0</v>
      </c>
      <c r="O29" s="4">
        <f t="shared" si="3"/>
        <v>500000</v>
      </c>
      <c r="P29" s="4">
        <f t="shared" si="4"/>
        <v>2</v>
      </c>
      <c r="Q29" s="4"/>
      <c r="R29" s="4"/>
      <c r="S29" s="4">
        <f t="shared" si="5"/>
        <v>0</v>
      </c>
      <c r="T29" s="4">
        <f t="shared" si="6"/>
        <v>0</v>
      </c>
      <c r="U29" s="4">
        <f t="shared" si="7"/>
        <v>0</v>
      </c>
      <c r="V29" s="10">
        <f t="shared" si="9"/>
        <v>0</v>
      </c>
      <c r="W29" s="4"/>
      <c r="X29" s="4"/>
      <c r="Y29" s="4"/>
      <c r="Z29" s="4"/>
      <c r="AA29" s="4"/>
      <c r="AB29" s="72" t="s">
        <v>1406</v>
      </c>
      <c r="AC29" s="3">
        <v>760000</v>
      </c>
      <c r="AD29" s="166"/>
      <c r="AE29" s="22"/>
      <c r="AF29" s="23"/>
      <c r="AG29" s="23"/>
      <c r="AH29" s="23"/>
    </row>
    <row r="30" spans="1:34" s="5" customFormat="1" ht="30" customHeight="1">
      <c r="A30" s="3">
        <f t="shared" si="8"/>
        <v>26</v>
      </c>
      <c r="B30" s="3">
        <v>2040</v>
      </c>
      <c r="C30" s="3" t="s">
        <v>435</v>
      </c>
      <c r="D30" s="4">
        <v>910000</v>
      </c>
      <c r="E30" s="4">
        <v>1010000</v>
      </c>
      <c r="F30" s="4">
        <f t="shared" si="0"/>
        <v>-100000</v>
      </c>
      <c r="G30" s="4">
        <v>910000</v>
      </c>
      <c r="H30" s="4">
        <v>409998</v>
      </c>
      <c r="I30" s="4">
        <v>0</v>
      </c>
      <c r="J30" s="4">
        <v>436329</v>
      </c>
      <c r="K30" s="4">
        <f t="shared" si="1"/>
        <v>436329</v>
      </c>
      <c r="L30" s="4">
        <f t="shared" si="2"/>
        <v>846327</v>
      </c>
      <c r="M30" s="4">
        <f t="shared" si="10"/>
        <v>63673</v>
      </c>
      <c r="N30" s="4"/>
      <c r="O30" s="4">
        <f t="shared" si="3"/>
        <v>0</v>
      </c>
      <c r="P30" s="4">
        <f t="shared" si="4"/>
        <v>63673</v>
      </c>
      <c r="Q30" s="4"/>
      <c r="R30" s="4"/>
      <c r="S30" s="4">
        <f t="shared" si="5"/>
        <v>0</v>
      </c>
      <c r="T30" s="4">
        <f t="shared" si="6"/>
        <v>0</v>
      </c>
      <c r="U30" s="4">
        <f t="shared" si="7"/>
        <v>0</v>
      </c>
      <c r="V30" s="10">
        <f t="shared" si="9"/>
        <v>0</v>
      </c>
      <c r="W30" s="4"/>
      <c r="X30" s="4"/>
      <c r="Y30" s="4"/>
      <c r="Z30" s="4"/>
      <c r="AA30" s="4"/>
      <c r="AB30" s="3" t="s">
        <v>1439</v>
      </c>
      <c r="AC30" s="3">
        <v>829000</v>
      </c>
      <c r="AD30" s="166"/>
      <c r="AE30" s="22"/>
      <c r="AF30" s="23"/>
      <c r="AG30" s="23"/>
      <c r="AH30" s="23"/>
    </row>
    <row r="31" spans="1:34" s="5" customFormat="1" ht="30" customHeight="1">
      <c r="A31" s="3">
        <f t="shared" si="8"/>
        <v>27</v>
      </c>
      <c r="B31" s="3">
        <v>2042</v>
      </c>
      <c r="C31" s="3" t="s">
        <v>562</v>
      </c>
      <c r="D31" s="4">
        <v>290000</v>
      </c>
      <c r="E31" s="4">
        <v>740000</v>
      </c>
      <c r="F31" s="4">
        <f t="shared" si="0"/>
        <v>-450000</v>
      </c>
      <c r="G31" s="4">
        <v>290000</v>
      </c>
      <c r="H31" s="4">
        <v>286994</v>
      </c>
      <c r="I31" s="4">
        <v>0</v>
      </c>
      <c r="J31" s="4">
        <v>3000</v>
      </c>
      <c r="K31" s="4">
        <f t="shared" si="1"/>
        <v>3000</v>
      </c>
      <c r="L31" s="4">
        <f t="shared" si="2"/>
        <v>289994</v>
      </c>
      <c r="M31" s="4">
        <f t="shared" si="10"/>
        <v>6</v>
      </c>
      <c r="N31" s="4"/>
      <c r="O31" s="4">
        <f t="shared" si="3"/>
        <v>0</v>
      </c>
      <c r="P31" s="4">
        <f t="shared" si="4"/>
        <v>6</v>
      </c>
      <c r="Q31" s="4"/>
      <c r="R31" s="4"/>
      <c r="S31" s="4">
        <f t="shared" si="5"/>
        <v>0</v>
      </c>
      <c r="T31" s="4">
        <f t="shared" si="6"/>
        <v>0</v>
      </c>
      <c r="U31" s="4">
        <f t="shared" si="7"/>
        <v>0</v>
      </c>
      <c r="V31" s="10">
        <f t="shared" si="9"/>
        <v>0</v>
      </c>
      <c r="W31" s="4"/>
      <c r="X31" s="4"/>
      <c r="Y31" s="4"/>
      <c r="Z31" s="4"/>
      <c r="AA31" s="4"/>
      <c r="AB31" s="3" t="s">
        <v>1555</v>
      </c>
      <c r="AC31" s="3">
        <v>746000</v>
      </c>
      <c r="AD31" s="166"/>
      <c r="AE31" s="22"/>
      <c r="AF31" s="23"/>
      <c r="AG31" s="23"/>
      <c r="AH31" s="23"/>
    </row>
    <row r="32" spans="1:34" s="5" customFormat="1" ht="30" customHeight="1">
      <c r="A32" s="3">
        <f t="shared" si="8"/>
        <v>28</v>
      </c>
      <c r="B32" s="3">
        <v>2066</v>
      </c>
      <c r="C32" s="3" t="s">
        <v>436</v>
      </c>
      <c r="D32" s="4">
        <v>112500</v>
      </c>
      <c r="E32" s="4">
        <v>112500</v>
      </c>
      <c r="F32" s="4">
        <f t="shared" si="0"/>
        <v>0</v>
      </c>
      <c r="G32" s="4">
        <v>112500</v>
      </c>
      <c r="H32" s="4">
        <v>111299</v>
      </c>
      <c r="I32" s="4">
        <v>0</v>
      </c>
      <c r="J32" s="4">
        <v>0</v>
      </c>
      <c r="K32" s="4">
        <f t="shared" si="1"/>
        <v>0</v>
      </c>
      <c r="L32" s="4">
        <f t="shared" si="2"/>
        <v>111299</v>
      </c>
      <c r="M32" s="4">
        <f t="shared" si="10"/>
        <v>1201</v>
      </c>
      <c r="N32" s="4"/>
      <c r="O32" s="4">
        <f t="shared" si="3"/>
        <v>0</v>
      </c>
      <c r="P32" s="4">
        <f t="shared" si="4"/>
        <v>1201</v>
      </c>
      <c r="Q32" s="4"/>
      <c r="R32" s="4"/>
      <c r="S32" s="4">
        <f t="shared" si="5"/>
        <v>0</v>
      </c>
      <c r="T32" s="4">
        <f t="shared" si="6"/>
        <v>0</v>
      </c>
      <c r="U32" s="4">
        <f t="shared" si="7"/>
        <v>0</v>
      </c>
      <c r="V32" s="10">
        <f t="shared" si="9"/>
        <v>0</v>
      </c>
      <c r="W32" s="4"/>
      <c r="X32" s="4"/>
      <c r="Y32" s="4"/>
      <c r="Z32" s="4"/>
      <c r="AA32" s="4"/>
      <c r="AB32" s="72" t="s">
        <v>1296</v>
      </c>
      <c r="AC32" s="3">
        <v>732000</v>
      </c>
      <c r="AD32" s="22"/>
      <c r="AE32" s="22"/>
      <c r="AF32" s="23"/>
      <c r="AG32" s="23"/>
      <c r="AH32" s="23"/>
    </row>
    <row r="33" spans="1:34" s="5" customFormat="1" ht="30" customHeight="1">
      <c r="A33" s="3">
        <f t="shared" si="8"/>
        <v>29</v>
      </c>
      <c r="B33" s="31">
        <v>2087</v>
      </c>
      <c r="C33" s="3" t="s">
        <v>437</v>
      </c>
      <c r="D33" s="4">
        <v>1200000</v>
      </c>
      <c r="E33" s="4">
        <v>1200000</v>
      </c>
      <c r="F33" s="4">
        <f t="shared" si="0"/>
        <v>0</v>
      </c>
      <c r="G33" s="4">
        <v>640000</v>
      </c>
      <c r="H33" s="4">
        <v>639791</v>
      </c>
      <c r="I33" s="4">
        <v>0</v>
      </c>
      <c r="J33" s="4">
        <v>0</v>
      </c>
      <c r="K33" s="4">
        <f t="shared" si="1"/>
        <v>0</v>
      </c>
      <c r="L33" s="4">
        <f t="shared" si="2"/>
        <v>639791</v>
      </c>
      <c r="M33" s="4">
        <f t="shared" si="10"/>
        <v>209</v>
      </c>
      <c r="N33" s="4">
        <f>300000-300000</f>
        <v>0</v>
      </c>
      <c r="O33" s="4">
        <f t="shared" si="3"/>
        <v>560000</v>
      </c>
      <c r="P33" s="4">
        <f t="shared" si="4"/>
        <v>209</v>
      </c>
      <c r="Q33" s="4"/>
      <c r="R33" s="4"/>
      <c r="S33" s="4">
        <f t="shared" si="5"/>
        <v>0</v>
      </c>
      <c r="T33" s="4">
        <f t="shared" si="6"/>
        <v>0</v>
      </c>
      <c r="U33" s="4">
        <f t="shared" si="7"/>
        <v>0</v>
      </c>
      <c r="V33" s="10">
        <f t="shared" si="9"/>
        <v>0</v>
      </c>
      <c r="W33" s="4"/>
      <c r="X33" s="4"/>
      <c r="Y33" s="4"/>
      <c r="Z33" s="4"/>
      <c r="AA33" s="4"/>
      <c r="AB33" s="3" t="s">
        <v>563</v>
      </c>
      <c r="AC33" s="3">
        <v>746000</v>
      </c>
      <c r="AD33" s="166"/>
      <c r="AE33" s="22"/>
      <c r="AF33" s="23"/>
      <c r="AG33" s="23"/>
      <c r="AH33" s="23"/>
    </row>
    <row r="34" spans="1:34" s="5" customFormat="1" ht="30" customHeight="1">
      <c r="A34" s="3">
        <f t="shared" si="8"/>
        <v>30</v>
      </c>
      <c r="B34" s="31">
        <v>2088</v>
      </c>
      <c r="C34" s="3" t="s">
        <v>438</v>
      </c>
      <c r="D34" s="4">
        <v>1600000</v>
      </c>
      <c r="E34" s="4">
        <v>1600000</v>
      </c>
      <c r="F34" s="4">
        <f t="shared" si="0"/>
        <v>0</v>
      </c>
      <c r="G34" s="4">
        <v>1600000</v>
      </c>
      <c r="H34" s="4">
        <v>1083312</v>
      </c>
      <c r="I34" s="4">
        <v>0</v>
      </c>
      <c r="J34" s="4">
        <v>163826</v>
      </c>
      <c r="K34" s="4">
        <f t="shared" si="1"/>
        <v>163826</v>
      </c>
      <c r="L34" s="4">
        <f t="shared" si="2"/>
        <v>1247138</v>
      </c>
      <c r="M34" s="4">
        <f t="shared" si="10"/>
        <v>352862</v>
      </c>
      <c r="N34" s="4"/>
      <c r="O34" s="4">
        <f t="shared" si="3"/>
        <v>0</v>
      </c>
      <c r="P34" s="4">
        <f t="shared" si="4"/>
        <v>352862</v>
      </c>
      <c r="Q34" s="4"/>
      <c r="R34" s="4"/>
      <c r="S34" s="4">
        <f t="shared" si="5"/>
        <v>0</v>
      </c>
      <c r="T34" s="4">
        <f t="shared" si="6"/>
        <v>0</v>
      </c>
      <c r="U34" s="4">
        <f t="shared" si="7"/>
        <v>0</v>
      </c>
      <c r="V34" s="10">
        <f t="shared" si="9"/>
        <v>0</v>
      </c>
      <c r="W34" s="4"/>
      <c r="X34" s="4"/>
      <c r="Y34" s="4"/>
      <c r="Z34" s="4"/>
      <c r="AA34" s="4"/>
      <c r="AB34" s="3" t="s">
        <v>565</v>
      </c>
      <c r="AC34" s="3">
        <v>746000</v>
      </c>
      <c r="AD34" s="166"/>
      <c r="AE34" s="22"/>
      <c r="AF34" s="23"/>
      <c r="AG34" s="23"/>
      <c r="AH34" s="23"/>
    </row>
    <row r="35" spans="1:34" s="5" customFormat="1" ht="30" customHeight="1">
      <c r="A35" s="3">
        <f t="shared" si="8"/>
        <v>31</v>
      </c>
      <c r="B35" s="31">
        <v>2164</v>
      </c>
      <c r="C35" s="3" t="s">
        <v>756</v>
      </c>
      <c r="D35" s="4">
        <v>300000</v>
      </c>
      <c r="E35" s="4">
        <v>200000</v>
      </c>
      <c r="F35" s="4">
        <f t="shared" si="0"/>
        <v>100000</v>
      </c>
      <c r="G35" s="4">
        <v>0</v>
      </c>
      <c r="H35" s="4">
        <v>0</v>
      </c>
      <c r="I35" s="4">
        <v>0</v>
      </c>
      <c r="J35" s="4">
        <v>0</v>
      </c>
      <c r="K35" s="4">
        <f t="shared" si="1"/>
        <v>0</v>
      </c>
      <c r="L35" s="4">
        <f t="shared" si="2"/>
        <v>0</v>
      </c>
      <c r="M35" s="4">
        <f t="shared" si="10"/>
        <v>0</v>
      </c>
      <c r="N35" s="4">
        <f>300000-300000</f>
        <v>0</v>
      </c>
      <c r="O35" s="4">
        <f t="shared" si="3"/>
        <v>300000</v>
      </c>
      <c r="P35" s="4">
        <f t="shared" si="4"/>
        <v>0</v>
      </c>
      <c r="Q35" s="4"/>
      <c r="R35" s="4"/>
      <c r="S35" s="4">
        <f t="shared" si="5"/>
        <v>0</v>
      </c>
      <c r="T35" s="4">
        <f t="shared" si="6"/>
        <v>0</v>
      </c>
      <c r="U35" s="4">
        <f t="shared" si="7"/>
        <v>0</v>
      </c>
      <c r="V35" s="10">
        <f t="shared" si="9"/>
        <v>0</v>
      </c>
      <c r="W35" s="4"/>
      <c r="X35" s="4"/>
      <c r="Y35" s="4"/>
      <c r="Z35" s="4"/>
      <c r="AA35" s="4"/>
      <c r="AB35" s="3" t="s">
        <v>757</v>
      </c>
      <c r="AC35" s="3">
        <v>742000</v>
      </c>
    </row>
    <row r="36" spans="1:34" s="5" customFormat="1" ht="30" customHeight="1">
      <c r="A36" s="3">
        <f t="shared" si="8"/>
        <v>32</v>
      </c>
      <c r="B36" s="31">
        <v>2165</v>
      </c>
      <c r="C36" s="3" t="s">
        <v>758</v>
      </c>
      <c r="D36" s="4">
        <v>1040000</v>
      </c>
      <c r="E36" s="4">
        <v>1040000</v>
      </c>
      <c r="F36" s="4">
        <f t="shared" si="0"/>
        <v>0</v>
      </c>
      <c r="G36" s="4">
        <v>0</v>
      </c>
      <c r="H36" s="4">
        <v>0</v>
      </c>
      <c r="I36" s="4">
        <v>0</v>
      </c>
      <c r="J36" s="4">
        <v>0</v>
      </c>
      <c r="K36" s="4">
        <f t="shared" si="1"/>
        <v>0</v>
      </c>
      <c r="L36" s="4">
        <f t="shared" si="2"/>
        <v>0</v>
      </c>
      <c r="M36" s="4">
        <f t="shared" si="10"/>
        <v>0</v>
      </c>
      <c r="N36" s="4">
        <f>1040000-1040000</f>
        <v>0</v>
      </c>
      <c r="O36" s="4">
        <f t="shared" si="3"/>
        <v>1040000</v>
      </c>
      <c r="P36" s="4">
        <f t="shared" si="4"/>
        <v>0</v>
      </c>
      <c r="Q36" s="4"/>
      <c r="R36" s="4"/>
      <c r="S36" s="4">
        <f t="shared" si="5"/>
        <v>0</v>
      </c>
      <c r="T36" s="4">
        <f t="shared" si="6"/>
        <v>0</v>
      </c>
      <c r="U36" s="4">
        <f t="shared" si="7"/>
        <v>0</v>
      </c>
      <c r="V36" s="10">
        <f t="shared" si="9"/>
        <v>0</v>
      </c>
      <c r="W36" s="4"/>
      <c r="X36" s="4"/>
      <c r="Y36" s="4"/>
      <c r="Z36" s="4"/>
      <c r="AA36" s="4"/>
      <c r="AB36" s="3" t="s">
        <v>1403</v>
      </c>
      <c r="AC36" s="3">
        <v>746000</v>
      </c>
    </row>
    <row r="37" spans="1:34" s="5" customFormat="1" ht="30" customHeight="1">
      <c r="A37" s="3">
        <f t="shared" si="8"/>
        <v>33</v>
      </c>
      <c r="B37" s="31">
        <v>2166</v>
      </c>
      <c r="C37" s="3" t="s">
        <v>759</v>
      </c>
      <c r="D37" s="4">
        <v>500000</v>
      </c>
      <c r="E37" s="4">
        <v>500000</v>
      </c>
      <c r="F37" s="4">
        <f t="shared" si="0"/>
        <v>0</v>
      </c>
      <c r="G37" s="4">
        <v>0</v>
      </c>
      <c r="H37" s="4">
        <v>0</v>
      </c>
      <c r="I37" s="4">
        <v>0</v>
      </c>
      <c r="J37" s="4">
        <v>0</v>
      </c>
      <c r="K37" s="4">
        <f t="shared" si="1"/>
        <v>0</v>
      </c>
      <c r="L37" s="4">
        <f t="shared" si="2"/>
        <v>0</v>
      </c>
      <c r="M37" s="4">
        <f t="shared" si="10"/>
        <v>0</v>
      </c>
      <c r="N37" s="4">
        <f>500000-500000</f>
        <v>0</v>
      </c>
      <c r="O37" s="4">
        <f t="shared" si="3"/>
        <v>500000</v>
      </c>
      <c r="P37" s="4">
        <f t="shared" si="4"/>
        <v>0</v>
      </c>
      <c r="Q37" s="4"/>
      <c r="R37" s="4"/>
      <c r="S37" s="4">
        <f t="shared" si="5"/>
        <v>0</v>
      </c>
      <c r="T37" s="4">
        <f t="shared" si="6"/>
        <v>0</v>
      </c>
      <c r="U37" s="4">
        <f t="shared" si="7"/>
        <v>0</v>
      </c>
      <c r="V37" s="10">
        <f t="shared" si="9"/>
        <v>0</v>
      </c>
      <c r="W37" s="4"/>
      <c r="X37" s="4"/>
      <c r="Y37" s="4"/>
      <c r="Z37" s="4"/>
      <c r="AA37" s="4"/>
      <c r="AB37" s="3" t="s">
        <v>760</v>
      </c>
      <c r="AC37" s="3">
        <v>746000</v>
      </c>
    </row>
    <row r="38" spans="1:34" s="5" customFormat="1" ht="30" customHeight="1">
      <c r="A38" s="3">
        <f t="shared" si="8"/>
        <v>34</v>
      </c>
      <c r="B38" s="31">
        <v>2167</v>
      </c>
      <c r="C38" s="3" t="s">
        <v>761</v>
      </c>
      <c r="D38" s="4">
        <v>1400000</v>
      </c>
      <c r="E38" s="4">
        <v>1400000</v>
      </c>
      <c r="F38" s="4">
        <f t="shared" si="0"/>
        <v>0</v>
      </c>
      <c r="G38" s="4">
        <v>0</v>
      </c>
      <c r="H38" s="4">
        <v>0</v>
      </c>
      <c r="I38" s="4">
        <v>0</v>
      </c>
      <c r="J38" s="4">
        <v>0</v>
      </c>
      <c r="K38" s="4">
        <f t="shared" si="1"/>
        <v>0</v>
      </c>
      <c r="L38" s="4">
        <f t="shared" si="2"/>
        <v>0</v>
      </c>
      <c r="M38" s="4">
        <f t="shared" si="10"/>
        <v>0</v>
      </c>
      <c r="N38" s="4">
        <f>600000-400000</f>
        <v>200000</v>
      </c>
      <c r="O38" s="4">
        <f t="shared" si="3"/>
        <v>1200000</v>
      </c>
      <c r="P38" s="4">
        <f t="shared" si="4"/>
        <v>0</v>
      </c>
      <c r="Q38" s="4"/>
      <c r="R38" s="4"/>
      <c r="S38" s="4">
        <f t="shared" si="5"/>
        <v>0</v>
      </c>
      <c r="T38" s="4">
        <f t="shared" si="6"/>
        <v>0</v>
      </c>
      <c r="U38" s="4">
        <f t="shared" si="7"/>
        <v>200000</v>
      </c>
      <c r="V38" s="10">
        <f t="shared" si="9"/>
        <v>0</v>
      </c>
      <c r="W38" s="4">
        <v>200000</v>
      </c>
      <c r="X38" s="4"/>
      <c r="Y38" s="4"/>
      <c r="Z38" s="4"/>
      <c r="AA38" s="4"/>
      <c r="AB38" s="3" t="s">
        <v>1404</v>
      </c>
      <c r="AC38" s="3">
        <v>742000</v>
      </c>
    </row>
    <row r="39" spans="1:34" s="5" customFormat="1" ht="30" customHeight="1">
      <c r="A39" s="3">
        <f t="shared" si="8"/>
        <v>35</v>
      </c>
      <c r="B39" s="31">
        <v>2168</v>
      </c>
      <c r="C39" s="3" t="s">
        <v>763</v>
      </c>
      <c r="D39" s="4">
        <v>240000</v>
      </c>
      <c r="E39" s="4">
        <v>240000</v>
      </c>
      <c r="F39" s="4">
        <f t="shared" si="0"/>
        <v>0</v>
      </c>
      <c r="G39" s="4">
        <v>100000</v>
      </c>
      <c r="H39" s="4">
        <v>0</v>
      </c>
      <c r="I39" s="4">
        <v>0</v>
      </c>
      <c r="J39" s="4">
        <v>0</v>
      </c>
      <c r="K39" s="4">
        <f t="shared" si="1"/>
        <v>0</v>
      </c>
      <c r="L39" s="4">
        <f t="shared" si="2"/>
        <v>0</v>
      </c>
      <c r="M39" s="4">
        <f>P39+S39-100000</f>
        <v>0</v>
      </c>
      <c r="N39" s="4">
        <v>170000</v>
      </c>
      <c r="O39" s="4">
        <f t="shared" si="3"/>
        <v>70000</v>
      </c>
      <c r="P39" s="4">
        <f t="shared" si="4"/>
        <v>100000</v>
      </c>
      <c r="Q39" s="4"/>
      <c r="R39" s="4"/>
      <c r="S39" s="4">
        <f t="shared" si="5"/>
        <v>0</v>
      </c>
      <c r="T39" s="4">
        <f t="shared" si="6"/>
        <v>100000</v>
      </c>
      <c r="U39" s="4">
        <f t="shared" si="7"/>
        <v>70000</v>
      </c>
      <c r="V39" s="10">
        <f t="shared" si="9"/>
        <v>0</v>
      </c>
      <c r="W39" s="4">
        <v>70000</v>
      </c>
      <c r="X39" s="4"/>
      <c r="Y39" s="4"/>
      <c r="Z39" s="4"/>
      <c r="AA39" s="4"/>
      <c r="AB39" s="3" t="s">
        <v>1440</v>
      </c>
      <c r="AC39" s="3">
        <v>746000</v>
      </c>
    </row>
    <row r="40" spans="1:34" s="5" customFormat="1" ht="30" customHeight="1">
      <c r="A40" s="3">
        <f t="shared" si="8"/>
        <v>36</v>
      </c>
      <c r="B40" s="31">
        <v>2181</v>
      </c>
      <c r="C40" s="3" t="s">
        <v>959</v>
      </c>
      <c r="D40" s="4">
        <v>1259000</v>
      </c>
      <c r="E40" s="4">
        <v>1259000</v>
      </c>
      <c r="F40" s="4">
        <f t="shared" si="0"/>
        <v>0</v>
      </c>
      <c r="G40" s="4">
        <v>1259000</v>
      </c>
      <c r="H40" s="4">
        <v>446965</v>
      </c>
      <c r="I40" s="4">
        <v>0</v>
      </c>
      <c r="J40" s="4">
        <v>744959</v>
      </c>
      <c r="K40" s="4">
        <f t="shared" si="1"/>
        <v>744959</v>
      </c>
      <c r="L40" s="4">
        <f t="shared" si="2"/>
        <v>1191924</v>
      </c>
      <c r="M40" s="4">
        <f>P40+S40</f>
        <v>67076</v>
      </c>
      <c r="N40" s="4"/>
      <c r="O40" s="4">
        <f t="shared" si="3"/>
        <v>0</v>
      </c>
      <c r="P40" s="4">
        <f t="shared" si="4"/>
        <v>67076</v>
      </c>
      <c r="Q40" s="4"/>
      <c r="R40" s="4"/>
      <c r="S40" s="4">
        <f t="shared" si="5"/>
        <v>0</v>
      </c>
      <c r="T40" s="4">
        <f t="shared" si="6"/>
        <v>0</v>
      </c>
      <c r="U40" s="4">
        <f t="shared" si="7"/>
        <v>0</v>
      </c>
      <c r="V40" s="10">
        <f t="shared" si="9"/>
        <v>0</v>
      </c>
      <c r="W40" s="4"/>
      <c r="X40" s="4"/>
      <c r="Y40" s="4"/>
      <c r="Z40" s="4"/>
      <c r="AA40" s="4"/>
      <c r="AB40" s="3" t="s">
        <v>1297</v>
      </c>
      <c r="AC40" s="3">
        <v>747000</v>
      </c>
    </row>
    <row r="41" spans="1:34" s="5" customFormat="1" ht="30" customHeight="1">
      <c r="A41" s="3">
        <f t="shared" si="8"/>
        <v>37</v>
      </c>
      <c r="B41" s="31">
        <v>2220</v>
      </c>
      <c r="C41" s="3" t="s">
        <v>1298</v>
      </c>
      <c r="D41" s="4">
        <v>800000</v>
      </c>
      <c r="E41" s="4"/>
      <c r="F41" s="4">
        <f t="shared" si="0"/>
        <v>800000</v>
      </c>
      <c r="G41" s="4">
        <v>0</v>
      </c>
      <c r="H41" s="4">
        <v>0</v>
      </c>
      <c r="I41" s="4">
        <v>0</v>
      </c>
      <c r="J41" s="4">
        <v>0</v>
      </c>
      <c r="K41" s="4">
        <f>SUM(I41:J41)</f>
        <v>0</v>
      </c>
      <c r="L41" s="4">
        <f t="shared" si="2"/>
        <v>0</v>
      </c>
      <c r="M41" s="4">
        <f>P41+S41</f>
        <v>0</v>
      </c>
      <c r="N41" s="4">
        <f>800000-200000</f>
        <v>600000</v>
      </c>
      <c r="O41" s="4">
        <f t="shared" si="3"/>
        <v>200000</v>
      </c>
      <c r="P41" s="4">
        <f t="shared" si="4"/>
        <v>0</v>
      </c>
      <c r="Q41" s="4"/>
      <c r="R41" s="4"/>
      <c r="S41" s="4">
        <f t="shared" si="5"/>
        <v>0</v>
      </c>
      <c r="T41" s="4">
        <f t="shared" si="6"/>
        <v>0</v>
      </c>
      <c r="U41" s="4">
        <f t="shared" si="7"/>
        <v>600000</v>
      </c>
      <c r="V41" s="4">
        <f>U41-AA41-W41-Z41</f>
        <v>600000</v>
      </c>
      <c r="W41" s="4"/>
      <c r="X41" s="4"/>
      <c r="Y41" s="4"/>
      <c r="Z41" s="4"/>
      <c r="AA41" s="4"/>
      <c r="AB41" s="3" t="s">
        <v>1299</v>
      </c>
      <c r="AC41" s="3">
        <v>746000</v>
      </c>
    </row>
    <row r="42" spans="1:34" s="426" customFormat="1" ht="30" customHeight="1">
      <c r="A42" s="346">
        <f>A41</f>
        <v>37</v>
      </c>
      <c r="B42" s="346"/>
      <c r="C42" s="33" t="s">
        <v>962</v>
      </c>
      <c r="D42" s="425">
        <f>SUM(D5:D41)</f>
        <v>263941379</v>
      </c>
      <c r="E42" s="425">
        <f t="shared" ref="E42:AA42" si="11">SUM(E5:E41)</f>
        <v>232020379</v>
      </c>
      <c r="F42" s="425">
        <f t="shared" si="11"/>
        <v>31921000</v>
      </c>
      <c r="G42" s="425">
        <f t="shared" si="11"/>
        <v>203662245</v>
      </c>
      <c r="H42" s="425">
        <f t="shared" si="11"/>
        <v>185965379</v>
      </c>
      <c r="I42" s="425">
        <f t="shared" si="11"/>
        <v>0</v>
      </c>
      <c r="J42" s="425">
        <f t="shared" si="11"/>
        <v>9211704</v>
      </c>
      <c r="K42" s="425">
        <f t="shared" si="11"/>
        <v>9211704</v>
      </c>
      <c r="L42" s="425">
        <f t="shared" si="11"/>
        <v>195177083</v>
      </c>
      <c r="M42" s="425">
        <f t="shared" si="11"/>
        <v>6558162</v>
      </c>
      <c r="N42" s="425">
        <f t="shared" si="11"/>
        <v>29162000</v>
      </c>
      <c r="O42" s="425">
        <f t="shared" si="11"/>
        <v>33044134</v>
      </c>
      <c r="P42" s="425">
        <f t="shared" si="11"/>
        <v>8485162</v>
      </c>
      <c r="Q42" s="425">
        <f t="shared" si="11"/>
        <v>0</v>
      </c>
      <c r="R42" s="425">
        <f t="shared" si="11"/>
        <v>0</v>
      </c>
      <c r="S42" s="425">
        <f t="shared" si="11"/>
        <v>0</v>
      </c>
      <c r="T42" s="425">
        <f t="shared" si="11"/>
        <v>1927000</v>
      </c>
      <c r="U42" s="425">
        <f t="shared" si="11"/>
        <v>27235000</v>
      </c>
      <c r="V42" s="425">
        <f t="shared" si="11"/>
        <v>533000</v>
      </c>
      <c r="W42" s="425">
        <f t="shared" si="11"/>
        <v>7320000</v>
      </c>
      <c r="X42" s="425">
        <f t="shared" si="11"/>
        <v>0</v>
      </c>
      <c r="Y42" s="425">
        <f t="shared" si="11"/>
        <v>0</v>
      </c>
      <c r="Z42" s="425">
        <f t="shared" si="11"/>
        <v>0</v>
      </c>
      <c r="AA42" s="425">
        <f t="shared" si="11"/>
        <v>19382000</v>
      </c>
      <c r="AB42" s="425"/>
      <c r="AC42" s="346"/>
    </row>
    <row r="43" spans="1:34" hidden="1">
      <c r="L43" s="14">
        <f>K42+H42</f>
        <v>195177083</v>
      </c>
      <c r="M43" s="14">
        <f>P43+S42-T42</f>
        <v>6558162</v>
      </c>
      <c r="P43" s="14">
        <f>G42-L43</f>
        <v>8485162</v>
      </c>
    </row>
  </sheetData>
  <sheetProtection formatCells="0" formatColumns="0" formatRows="0" insertColumns="0" insertRows="0" insertHyperlinks="0" deleteColumns="0" deleteRows="0" sort="0" autoFilter="0" pivotTables="0"/>
  <sortState ref="A5:AM40">
    <sortCondition ref="B5:B4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3"/>
  <sheetViews>
    <sheetView showZeros="0" rightToLeft="1" zoomScale="93" zoomScaleNormal="93" workbookViewId="0">
      <pane xSplit="3" ySplit="4" topLeftCell="D38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36328125" style="29" customWidth="1"/>
    <col min="2" max="2" width="4.81640625" style="12" customWidth="1"/>
    <col min="3" max="3" width="20.1796875" style="12" customWidth="1"/>
    <col min="4" max="4" width="10.81640625" style="14" customWidth="1"/>
    <col min="5" max="11" width="10.81640625" style="14" hidden="1" customWidth="1"/>
    <col min="12" max="15" width="10.81640625" style="14" customWidth="1"/>
    <col min="16" max="19" width="10.81640625" style="14" hidden="1" customWidth="1"/>
    <col min="20" max="20" width="10.81640625" style="14" customWidth="1"/>
    <col min="21" max="23" width="10.81640625" style="12" customWidth="1"/>
    <col min="24" max="26" width="10.81640625" style="12" hidden="1" customWidth="1"/>
    <col min="27" max="27" width="10.81640625" style="14" customWidth="1"/>
    <col min="28" max="28" width="36.1796875" style="18" customWidth="1"/>
    <col min="29" max="29" width="7.90625" style="12" hidden="1" customWidth="1"/>
    <col min="30" max="30" width="30.6328125" style="166" customWidth="1"/>
    <col min="31" max="31" width="9.08984375" style="17" customWidth="1"/>
    <col min="32" max="32" width="1.54296875" style="17" customWidth="1"/>
    <col min="33" max="34" width="9.08984375" style="17" customWidth="1"/>
    <col min="35" max="16384" width="9.08984375" style="12"/>
  </cols>
  <sheetData>
    <row r="1" spans="1:34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593"/>
      <c r="AB1" s="402"/>
      <c r="AD1" s="166"/>
    </row>
    <row r="2" spans="1:34" s="166" customFormat="1" ht="18">
      <c r="A2" s="282" t="s">
        <v>190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593"/>
      <c r="AB2" s="183"/>
    </row>
    <row r="3" spans="1:34" ht="24" customHeight="1"/>
    <row r="4" spans="1:34" s="24" customFormat="1" ht="86.25" customHeight="1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9" t="s">
        <v>91</v>
      </c>
      <c r="AB4" s="16" t="s">
        <v>344</v>
      </c>
      <c r="AC4" s="16" t="s">
        <v>16</v>
      </c>
      <c r="AD4" s="166"/>
    </row>
    <row r="5" spans="1:34" s="5" customFormat="1" ht="30" customHeight="1">
      <c r="A5" s="3">
        <v>1</v>
      </c>
      <c r="B5" s="3">
        <f>'תקציב אגף שאיפה  2021 '!B5</f>
        <v>1134</v>
      </c>
      <c r="C5" s="280" t="str">
        <f>'תקציב אגף שאיפה  2021 '!C5</f>
        <v>יער עירוני וגינות קהילתיות</v>
      </c>
      <c r="D5" s="4">
        <f>'תקציב אגף שאיפה  2021 '!D5</f>
        <v>2795000</v>
      </c>
      <c r="E5" s="4">
        <f>'תקציב אגף שאיפה  2021 '!E5</f>
        <v>2795000</v>
      </c>
      <c r="F5" s="4">
        <f>'תקציב אגף שאיפה  2021 '!F5</f>
        <v>0</v>
      </c>
      <c r="G5" s="4">
        <f>'תקציב אגף שאיפה  2021 '!G5</f>
        <v>2705000</v>
      </c>
      <c r="H5" s="4">
        <f>'תקציב אגף שאיפה  2021 '!H5</f>
        <v>2514559</v>
      </c>
      <c r="I5" s="4">
        <f>'תקציב אגף שאיפה  2021 '!I5</f>
        <v>0</v>
      </c>
      <c r="J5" s="4">
        <f>'תקציב אגף שאיפה  2021 '!J5</f>
        <v>39610</v>
      </c>
      <c r="K5" s="4">
        <f>'תקציב אגף שאיפה  2021 '!K5</f>
        <v>39610</v>
      </c>
      <c r="L5" s="4">
        <f>'תקציב אגף שאיפה  2021 '!L5</f>
        <v>2554169</v>
      </c>
      <c r="M5" s="4">
        <f>'תקציב אגף שאיפה  2021 '!M5</f>
        <v>831</v>
      </c>
      <c r="N5" s="4">
        <f>'תקציב אגף שאיפה  2021 '!N5</f>
        <v>100000</v>
      </c>
      <c r="O5" s="4">
        <f>'תקציב אגף שאיפה  2021 '!O5</f>
        <v>140000</v>
      </c>
      <c r="P5" s="4">
        <f>'תקציב אגף שאיפה  2021 '!P5</f>
        <v>150831</v>
      </c>
      <c r="Q5" s="4">
        <f>'תקציב אגף שאיפה  2021 '!Q5</f>
        <v>0</v>
      </c>
      <c r="R5" s="4">
        <f>'תקציב אגף שאיפה  2021 '!R5</f>
        <v>0</v>
      </c>
      <c r="S5" s="4">
        <f>'תקציב אגף שאיפה  2021 '!S5</f>
        <v>0</v>
      </c>
      <c r="T5" s="4">
        <f>'תקציב אגף שאיפה  2021 '!T5</f>
        <v>150000</v>
      </c>
      <c r="U5" s="4">
        <f>'תקציב אגף שאיפה  2021 '!U5</f>
        <v>-50000</v>
      </c>
      <c r="V5" s="4">
        <f>'תקציב אגף שאיפה  2021 '!V5</f>
        <v>-50000</v>
      </c>
      <c r="W5" s="4">
        <f>'תקציב אגף שאיפה  2021 '!W5</f>
        <v>0</v>
      </c>
      <c r="X5" s="4">
        <f>'תקציב אגף שאיפה  2021 '!X5</f>
        <v>0</v>
      </c>
      <c r="Y5" s="4">
        <f>'תקציב אגף שאיפה  2021 '!Y5</f>
        <v>0</v>
      </c>
      <c r="Z5" s="4">
        <f>'תקציב אגף שאיפה  2021 '!Z5</f>
        <v>0</v>
      </c>
      <c r="AA5" s="4">
        <f>'תקציב אגף שאיפה  2021 '!AA5</f>
        <v>0</v>
      </c>
      <c r="AB5" s="280" t="str">
        <f>'תקציב אגף שאיפה  2021 '!AB5</f>
        <v>שדרוג תשתיות בגינות קהילתיות קיימות , החווה החקלאית גליל ים, והקמת יער  נוסף .</v>
      </c>
      <c r="AC5" s="3">
        <f>'תקציב אגף שאיפה  2021 '!AC5</f>
        <v>746000</v>
      </c>
      <c r="AD5" s="22"/>
      <c r="AE5" s="23"/>
      <c r="AF5" s="23"/>
      <c r="AG5" s="23"/>
      <c r="AH5" s="23"/>
    </row>
    <row r="6" spans="1:34" s="5" customFormat="1" ht="30" customHeight="1">
      <c r="A6" s="3">
        <f>A5+1</f>
        <v>2</v>
      </c>
      <c r="B6" s="3">
        <f>'תקציב אגף שאיפה  2021 '!B6</f>
        <v>1165</v>
      </c>
      <c r="C6" s="280" t="str">
        <f>'תקציב אגף שאיפה  2021 '!C6</f>
        <v>מתקני משחק ,ריהוט גן ומשטחי גומי</v>
      </c>
      <c r="D6" s="4">
        <f>'תקציב אגף שאיפה  2021 '!D6</f>
        <v>12050000</v>
      </c>
      <c r="E6" s="4">
        <f>'תקציב אגף שאיפה  2021 '!E6</f>
        <v>12050000</v>
      </c>
      <c r="F6" s="4">
        <f>'תקציב אגף שאיפה  2021 '!F6</f>
        <v>0</v>
      </c>
      <c r="G6" s="4">
        <f>'תקציב אגף שאיפה  2021 '!G6</f>
        <v>12050000</v>
      </c>
      <c r="H6" s="4">
        <f>'תקציב אגף שאיפה  2021 '!H6</f>
        <v>12043918</v>
      </c>
      <c r="I6" s="4">
        <f>'תקציב אגף שאיפה  2021 '!I6</f>
        <v>0</v>
      </c>
      <c r="J6" s="4">
        <f>'תקציב אגף שאיפה  2021 '!J6</f>
        <v>3199</v>
      </c>
      <c r="K6" s="4">
        <f>'תקציב אגף שאיפה  2021 '!K6</f>
        <v>3199</v>
      </c>
      <c r="L6" s="4">
        <f>'תקציב אגף שאיפה  2021 '!L6</f>
        <v>12047117</v>
      </c>
      <c r="M6" s="4">
        <f>'תקציב אגף שאיפה  2021 '!M6</f>
        <v>2883</v>
      </c>
      <c r="N6" s="4">
        <f>'תקציב אגף שאיפה  2021 '!N6</f>
        <v>0</v>
      </c>
      <c r="O6" s="4">
        <f>'תקציב אגף שאיפה  2021 '!O6</f>
        <v>0</v>
      </c>
      <c r="P6" s="4">
        <f>'תקציב אגף שאיפה  2021 '!P6</f>
        <v>2883</v>
      </c>
      <c r="Q6" s="4">
        <f>'תקציב אגף שאיפה  2021 '!Q6</f>
        <v>0</v>
      </c>
      <c r="R6" s="4">
        <f>'תקציב אגף שאיפה  2021 '!R6</f>
        <v>0</v>
      </c>
      <c r="S6" s="4">
        <f>'תקציב אגף שאיפה  2021 '!S6</f>
        <v>0</v>
      </c>
      <c r="T6" s="4">
        <f>'תקציב אגף שאיפה  2021 '!T6</f>
        <v>0</v>
      </c>
      <c r="U6" s="4">
        <f>'תקציב אגף שאיפה  2021 '!U6</f>
        <v>0</v>
      </c>
      <c r="V6" s="4">
        <f>'תקציב אגף שאיפה  2021 '!V6</f>
        <v>0</v>
      </c>
      <c r="W6" s="4">
        <f>'תקציב אגף שאיפה  2021 '!W6</f>
        <v>0</v>
      </c>
      <c r="X6" s="4">
        <f>'תקציב אגף שאיפה  2021 '!X6</f>
        <v>0</v>
      </c>
      <c r="Y6" s="4">
        <f>'תקציב אגף שאיפה  2021 '!Y6</f>
        <v>0</v>
      </c>
      <c r="Z6" s="4">
        <f>'תקציב אגף שאיפה  2021 '!Z6</f>
        <v>0</v>
      </c>
      <c r="AA6" s="4">
        <f>'תקציב אגף שאיפה  2021 '!AA6</f>
        <v>0</v>
      </c>
      <c r="AB6" s="280" t="str">
        <f>'תקציב אגף שאיפה  2021 '!AB6</f>
        <v>עבודות בגן גלעד וגן קלישר. לקראת סיום.</v>
      </c>
      <c r="AC6" s="3">
        <f>'תקציב אגף שאיפה  2021 '!AC6</f>
        <v>746000</v>
      </c>
      <c r="AD6" s="166"/>
      <c r="AE6" s="22"/>
      <c r="AF6" s="22"/>
      <c r="AG6" s="22"/>
      <c r="AH6" s="22"/>
    </row>
    <row r="7" spans="1:34" s="5" customFormat="1" ht="42">
      <c r="A7" s="3">
        <f t="shared" ref="A7:A41" si="0">A6+1</f>
        <v>3</v>
      </c>
      <c r="B7" s="3">
        <f>'תקציב אגף שאיפה  2021 '!B7</f>
        <v>1210</v>
      </c>
      <c r="C7" s="280" t="str">
        <f>'תקציב אגף שאיפה  2021 '!C7</f>
        <v>חזיתות בתים שיפוץ</v>
      </c>
      <c r="D7" s="4">
        <f>'תקציב אגף שאיפה  2021 '!D7</f>
        <v>113550000</v>
      </c>
      <c r="E7" s="4">
        <f>'תקציב אגף שאיפה  2021 '!E7</f>
        <v>89650000</v>
      </c>
      <c r="F7" s="4">
        <f>'תקציב אגף שאיפה  2021 '!F7</f>
        <v>23900000</v>
      </c>
      <c r="G7" s="4">
        <f>'תקציב אגף שאיפה  2021 '!G7</f>
        <v>85250000</v>
      </c>
      <c r="H7" s="4">
        <f>'תקציב אגף שאיפה  2021 '!H7</f>
        <v>80024869</v>
      </c>
      <c r="I7" s="4">
        <f>'תקציב אגף שאיפה  2021 '!I7</f>
        <v>0</v>
      </c>
      <c r="J7" s="4">
        <f>'תקציב אגף שאיפה  2021 '!J7</f>
        <v>754523</v>
      </c>
      <c r="K7" s="4">
        <f>'תקציב אגף שאיפה  2021 '!K7</f>
        <v>754523</v>
      </c>
      <c r="L7" s="4">
        <f>'תקציב אגף שאיפה  2021 '!L7</f>
        <v>80779392</v>
      </c>
      <c r="M7" s="4">
        <f>'תקציב אגף שאיפה  2021 '!M7</f>
        <v>4470608</v>
      </c>
      <c r="N7" s="4">
        <f>'תקציב אגף שאיפה  2021 '!N7</f>
        <v>19300000</v>
      </c>
      <c r="O7" s="4">
        <f>'תקציב אגף שאיפה  2021 '!O7</f>
        <v>9000000</v>
      </c>
      <c r="P7" s="4">
        <f>'תקציב אגף שאיפה  2021 '!P7</f>
        <v>4470608</v>
      </c>
      <c r="Q7" s="4">
        <f>'תקציב אגף שאיפה  2021 '!Q7</f>
        <v>0</v>
      </c>
      <c r="R7" s="4">
        <f>'תקציב אגף שאיפה  2021 '!R7</f>
        <v>0</v>
      </c>
      <c r="S7" s="4">
        <f>'תקציב אגף שאיפה  2021 '!S7</f>
        <v>0</v>
      </c>
      <c r="T7" s="4">
        <f>'תקציב אגף שאיפה  2021 '!T7</f>
        <v>0</v>
      </c>
      <c r="U7" s="4">
        <f>'תקציב אגף שאיפה  2021 '!U7</f>
        <v>19300000</v>
      </c>
      <c r="V7" s="4">
        <f>'תקציב אגף שאיפה  2021 '!V7</f>
        <v>0</v>
      </c>
      <c r="W7" s="4">
        <f>'תקציב אגף שאיפה  2021 '!W7</f>
        <v>0</v>
      </c>
      <c r="X7" s="4">
        <f>'תקציב אגף שאיפה  2021 '!X7</f>
        <v>0</v>
      </c>
      <c r="Y7" s="4">
        <f>'תקציב אגף שאיפה  2021 '!Y7</f>
        <v>0</v>
      </c>
      <c r="Z7" s="4">
        <f>'תקציב אגף שאיפה  2021 '!Z7</f>
        <v>0</v>
      </c>
      <c r="AA7" s="4">
        <f>'תקציב אגף שאיפה  2021 '!AA7</f>
        <v>19300000</v>
      </c>
      <c r="AB7" s="280" t="str">
        <f>'תקציב אגף שאיפה  2021 '!AB7</f>
        <v>שיפוץ חזיתות בתים כולל: פיתוח חצרות, חדרי מדרגות, מעלית (רכוש משותף). בשיתוף האגודה לתרבות הדיור.</v>
      </c>
      <c r="AC7" s="3">
        <f>'תקציב אגף שאיפה  2021 '!AC7</f>
        <v>764000</v>
      </c>
      <c r="AD7" s="166"/>
    </row>
    <row r="8" spans="1:34" s="5" customFormat="1" ht="70">
      <c r="A8" s="3">
        <f t="shared" si="0"/>
        <v>4</v>
      </c>
      <c r="B8" s="3">
        <f>'תקציב אגף שאיפה  2021 '!B8</f>
        <v>1254</v>
      </c>
      <c r="C8" s="280" t="str">
        <f>'תקציב אגף שאיפה  2021 '!C8</f>
        <v xml:space="preserve">שיקום שדרוג,הקמה ונגישות גינות ציבוריות </v>
      </c>
      <c r="D8" s="4">
        <f>'תקציב אגף שאיפה  2021 '!D8</f>
        <v>49000000</v>
      </c>
      <c r="E8" s="4">
        <f>'תקציב אגף שאיפה  2021 '!E8</f>
        <v>45990000</v>
      </c>
      <c r="F8" s="4">
        <f>'תקציב אגף שאיפה  2021 '!F8</f>
        <v>3010000</v>
      </c>
      <c r="G8" s="4">
        <f>'תקציב אגף שאיפה  2021 '!G8</f>
        <v>39772866</v>
      </c>
      <c r="H8" s="4">
        <f>'תקציב אגף שאיפה  2021 '!H8</f>
        <v>37044062</v>
      </c>
      <c r="I8" s="4">
        <f>'תקציב אגף שאיפה  2021 '!I8</f>
        <v>0</v>
      </c>
      <c r="J8" s="4">
        <f>'תקציב אגף שאיפה  2021 '!J8</f>
        <v>2638448</v>
      </c>
      <c r="K8" s="4">
        <f>'תקציב אגף שאיפה  2021 '!K8</f>
        <v>2638448</v>
      </c>
      <c r="L8" s="4">
        <f>'תקציב אגף שאיפה  2021 '!L8</f>
        <v>39682510</v>
      </c>
      <c r="M8" s="4">
        <f>'תקציב אגף שאיפה  2021 '!M8</f>
        <v>90356</v>
      </c>
      <c r="N8" s="4">
        <f>'תקציב אגף שאיפה  2021 '!N8</f>
        <v>3300000</v>
      </c>
      <c r="O8" s="4">
        <f>'תקציב אגף שאיפה  2021 '!O8</f>
        <v>5927134</v>
      </c>
      <c r="P8" s="4">
        <f>'תקציב אגף שאיפה  2021 '!P8</f>
        <v>90356</v>
      </c>
      <c r="Q8" s="4">
        <f>'תקציב אגף שאיפה  2021 '!Q8</f>
        <v>0</v>
      </c>
      <c r="R8" s="4">
        <f>'תקציב אגף שאיפה  2021 '!R8</f>
        <v>0</v>
      </c>
      <c r="S8" s="4">
        <f>'תקציב אגף שאיפה  2021 '!S8</f>
        <v>0</v>
      </c>
      <c r="T8" s="4">
        <f>'תקציב אגף שאיפה  2021 '!T8</f>
        <v>0</v>
      </c>
      <c r="U8" s="4">
        <f>'תקציב אגף שאיפה  2021 '!U8</f>
        <v>3300000</v>
      </c>
      <c r="V8" s="4">
        <f>'תקציב אגף שאיפה  2021 '!V8</f>
        <v>0</v>
      </c>
      <c r="W8" s="4">
        <f>'תקציב אגף שאיפה  2021 '!W8</f>
        <v>3300000</v>
      </c>
      <c r="X8" s="4">
        <f>'תקציב אגף שאיפה  2021 '!X8</f>
        <v>0</v>
      </c>
      <c r="Y8" s="4">
        <f>'תקציב אגף שאיפה  2021 '!Y8</f>
        <v>0</v>
      </c>
      <c r="Z8" s="4">
        <f>'תקציב אגף שאיפה  2021 '!Z8</f>
        <v>0</v>
      </c>
      <c r="AA8" s="4">
        <f>'תקציב אגף שאיפה  2021 '!AA8</f>
        <v>0</v>
      </c>
      <c r="AB8" s="280" t="str">
        <f>'תקציב אגף שאיפה  2021 '!AB8</f>
        <v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v>
      </c>
      <c r="AC8" s="3">
        <f>'תקציב אגף שאיפה  2021 '!AC8</f>
        <v>746000</v>
      </c>
      <c r="AD8" s="166"/>
      <c r="AE8" s="22"/>
      <c r="AF8" s="22"/>
      <c r="AG8" s="22"/>
      <c r="AH8" s="22"/>
    </row>
    <row r="9" spans="1:34" s="5" customFormat="1" ht="42">
      <c r="A9" s="3">
        <f t="shared" si="0"/>
        <v>5</v>
      </c>
      <c r="B9" s="3">
        <f>'תקציב אגף שאיפה  2021 '!B9</f>
        <v>1342</v>
      </c>
      <c r="C9" s="280" t="str">
        <f>'תקציב אגף שאיפה  2021 '!C9</f>
        <v>הקמת גינות לכלבים</v>
      </c>
      <c r="D9" s="4">
        <f>'תקציב אגף שאיפה  2021 '!D9</f>
        <v>4700000</v>
      </c>
      <c r="E9" s="4">
        <f>'תקציב אגף שאיפה  2021 '!E9</f>
        <v>4000000</v>
      </c>
      <c r="F9" s="4">
        <f>'תקציב אגף שאיפה  2021 '!F9</f>
        <v>700000</v>
      </c>
      <c r="G9" s="4">
        <f>'תקציב אגף שאיפה  2021 '!G9</f>
        <v>2890000</v>
      </c>
      <c r="H9" s="4">
        <f>'תקציב אגף שאיפה  2021 '!H9</f>
        <v>2728645</v>
      </c>
      <c r="I9" s="4">
        <f>'תקציב אגף שאיפה  2021 '!I9</f>
        <v>0</v>
      </c>
      <c r="J9" s="4">
        <f>'תקציב אגף שאיפה  2021 '!J9</f>
        <v>131353</v>
      </c>
      <c r="K9" s="4">
        <f>'תקציב אגף שאיפה  2021 '!K9</f>
        <v>131353</v>
      </c>
      <c r="L9" s="4">
        <f>'תקציב אגף שאיפה  2021 '!L9</f>
        <v>2859998</v>
      </c>
      <c r="M9" s="4">
        <f>'תקציב אגף שאיפה  2021 '!M9</f>
        <v>30002</v>
      </c>
      <c r="N9" s="4">
        <f>'תקציב אגף שאיפה  2021 '!N9</f>
        <v>0</v>
      </c>
      <c r="O9" s="4">
        <f>'תקציב אגף שאיפה  2021 '!O9</f>
        <v>1810000</v>
      </c>
      <c r="P9" s="4">
        <f>'תקציב אגף שאיפה  2021 '!P9</f>
        <v>30002</v>
      </c>
      <c r="Q9" s="4">
        <f>'תקציב אגף שאיפה  2021 '!Q9</f>
        <v>0</v>
      </c>
      <c r="R9" s="4">
        <f>'תקציב אגף שאיפה  2021 '!R9</f>
        <v>0</v>
      </c>
      <c r="S9" s="4">
        <f>'תקציב אגף שאיפה  2021 '!S9</f>
        <v>0</v>
      </c>
      <c r="T9" s="4">
        <f>'תקציב אגף שאיפה  2021 '!T9</f>
        <v>0</v>
      </c>
      <c r="U9" s="4">
        <f>'תקציב אגף שאיפה  2021 '!U9</f>
        <v>0</v>
      </c>
      <c r="V9" s="4">
        <f>'תקציב אגף שאיפה  2021 '!V9</f>
        <v>0</v>
      </c>
      <c r="W9" s="4">
        <f>'תקציב אגף שאיפה  2021 '!W9</f>
        <v>0</v>
      </c>
      <c r="X9" s="4">
        <f>'תקציב אגף שאיפה  2021 '!X9</f>
        <v>0</v>
      </c>
      <c r="Y9" s="4">
        <f>'תקציב אגף שאיפה  2021 '!Y9</f>
        <v>0</v>
      </c>
      <c r="Z9" s="4">
        <f>'תקציב אגף שאיפה  2021 '!Z9</f>
        <v>0</v>
      </c>
      <c r="AA9" s="4">
        <f>'תקציב אגף שאיפה  2021 '!AA9</f>
        <v>0</v>
      </c>
      <c r="AB9" s="280" t="str">
        <f>'תקציב אגף שאיפה  2021 '!AB9</f>
        <v xml:space="preserve">תב"ר מסגרת. ב - 2020 בוצעו 3 גינות. לקראת 2021 בגיבוש תוכנית לאיתור שטחים להקמת גינות כלבים נוספות לאור בקשות תושבי העיר. </v>
      </c>
      <c r="AC9" s="3">
        <f>'תקציב אגף שאיפה  2021 '!AC9</f>
        <v>746000</v>
      </c>
      <c r="AD9" s="166"/>
      <c r="AE9" s="22"/>
      <c r="AF9" s="22"/>
      <c r="AG9" s="22"/>
      <c r="AH9" s="22"/>
    </row>
    <row r="10" spans="1:34" s="5" customFormat="1" ht="56">
      <c r="A10" s="3">
        <f t="shared" si="0"/>
        <v>6</v>
      </c>
      <c r="B10" s="3">
        <f>'תקציב אגף שאיפה  2021 '!B10</f>
        <v>1343</v>
      </c>
      <c r="C10" s="280" t="str">
        <f>'תקציב אגף שאיפה  2021 '!C10</f>
        <v>סככות הצללה לגני משחקים</v>
      </c>
      <c r="D10" s="4">
        <f>'תקציב אגף שאיפה  2021 '!D10</f>
        <v>7020000</v>
      </c>
      <c r="E10" s="4">
        <f>'תקציב אגף שאיפה  2021 '!E10</f>
        <v>8320000</v>
      </c>
      <c r="F10" s="4">
        <f>'תקציב אגף שאיפה  2021 '!F10</f>
        <v>-1300000</v>
      </c>
      <c r="G10" s="4">
        <f>'תקציב אגף שאיפה  2021 '!G10</f>
        <v>7020000</v>
      </c>
      <c r="H10" s="4">
        <f>'תקציב אגף שאיפה  2021 '!H10</f>
        <v>6091577</v>
      </c>
      <c r="I10" s="4">
        <f>'תקציב אגף שאיפה  2021 '!I10</f>
        <v>0</v>
      </c>
      <c r="J10" s="4">
        <f>'תקציב אגף שאיפה  2021 '!J10</f>
        <v>377960</v>
      </c>
      <c r="K10" s="4">
        <f>'תקציב אגף שאיפה  2021 '!K10</f>
        <v>377960</v>
      </c>
      <c r="L10" s="4">
        <f>'תקציב אגף שאיפה  2021 '!L10</f>
        <v>6469537</v>
      </c>
      <c r="M10" s="4">
        <f>'תקציב אגף שאיפה  2021 '!M10</f>
        <v>50463</v>
      </c>
      <c r="N10" s="4">
        <f>'תקציב אגף שאיפה  2021 '!N10</f>
        <v>500000</v>
      </c>
      <c r="O10" s="4">
        <f>'תקציב אגף שאיפה  2021 '!O10</f>
        <v>0</v>
      </c>
      <c r="P10" s="4">
        <f>'תקציב אגף שאיפה  2021 '!P10</f>
        <v>550463</v>
      </c>
      <c r="Q10" s="4">
        <f>'תקציב אגף שאיפה  2021 '!Q10</f>
        <v>0</v>
      </c>
      <c r="R10" s="4">
        <f>'תקציב אגף שאיפה  2021 '!R10</f>
        <v>0</v>
      </c>
      <c r="S10" s="4">
        <f>'תקציב אגף שאיפה  2021 '!S10</f>
        <v>0</v>
      </c>
      <c r="T10" s="4">
        <f>'תקציב אגף שאיפה  2021 '!T10</f>
        <v>500000</v>
      </c>
      <c r="U10" s="4">
        <f>'תקציב אגף שאיפה  2021 '!U10</f>
        <v>0</v>
      </c>
      <c r="V10" s="4">
        <f>'תקציב אגף שאיפה  2021 '!V10</f>
        <v>0</v>
      </c>
      <c r="W10" s="4">
        <f>'תקציב אגף שאיפה  2021 '!W10</f>
        <v>0</v>
      </c>
      <c r="X10" s="4">
        <f>'תקציב אגף שאיפה  2021 '!X10</f>
        <v>0</v>
      </c>
      <c r="Y10" s="4">
        <f>'תקציב אגף שאיפה  2021 '!Y10</f>
        <v>0</v>
      </c>
      <c r="Z10" s="4">
        <f>'תקציב אגף שאיפה  2021 '!Z10</f>
        <v>0</v>
      </c>
      <c r="AA10" s="4">
        <f>'תקציב אגף שאיפה  2021 '!AA10</f>
        <v>0</v>
      </c>
      <c r="AB10" s="280" t="str">
        <f>'תקציב אגף שאיפה  2021 '!AB10</f>
        <v xml:space="preserve">הצללת אזורים של מתקני משחקים לנוחות הציבור. נחקק חוק חדש שאושר בוועדת הפנים המחייב את הרשויות להקים הצללות בגני משחקים. </v>
      </c>
      <c r="AC10" s="3">
        <f>'תקציב אגף שאיפה  2021 '!AC10</f>
        <v>746000</v>
      </c>
      <c r="AD10" s="166"/>
      <c r="AE10" s="22"/>
      <c r="AF10" s="22"/>
      <c r="AG10" s="22"/>
      <c r="AH10" s="22"/>
    </row>
    <row r="11" spans="1:34" s="5" customFormat="1" ht="30" customHeight="1">
      <c r="A11" s="3">
        <f t="shared" si="0"/>
        <v>7</v>
      </c>
      <c r="B11" s="3">
        <f>'תקציב אגף שאיפה  2021 '!B11</f>
        <v>1345</v>
      </c>
      <c r="C11" s="280" t="str">
        <f>'תקציב אגף שאיפה  2021 '!C11</f>
        <v>תוכנית  אב להפחתת זיהום אויר</v>
      </c>
      <c r="D11" s="4">
        <f>'תקציב אגף שאיפה  2021 '!D11</f>
        <v>883000</v>
      </c>
      <c r="E11" s="4">
        <f>'תקציב אגף שאיפה  2021 '!E11</f>
        <v>1739000</v>
      </c>
      <c r="F11" s="4">
        <f>'תקציב אגף שאיפה  2021 '!F11</f>
        <v>-856000</v>
      </c>
      <c r="G11" s="4">
        <f>'תקציב אגף שאיפה  2021 '!G11</f>
        <v>883000</v>
      </c>
      <c r="H11" s="4">
        <f>'תקציב אגף שאיפה  2021 '!H11</f>
        <v>825751</v>
      </c>
      <c r="I11" s="4">
        <f>'תקציב אגף שאיפה  2021 '!I11</f>
        <v>0</v>
      </c>
      <c r="J11" s="4">
        <f>'תקציב אגף שאיפה  2021 '!J11</f>
        <v>9360</v>
      </c>
      <c r="K11" s="4">
        <f>'תקציב אגף שאיפה  2021 '!K11</f>
        <v>9360</v>
      </c>
      <c r="L11" s="4">
        <f>'תקציב אגף שאיפה  2021 '!L11</f>
        <v>835111</v>
      </c>
      <c r="M11" s="4">
        <f>'תקציב אגף שאיפה  2021 '!M11</f>
        <v>47889</v>
      </c>
      <c r="N11" s="4">
        <f>'תקציב אגף שאיפה  2021 '!N11</f>
        <v>0</v>
      </c>
      <c r="O11" s="4">
        <f>'תקציב אגף שאיפה  2021 '!O11</f>
        <v>0</v>
      </c>
      <c r="P11" s="4">
        <f>'תקציב אגף שאיפה  2021 '!P11</f>
        <v>47889</v>
      </c>
      <c r="Q11" s="4">
        <f>'תקציב אגף שאיפה  2021 '!Q11</f>
        <v>0</v>
      </c>
      <c r="R11" s="4">
        <f>'תקציב אגף שאיפה  2021 '!R11</f>
        <v>0</v>
      </c>
      <c r="S11" s="4">
        <f>'תקציב אגף שאיפה  2021 '!S11</f>
        <v>0</v>
      </c>
      <c r="T11" s="4">
        <f>'תקציב אגף שאיפה  2021 '!T11</f>
        <v>0</v>
      </c>
      <c r="U11" s="4">
        <f>'תקציב אגף שאיפה  2021 '!U11</f>
        <v>0</v>
      </c>
      <c r="V11" s="4">
        <f>'תקציב אגף שאיפה  2021 '!V11</f>
        <v>0</v>
      </c>
      <c r="W11" s="4">
        <f>'תקציב אגף שאיפה  2021 '!W11</f>
        <v>0</v>
      </c>
      <c r="X11" s="4">
        <f>'תקציב אגף שאיפה  2021 '!X11</f>
        <v>0</v>
      </c>
      <c r="Y11" s="4">
        <f>'תקציב אגף שאיפה  2021 '!Y11</f>
        <v>0</v>
      </c>
      <c r="Z11" s="4">
        <f>'תקציב אגף שאיפה  2021 '!Z11</f>
        <v>0</v>
      </c>
      <c r="AA11" s="4">
        <f>'תקציב אגף שאיפה  2021 '!AA11</f>
        <v>0</v>
      </c>
      <c r="AB11" s="280" t="str">
        <f>'תקציב אגף שאיפה  2021 '!AB11</f>
        <v>קידום אמנת ברית ערים כתוכנית המשך לתוכנית להפחתת פליטות של פורום ה-15.</v>
      </c>
      <c r="AC11" s="3">
        <f>'תקציב אגף שאיפה  2021 '!AC11</f>
        <v>870000</v>
      </c>
      <c r="AD11" s="22"/>
      <c r="AE11" s="23"/>
      <c r="AF11" s="23"/>
      <c r="AG11" s="23"/>
      <c r="AH11" s="23"/>
    </row>
    <row r="12" spans="1:34" s="5" customFormat="1" ht="42">
      <c r="A12" s="3">
        <f t="shared" si="0"/>
        <v>8</v>
      </c>
      <c r="B12" s="3">
        <f>'תקציב אגף שאיפה  2021 '!B12</f>
        <v>1435</v>
      </c>
      <c r="C12" s="280" t="str">
        <f>'תקציב אגף שאיפה  2021 '!C12</f>
        <v>שדרוג וטיפול המרחב הציבורי</v>
      </c>
      <c r="D12" s="4">
        <f>'תקציב אגף שאיפה  2021 '!D12</f>
        <v>32574320</v>
      </c>
      <c r="E12" s="4">
        <f>'תקציב אגף שאיפה  2021 '!E12</f>
        <v>31274320</v>
      </c>
      <c r="F12" s="4">
        <f>'תקציב אגף שאיפה  2021 '!F12</f>
        <v>1300000</v>
      </c>
      <c r="G12" s="4">
        <f>'תקציב אגף שאיפה  2021 '!G12</f>
        <v>29074320</v>
      </c>
      <c r="H12" s="4">
        <f>'תקציב אגף שאיפה  2021 '!H12</f>
        <v>25932742</v>
      </c>
      <c r="I12" s="4">
        <f>'תקציב אגף שאיפה  2021 '!I12</f>
        <v>0</v>
      </c>
      <c r="J12" s="4">
        <f>'תקציב אגף שאיפה  2021 '!J12</f>
        <v>2329566</v>
      </c>
      <c r="K12" s="4">
        <f>'תקציב אגף שאיפה  2021 '!K12</f>
        <v>2329566</v>
      </c>
      <c r="L12" s="4">
        <f>'תקציב אגף שאיפה  2021 '!L12</f>
        <v>28262308</v>
      </c>
      <c r="M12" s="4">
        <f>'תקציב אגף שאיפה  2021 '!M12</f>
        <v>812012</v>
      </c>
      <c r="N12" s="4">
        <f>'תקציב אגף שאיפה  2021 '!N12</f>
        <v>2800000</v>
      </c>
      <c r="O12" s="4">
        <f>'תקציב אגף שאיפה  2021 '!O12</f>
        <v>700000</v>
      </c>
      <c r="P12" s="4">
        <f>'תקציב אגף שאיפה  2021 '!P12</f>
        <v>812012</v>
      </c>
      <c r="Q12" s="4">
        <f>'תקציב אגף שאיפה  2021 '!Q12</f>
        <v>0</v>
      </c>
      <c r="R12" s="4">
        <f>'תקציב אגף שאיפה  2021 '!R12</f>
        <v>0</v>
      </c>
      <c r="S12" s="4">
        <f>'תקציב אגף שאיפה  2021 '!S12</f>
        <v>0</v>
      </c>
      <c r="T12" s="4">
        <f>'תקציב אגף שאיפה  2021 '!T12</f>
        <v>0</v>
      </c>
      <c r="U12" s="4">
        <f>'תקציב אגף שאיפה  2021 '!U12</f>
        <v>2800000</v>
      </c>
      <c r="V12" s="4">
        <f>'תקציב אגף שאיפה  2021 '!V12</f>
        <v>0</v>
      </c>
      <c r="W12" s="4">
        <f>'תקציב אגף שאיפה  2021 '!W12</f>
        <v>2800000</v>
      </c>
      <c r="X12" s="4">
        <f>'תקציב אגף שאיפה  2021 '!X12</f>
        <v>0</v>
      </c>
      <c r="Y12" s="4">
        <f>'תקציב אגף שאיפה  2021 '!Y12</f>
        <v>0</v>
      </c>
      <c r="Z12" s="4">
        <f>'תקציב אגף שאיפה  2021 '!Z12</f>
        <v>0</v>
      </c>
      <c r="AA12" s="4">
        <f>'תקציב אגף שאיפה  2021 '!AA12</f>
        <v>0</v>
      </c>
      <c r="AB12" s="280" t="str">
        <f>'תקציב אגף שאיפה  2021 '!AB12</f>
        <v xml:space="preserve">עבודות במרחב הציבורי בשטחים ציבוריים בשכונות השונות ברחבי העיר כולל ריהוט רחוב עפ"י תוכנית עבודה שתאושר ע"י הנהלת העיר. </v>
      </c>
      <c r="AC12" s="3">
        <f>'תקציב אגף שאיפה  2021 '!AC12</f>
        <v>848500</v>
      </c>
      <c r="AD12" s="166"/>
      <c r="AE12" s="22"/>
      <c r="AF12" s="22"/>
      <c r="AG12" s="22"/>
      <c r="AH12" s="22"/>
    </row>
    <row r="13" spans="1:34" s="5" customFormat="1" ht="30" customHeight="1">
      <c r="A13" s="3">
        <f t="shared" si="0"/>
        <v>9</v>
      </c>
      <c r="B13" s="3">
        <f>'תקציב אגף שאיפה  2021 '!B13</f>
        <v>1491</v>
      </c>
      <c r="C13" s="280" t="str">
        <f>'תקציב אגף שאיפה  2021 '!C13</f>
        <v>שדרוג תשתיות משטחי גומי גינות</v>
      </c>
      <c r="D13" s="4">
        <f>'תקציב אגף שאיפה  2021 '!D13</f>
        <v>6870000</v>
      </c>
      <c r="E13" s="4">
        <f>'תקציב אגף שאיפה  2021 '!E13</f>
        <v>6870000</v>
      </c>
      <c r="F13" s="4">
        <f>'תקציב אגף שאיפה  2021 '!F13</f>
        <v>0</v>
      </c>
      <c r="G13" s="4">
        <f>'תקציב אגף שאיפה  2021 '!G13</f>
        <v>6870000</v>
      </c>
      <c r="H13" s="4">
        <f>'תקציב אגף שאיפה  2021 '!H13</f>
        <v>6814753</v>
      </c>
      <c r="I13" s="4">
        <f>'תקציב אגף שאיפה  2021 '!I13</f>
        <v>0</v>
      </c>
      <c r="J13" s="4">
        <f>'תקציב אגף שאיפה  2021 '!J13</f>
        <v>53410</v>
      </c>
      <c r="K13" s="4">
        <f>'תקציב אגף שאיפה  2021 '!K13</f>
        <v>53410</v>
      </c>
      <c r="L13" s="4">
        <f>'תקציב אגף שאיפה  2021 '!L13</f>
        <v>6868163</v>
      </c>
      <c r="M13" s="4">
        <f>'תקציב אגף שאיפה  2021 '!M13</f>
        <v>1837</v>
      </c>
      <c r="N13" s="4">
        <f>'תקציב אגף שאיפה  2021 '!N13</f>
        <v>0</v>
      </c>
      <c r="O13" s="4">
        <f>'תקציב אגף שאיפה  2021 '!O13</f>
        <v>0</v>
      </c>
      <c r="P13" s="4">
        <f>'תקציב אגף שאיפה  2021 '!P13</f>
        <v>1837</v>
      </c>
      <c r="Q13" s="4">
        <f>'תקציב אגף שאיפה  2021 '!Q13</f>
        <v>0</v>
      </c>
      <c r="R13" s="4">
        <f>'תקציב אגף שאיפה  2021 '!R13</f>
        <v>0</v>
      </c>
      <c r="S13" s="4">
        <f>'תקציב אגף שאיפה  2021 '!S13</f>
        <v>0</v>
      </c>
      <c r="T13" s="4">
        <f>'תקציב אגף שאיפה  2021 '!T13</f>
        <v>0</v>
      </c>
      <c r="U13" s="4">
        <f>'תקציב אגף שאיפה  2021 '!U13</f>
        <v>0</v>
      </c>
      <c r="V13" s="4">
        <f>'תקציב אגף שאיפה  2021 '!V13</f>
        <v>0</v>
      </c>
      <c r="W13" s="4">
        <f>'תקציב אגף שאיפה  2021 '!W13</f>
        <v>0</v>
      </c>
      <c r="X13" s="4">
        <f>'תקציב אגף שאיפה  2021 '!X13</f>
        <v>0</v>
      </c>
      <c r="Y13" s="4">
        <f>'תקציב אגף שאיפה  2021 '!Y13</f>
        <v>0</v>
      </c>
      <c r="Z13" s="4">
        <f>'תקציב אגף שאיפה  2021 '!Z13</f>
        <v>0</v>
      </c>
      <c r="AA13" s="4">
        <f>'תקציב אגף שאיפה  2021 '!AA13</f>
        <v>0</v>
      </c>
      <c r="AB13" s="280" t="str">
        <f>'תקציב אגף שאיפה  2021 '!AB13</f>
        <v>ביצוע של החלפת משטחי גומי ישנים מאוד בגינות קיימות. לקראת סיום.</v>
      </c>
      <c r="AC13" s="3">
        <f>'תקציב אגף שאיפה  2021 '!AC13</f>
        <v>746000</v>
      </c>
      <c r="AD13" s="166"/>
      <c r="AE13" s="22"/>
      <c r="AF13" s="22"/>
      <c r="AG13" s="22"/>
      <c r="AH13" s="22"/>
    </row>
    <row r="14" spans="1:34" s="5" customFormat="1" ht="70">
      <c r="A14" s="3">
        <f t="shared" si="0"/>
        <v>10</v>
      </c>
      <c r="B14" s="3">
        <f>'תקציב אגף שאיפה  2021 '!B14</f>
        <v>1504</v>
      </c>
      <c r="C14" s="280" t="str">
        <f>'תקציב אגף שאיפה  2021 '!C14</f>
        <v>נטיעת עצים ברחבי העיר</v>
      </c>
      <c r="D14" s="4">
        <f>'תקציב אגף שאיפה  2021 '!D14</f>
        <v>2500000</v>
      </c>
      <c r="E14" s="4">
        <f>'תקציב אגף שאיפה  2021 '!E14</f>
        <v>2000000</v>
      </c>
      <c r="F14" s="4">
        <f>'תקציב אגף שאיפה  2021 '!F14</f>
        <v>500000</v>
      </c>
      <c r="G14" s="4">
        <f>'תקציב אגף שאיפה  2021 '!G14</f>
        <v>1500000</v>
      </c>
      <c r="H14" s="4">
        <f>'תקציב אגף שאיפה  2021 '!H14</f>
        <v>1461344</v>
      </c>
      <c r="I14" s="4">
        <f>'תקציב אגף שאיפה  2021 '!I14</f>
        <v>0</v>
      </c>
      <c r="J14" s="4">
        <f>'תקציב אגף שאיפה  2021 '!J14</f>
        <v>0</v>
      </c>
      <c r="K14" s="4">
        <f>'תקציב אגף שאיפה  2021 '!K14</f>
        <v>0</v>
      </c>
      <c r="L14" s="4">
        <f>'תקציב אגף שאיפה  2021 '!L14</f>
        <v>1461344</v>
      </c>
      <c r="M14" s="4">
        <f>'תקציב אגף שאיפה  2021 '!M14</f>
        <v>38656</v>
      </c>
      <c r="N14" s="4">
        <f>'תקציב אגף שאיפה  2021 '!N14</f>
        <v>0</v>
      </c>
      <c r="O14" s="4">
        <f>'תקציב אגף שאיפה  2021 '!O14</f>
        <v>1000000</v>
      </c>
      <c r="P14" s="4">
        <f>'תקציב אגף שאיפה  2021 '!P14</f>
        <v>38656</v>
      </c>
      <c r="Q14" s="4">
        <f>'תקציב אגף שאיפה  2021 '!Q14</f>
        <v>0</v>
      </c>
      <c r="R14" s="4">
        <f>'תקציב אגף שאיפה  2021 '!R14</f>
        <v>0</v>
      </c>
      <c r="S14" s="4">
        <f>'תקציב אגף שאיפה  2021 '!S14</f>
        <v>0</v>
      </c>
      <c r="T14" s="4">
        <f>'תקציב אגף שאיפה  2021 '!T14</f>
        <v>0</v>
      </c>
      <c r="U14" s="4">
        <f>'תקציב אגף שאיפה  2021 '!U14</f>
        <v>0</v>
      </c>
      <c r="V14" s="4">
        <f>'תקציב אגף שאיפה  2021 '!V14</f>
        <v>0</v>
      </c>
      <c r="W14" s="4">
        <f>'תקציב אגף שאיפה  2021 '!W14</f>
        <v>0</v>
      </c>
      <c r="X14" s="4">
        <f>'תקציב אגף שאיפה  2021 '!X14</f>
        <v>0</v>
      </c>
      <c r="Y14" s="4">
        <f>'תקציב אגף שאיפה  2021 '!Y14</f>
        <v>0</v>
      </c>
      <c r="Z14" s="4">
        <f>'תקציב אגף שאיפה  2021 '!Z14</f>
        <v>0</v>
      </c>
      <c r="AA14" s="4">
        <f>'תקציב אגף שאיפה  2021 '!AA14</f>
        <v>0</v>
      </c>
      <c r="AB14" s="280" t="str">
        <f>'תקציב אגף שאיפה  2021 '!AB14</f>
        <v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v>
      </c>
      <c r="AC14" s="3">
        <f>'תקציב אגף שאיפה  2021 '!AC14</f>
        <v>746000</v>
      </c>
      <c r="AD14" s="166"/>
      <c r="AE14" s="22"/>
      <c r="AF14" s="22"/>
      <c r="AG14" s="22"/>
      <c r="AH14" s="22"/>
    </row>
    <row r="15" spans="1:34" s="5" customFormat="1" ht="30" customHeight="1">
      <c r="A15" s="3">
        <f t="shared" si="0"/>
        <v>11</v>
      </c>
      <c r="B15" s="3">
        <f>'תקציב אגף שאיפה  2021 '!B15</f>
        <v>1579</v>
      </c>
      <c r="C15" s="280" t="str">
        <f>'תקציב אגף שאיפה  2021 '!C15</f>
        <v>הכנת תוכנית אב לקיימות בעיריית הרצליה</v>
      </c>
      <c r="D15" s="4">
        <f>'תקציב אגף שאיפה  2021 '!D15</f>
        <v>170000</v>
      </c>
      <c r="E15" s="4">
        <f>'תקציב אגף שאיפה  2021 '!E15</f>
        <v>170000</v>
      </c>
      <c r="F15" s="4">
        <f>'תקציב אגף שאיפה  2021 '!F15</f>
        <v>0</v>
      </c>
      <c r="G15" s="4">
        <f>'תקציב אגף שאיפה  2021 '!G15</f>
        <v>170000</v>
      </c>
      <c r="H15" s="4">
        <f>'תקציב אגף שאיפה  2021 '!H15</f>
        <v>155741</v>
      </c>
      <c r="I15" s="4">
        <f>'תקציב אגף שאיפה  2021 '!I15</f>
        <v>0</v>
      </c>
      <c r="J15" s="4">
        <f>'תקציב אגף שאיפה  2021 '!J15</f>
        <v>5137</v>
      </c>
      <c r="K15" s="4">
        <f>'תקציב אגף שאיפה  2021 '!K15</f>
        <v>5137</v>
      </c>
      <c r="L15" s="4">
        <f>'תקציב אגף שאיפה  2021 '!L15</f>
        <v>160878</v>
      </c>
      <c r="M15" s="4">
        <f>'תקציב אגף שאיפה  2021 '!M15</f>
        <v>122</v>
      </c>
      <c r="N15" s="4">
        <f>'תקציב אגף שאיפה  2021 '!N15</f>
        <v>0</v>
      </c>
      <c r="O15" s="4">
        <f>'תקציב אגף שאיפה  2021 '!O15</f>
        <v>9000</v>
      </c>
      <c r="P15" s="4">
        <f>'תקציב אגף שאיפה  2021 '!P15</f>
        <v>9122</v>
      </c>
      <c r="Q15" s="4">
        <f>'תקציב אגף שאיפה  2021 '!Q15</f>
        <v>0</v>
      </c>
      <c r="R15" s="4">
        <f>'תקציב אגף שאיפה  2021 '!R15</f>
        <v>0</v>
      </c>
      <c r="S15" s="4">
        <f>'תקציב אגף שאיפה  2021 '!S15</f>
        <v>0</v>
      </c>
      <c r="T15" s="4">
        <f>'תקציב אגף שאיפה  2021 '!T15</f>
        <v>9000</v>
      </c>
      <c r="U15" s="4">
        <f>'תקציב אגף שאיפה  2021 '!U15</f>
        <v>-9000</v>
      </c>
      <c r="V15" s="4">
        <f>'תקציב אגף שאיפה  2021 '!V15</f>
        <v>-9000</v>
      </c>
      <c r="W15" s="4">
        <f>'תקציב אגף שאיפה  2021 '!W15</f>
        <v>0</v>
      </c>
      <c r="X15" s="4">
        <f>'תקציב אגף שאיפה  2021 '!X15</f>
        <v>0</v>
      </c>
      <c r="Y15" s="4">
        <f>'תקציב אגף שאיפה  2021 '!Y15</f>
        <v>0</v>
      </c>
      <c r="Z15" s="4">
        <f>'תקציב אגף שאיפה  2021 '!Z15</f>
        <v>0</v>
      </c>
      <c r="AA15" s="4">
        <f>'תקציב אגף שאיפה  2021 '!AA15</f>
        <v>0</v>
      </c>
      <c r="AB15" s="280" t="str">
        <f>'תקציב אגף שאיפה  2021 '!AB15</f>
        <v>התב"ר לסגירה.</v>
      </c>
      <c r="AC15" s="3">
        <f>'תקציב אגף שאיפה  2021 '!AC15</f>
        <v>870000</v>
      </c>
      <c r="AD15" s="22"/>
      <c r="AE15" s="23"/>
      <c r="AF15" s="23"/>
      <c r="AG15" s="23"/>
      <c r="AH15" s="23"/>
    </row>
    <row r="16" spans="1:34" s="5" customFormat="1" ht="30" customHeight="1">
      <c r="A16" s="3">
        <f t="shared" si="0"/>
        <v>12</v>
      </c>
      <c r="B16" s="3">
        <f>'תקציב אגף שאיפה  2021 '!B16</f>
        <v>1598</v>
      </c>
      <c r="C16" s="280" t="str">
        <f>'תקציב אגף שאיפה  2021 '!C16</f>
        <v>הטמעת עקרונות הקיימות בחינוך</v>
      </c>
      <c r="D16" s="4">
        <f>'תקציב אגף שאיפה  2021 '!D16</f>
        <v>616500</v>
      </c>
      <c r="E16" s="4">
        <f>'תקציב אגף שאיפה  2021 '!E16</f>
        <v>724500</v>
      </c>
      <c r="F16" s="4">
        <f>'תקציב אגף שאיפה  2021 '!F16</f>
        <v>-108000</v>
      </c>
      <c r="G16" s="4">
        <f>'תקציב אגף שאיפה  2021 '!G16</f>
        <v>616500</v>
      </c>
      <c r="H16" s="4">
        <f>'תקציב אגף שאיפה  2021 '!H16</f>
        <v>454074</v>
      </c>
      <c r="I16" s="4">
        <f>'תקציב אגף שאיפה  2021 '!I16</f>
        <v>0</v>
      </c>
      <c r="J16" s="4">
        <f>'תקציב אגף שאיפה  2021 '!J16</f>
        <v>70325</v>
      </c>
      <c r="K16" s="4">
        <f>'תקציב אגף שאיפה  2021 '!K16</f>
        <v>70325</v>
      </c>
      <c r="L16" s="4">
        <f>'תקציב אגף שאיפה  2021 '!L16</f>
        <v>524399</v>
      </c>
      <c r="M16" s="4">
        <f>'תקציב אגף שאיפה  2021 '!M16</f>
        <v>92101</v>
      </c>
      <c r="N16" s="4">
        <f>'תקציב אגף שאיפה  2021 '!N16</f>
        <v>0</v>
      </c>
      <c r="O16" s="4">
        <f>'תקציב אגף שאיפה  2021 '!O16</f>
        <v>0</v>
      </c>
      <c r="P16" s="4">
        <f>'תקציב אגף שאיפה  2021 '!P16</f>
        <v>92101</v>
      </c>
      <c r="Q16" s="4">
        <f>'תקציב אגף שאיפה  2021 '!Q16</f>
        <v>0</v>
      </c>
      <c r="R16" s="4">
        <f>'תקציב אגף שאיפה  2021 '!R16</f>
        <v>0</v>
      </c>
      <c r="S16" s="4">
        <f>'תקציב אגף שאיפה  2021 '!S16</f>
        <v>0</v>
      </c>
      <c r="T16" s="4">
        <f>'תקציב אגף שאיפה  2021 '!T16</f>
        <v>0</v>
      </c>
      <c r="U16" s="4">
        <f>'תקציב אגף שאיפה  2021 '!U16</f>
        <v>0</v>
      </c>
      <c r="V16" s="4">
        <f>'תקציב אגף שאיפה  2021 '!V16</f>
        <v>0</v>
      </c>
      <c r="W16" s="4">
        <f>'תקציב אגף שאיפה  2021 '!W16</f>
        <v>0</v>
      </c>
      <c r="X16" s="4">
        <f>'תקציב אגף שאיפה  2021 '!X16</f>
        <v>0</v>
      </c>
      <c r="Y16" s="4">
        <f>'תקציב אגף שאיפה  2021 '!Y16</f>
        <v>0</v>
      </c>
      <c r="Z16" s="4">
        <f>'תקציב אגף שאיפה  2021 '!Z16</f>
        <v>0</v>
      </c>
      <c r="AA16" s="4">
        <f>'תקציב אגף שאיפה  2021 '!AA16</f>
        <v>0</v>
      </c>
      <c r="AB16" s="280" t="str">
        <f>'תקציב אגף שאיפה  2021 '!AB16</f>
        <v>חינוך לקיימות. קול קורא לשנים 2018-2020. מימון מ. להגנת הסביבה.</v>
      </c>
      <c r="AC16" s="3">
        <f>'תקציב אגף שאיפה  2021 '!AC16</f>
        <v>870000</v>
      </c>
      <c r="AD16" s="22"/>
      <c r="AE16" s="23"/>
      <c r="AF16" s="23"/>
      <c r="AG16" s="23"/>
      <c r="AH16" s="23"/>
    </row>
    <row r="17" spans="1:34" s="5" customFormat="1" ht="42">
      <c r="A17" s="3">
        <f t="shared" si="0"/>
        <v>13</v>
      </c>
      <c r="B17" s="3">
        <f>'תקציב אגף שאיפה  2021 '!B17</f>
        <v>1680</v>
      </c>
      <c r="C17" s="280" t="str">
        <f>'תקציב אגף שאיפה  2021 '!C17</f>
        <v>סקר עצים מסוכנים ברחבי העיר</v>
      </c>
      <c r="D17" s="4">
        <f>'תקציב אגף שאיפה  2021 '!D17</f>
        <v>2800000</v>
      </c>
      <c r="E17" s="4">
        <f>'תקציב אגף שאיפה  2021 '!E17</f>
        <v>950000</v>
      </c>
      <c r="F17" s="4">
        <f>'תקציב אגף שאיפה  2021 '!F17</f>
        <v>1850000</v>
      </c>
      <c r="G17" s="4">
        <f>'תקציב אגף שאיפה  2021 '!G17</f>
        <v>500000</v>
      </c>
      <c r="H17" s="4">
        <f>'תקציב אגף שאיפה  2021 '!H17</f>
        <v>427578</v>
      </c>
      <c r="I17" s="4">
        <f>'תקציב אגף שאיפה  2021 '!I17</f>
        <v>0</v>
      </c>
      <c r="J17" s="4">
        <f>'תקציב אגף שאיפה  2021 '!J17</f>
        <v>60790</v>
      </c>
      <c r="K17" s="4">
        <f>'תקציב אגף שאיפה  2021 '!K17</f>
        <v>60790</v>
      </c>
      <c r="L17" s="4">
        <f>'תקציב אגף שאיפה  2021 '!L17</f>
        <v>488368</v>
      </c>
      <c r="M17" s="4">
        <f>'תקציב אגף שאיפה  2021 '!M17</f>
        <v>11632</v>
      </c>
      <c r="N17" s="4">
        <f>'תקציב אגף שאיפה  2021 '!N17</f>
        <v>500000</v>
      </c>
      <c r="O17" s="4">
        <f>'תקציב אגף שאיפה  2021 '!O17</f>
        <v>1800000</v>
      </c>
      <c r="P17" s="4">
        <f>'תקציב אגף שאיפה  2021 '!P17</f>
        <v>11632</v>
      </c>
      <c r="Q17" s="4">
        <f>'תקציב אגף שאיפה  2021 '!Q17</f>
        <v>0</v>
      </c>
      <c r="R17" s="4">
        <f>'תקציב אגף שאיפה  2021 '!R17</f>
        <v>0</v>
      </c>
      <c r="S17" s="4">
        <f>'תקציב אגף שאיפה  2021 '!S17</f>
        <v>0</v>
      </c>
      <c r="T17" s="4">
        <f>'תקציב אגף שאיפה  2021 '!T17</f>
        <v>0</v>
      </c>
      <c r="U17" s="4">
        <f>'תקציב אגף שאיפה  2021 '!U17</f>
        <v>500000</v>
      </c>
      <c r="V17" s="4">
        <f>'תקציב אגף שאיפה  2021 '!V17</f>
        <v>0</v>
      </c>
      <c r="W17" s="4">
        <f>'תקציב אגף שאיפה  2021 '!W17</f>
        <v>500000</v>
      </c>
      <c r="X17" s="4">
        <f>'תקציב אגף שאיפה  2021 '!X17</f>
        <v>0</v>
      </c>
      <c r="Y17" s="4">
        <f>'תקציב אגף שאיפה  2021 '!Y17</f>
        <v>0</v>
      </c>
      <c r="Z17" s="4">
        <f>'תקציב אגף שאיפה  2021 '!Z17</f>
        <v>0</v>
      </c>
      <c r="AA17" s="4">
        <f>'תקציב אגף שאיפה  2021 '!AA17</f>
        <v>0</v>
      </c>
      <c r="AB17" s="280" t="str">
        <f>'תקציב אגף שאיפה  2021 '!AB17</f>
        <v xml:space="preserve">ביצוע סקר מקיף של כל העצים בעיר ע"י אגרונומים. זאת עפ"י דרישה מ. החקלאות עקב שינויי אקלים והזדקנות העצים במרחב הציבורי. </v>
      </c>
      <c r="AC17" s="3">
        <f>'תקציב אגף שאיפה  2021 '!AC17</f>
        <v>746000</v>
      </c>
      <c r="AD17" s="166"/>
      <c r="AE17" s="22"/>
      <c r="AF17" s="23"/>
      <c r="AG17" s="23"/>
      <c r="AH17" s="23"/>
    </row>
    <row r="18" spans="1:34" s="5" customFormat="1" ht="30" customHeight="1">
      <c r="A18" s="3">
        <f t="shared" si="0"/>
        <v>14</v>
      </c>
      <c r="B18" s="3">
        <f>'תקציב אגף שאיפה  2021 '!B18</f>
        <v>1817</v>
      </c>
      <c r="C18" s="280" t="str">
        <f>'תקציב אגף שאיפה  2021 '!C18</f>
        <v>הקמת גינות בי"ס קהילתיות</v>
      </c>
      <c r="D18" s="4">
        <f>'תקציב אגף שאיפה  2021 '!D18</f>
        <v>872000</v>
      </c>
      <c r="E18" s="4">
        <f>'תקציב אגף שאיפה  2021 '!E18</f>
        <v>872000</v>
      </c>
      <c r="F18" s="4">
        <f>'תקציב אגף שאיפה  2021 '!F18</f>
        <v>0</v>
      </c>
      <c r="G18" s="4">
        <f>'תקציב אגף שאיפה  2021 '!G18</f>
        <v>790000</v>
      </c>
      <c r="H18" s="4">
        <f>'תקציב אגף שאיפה  2021 '!H18</f>
        <v>634858</v>
      </c>
      <c r="I18" s="4">
        <f>'תקציב אגף שאיפה  2021 '!I18</f>
        <v>0</v>
      </c>
      <c r="J18" s="4">
        <f>'תקציב אגף שאיפה  2021 '!J18</f>
        <v>39400</v>
      </c>
      <c r="K18" s="4">
        <f>'תקציב אגף שאיפה  2021 '!K18</f>
        <v>39400</v>
      </c>
      <c r="L18" s="4">
        <f>'תקציב אגף שאיפה  2021 '!L18</f>
        <v>674258</v>
      </c>
      <c r="M18" s="4">
        <f>'תקציב אגף שאיפה  2021 '!M18</f>
        <v>15742</v>
      </c>
      <c r="N18" s="4">
        <f>'תקציב אגף שאיפה  2021 '!N18</f>
        <v>182000</v>
      </c>
      <c r="O18" s="4">
        <f>'תקציב אגף שאיפה  2021 '!O18</f>
        <v>0</v>
      </c>
      <c r="P18" s="4">
        <f>'תקציב אגף שאיפה  2021 '!P18</f>
        <v>115742</v>
      </c>
      <c r="Q18" s="4">
        <f>'תקציב אגף שאיפה  2021 '!Q18</f>
        <v>0</v>
      </c>
      <c r="R18" s="4">
        <f>'תקציב אגף שאיפה  2021 '!R18</f>
        <v>0</v>
      </c>
      <c r="S18" s="4">
        <f>'תקציב אגף שאיפה  2021 '!S18</f>
        <v>0</v>
      </c>
      <c r="T18" s="4">
        <f>'תקציב אגף שאיפה  2021 '!T18</f>
        <v>100000</v>
      </c>
      <c r="U18" s="4">
        <f>'תקציב אגף שאיפה  2021 '!U18</f>
        <v>82000</v>
      </c>
      <c r="V18" s="4">
        <f>'תקציב אגף שאיפה  2021 '!V18</f>
        <v>0</v>
      </c>
      <c r="W18" s="4">
        <f>'תקציב אגף שאיפה  2021 '!W18</f>
        <v>0</v>
      </c>
      <c r="X18" s="4">
        <f>'תקציב אגף שאיפה  2021 '!X18</f>
        <v>0</v>
      </c>
      <c r="Y18" s="4">
        <f>'תקציב אגף שאיפה  2021 '!Y18</f>
        <v>0</v>
      </c>
      <c r="Z18" s="4">
        <f>'תקציב אגף שאיפה  2021 '!Z18</f>
        <v>0</v>
      </c>
      <c r="AA18" s="4">
        <f>'תקציב אגף שאיפה  2021 '!AA18</f>
        <v>82000</v>
      </c>
      <c r="AB18" s="280" t="str">
        <f>'תקציב אגף שאיפה  2021 '!AB18</f>
        <v>הקמת גינות קהילתיות בית ספריות. מימון קרן הועדה החקלאית.</v>
      </c>
      <c r="AC18" s="3">
        <f>'תקציב אגף שאיפה  2021 '!AC18</f>
        <v>810000</v>
      </c>
      <c r="AD18" s="22"/>
      <c r="AE18" s="23"/>
      <c r="AF18" s="23"/>
      <c r="AG18" s="23"/>
      <c r="AH18" s="23"/>
    </row>
    <row r="19" spans="1:34" s="5" customFormat="1" ht="30" customHeight="1">
      <c r="A19" s="3">
        <f t="shared" si="0"/>
        <v>15</v>
      </c>
      <c r="B19" s="3">
        <f>'תקציב אגף שאיפה  2021 '!B19</f>
        <v>1831</v>
      </c>
      <c r="C19" s="280" t="str">
        <f>'תקציב אגף שאיפה  2021 '!C19</f>
        <v>פרויקטים סביבתיים</v>
      </c>
      <c r="D19" s="4">
        <f>'תקציב אגף שאיפה  2021 '!D19</f>
        <v>146059</v>
      </c>
      <c r="E19" s="4">
        <f>'תקציב אגף שאיפה  2021 '!E19</f>
        <v>146059</v>
      </c>
      <c r="F19" s="4">
        <f>'תקציב אגף שאיפה  2021 '!F19</f>
        <v>0</v>
      </c>
      <c r="G19" s="4">
        <f>'תקציב אגף שאיפה  2021 '!G19</f>
        <v>146059</v>
      </c>
      <c r="H19" s="4">
        <f>'תקציב אגף שאיפה  2021 '!H19</f>
        <v>38025</v>
      </c>
      <c r="I19" s="4">
        <f>'תקציב אגף שאיפה  2021 '!I19</f>
        <v>0</v>
      </c>
      <c r="J19" s="4">
        <f>'תקציב אגף שאיפה  2021 '!J19</f>
        <v>0</v>
      </c>
      <c r="K19" s="4">
        <f>'תקציב אגף שאיפה  2021 '!K19</f>
        <v>0</v>
      </c>
      <c r="L19" s="4">
        <f>'תקציב אגף שאיפה  2021 '!L19</f>
        <v>38025</v>
      </c>
      <c r="M19" s="4">
        <f>'תקציב אגף שאיפה  2021 '!M19</f>
        <v>108034</v>
      </c>
      <c r="N19" s="4">
        <f>'תקציב אגף שאיפה  2021 '!N19</f>
        <v>0</v>
      </c>
      <c r="O19" s="4">
        <f>'תקציב אגף שאיפה  2021 '!O19</f>
        <v>0</v>
      </c>
      <c r="P19" s="4">
        <f>'תקציב אגף שאיפה  2021 '!P19</f>
        <v>108034</v>
      </c>
      <c r="Q19" s="4">
        <f>'תקציב אגף שאיפה  2021 '!Q19</f>
        <v>0</v>
      </c>
      <c r="R19" s="4">
        <f>'תקציב אגף שאיפה  2021 '!R19</f>
        <v>0</v>
      </c>
      <c r="S19" s="4">
        <f>'תקציב אגף שאיפה  2021 '!S19</f>
        <v>0</v>
      </c>
      <c r="T19" s="4">
        <f>'תקציב אגף שאיפה  2021 '!T19</f>
        <v>0</v>
      </c>
      <c r="U19" s="4">
        <f>'תקציב אגף שאיפה  2021 '!U19</f>
        <v>0</v>
      </c>
      <c r="V19" s="4">
        <f>'תקציב אגף שאיפה  2021 '!V19</f>
        <v>0</v>
      </c>
      <c r="W19" s="4">
        <f>'תקציב אגף שאיפה  2021 '!W19</f>
        <v>0</v>
      </c>
      <c r="X19" s="4">
        <f>'תקציב אגף שאיפה  2021 '!X19</f>
        <v>0</v>
      </c>
      <c r="Y19" s="4">
        <f>'תקציב אגף שאיפה  2021 '!Y19</f>
        <v>0</v>
      </c>
      <c r="Z19" s="4">
        <f>'תקציב אגף שאיפה  2021 '!Z19</f>
        <v>0</v>
      </c>
      <c r="AA19" s="4">
        <f>'תקציב אגף שאיפה  2021 '!AA19</f>
        <v>0</v>
      </c>
      <c r="AB19" s="280" t="str">
        <f>'תקציב אגף שאיפה  2021 '!AB19</f>
        <v>פרויקטים סביבתתים לשיפור איכות הסביבה. מימון מלא מ. להגנת הסביבה.</v>
      </c>
      <c r="AC19" s="3">
        <f>'תקציב אגף שאיפה  2021 '!AC19</f>
        <v>870000</v>
      </c>
      <c r="AD19" s="22"/>
      <c r="AE19" s="23"/>
      <c r="AF19" s="23"/>
      <c r="AG19" s="23"/>
      <c r="AH19" s="23"/>
    </row>
    <row r="20" spans="1:34" s="5" customFormat="1" ht="42">
      <c r="A20" s="3">
        <f t="shared" si="0"/>
        <v>16</v>
      </c>
      <c r="B20" s="3">
        <f>'תקציב אגף שאיפה  2021 '!B20</f>
        <v>1866</v>
      </c>
      <c r="C20" s="280" t="str">
        <f>'תקציב אגף שאיפה  2021 '!C20</f>
        <v>פרויקט "הרצליה נקיה מאסבסט"</v>
      </c>
      <c r="D20" s="4">
        <f>'תקציב אגף שאיפה  2021 '!D20</f>
        <v>205000</v>
      </c>
      <c r="E20" s="4">
        <f>'תקציב אגף שאיפה  2021 '!E20</f>
        <v>300000</v>
      </c>
      <c r="F20" s="4">
        <f>'תקציב אגף שאיפה  2021 '!F20</f>
        <v>-95000</v>
      </c>
      <c r="G20" s="4">
        <f>'תקציב אגף שאיפה  2021 '!G20</f>
        <v>205000</v>
      </c>
      <c r="H20" s="4">
        <f>'תקציב אגף שאיפה  2021 '!H20</f>
        <v>191823</v>
      </c>
      <c r="I20" s="4">
        <f>'תקציב אגף שאיפה  2021 '!I20</f>
        <v>0</v>
      </c>
      <c r="J20" s="4">
        <f>'תקציב אגף שאיפה  2021 '!J20</f>
        <v>12586</v>
      </c>
      <c r="K20" s="4">
        <f>'תקציב אגף שאיפה  2021 '!K20</f>
        <v>12586</v>
      </c>
      <c r="L20" s="4">
        <f>'תקציב אגף שאיפה  2021 '!L20</f>
        <v>204409</v>
      </c>
      <c r="M20" s="4">
        <f>'תקציב אגף שאיפה  2021 '!M20</f>
        <v>591</v>
      </c>
      <c r="N20" s="4">
        <f>'תקציב אגף שאיפה  2021 '!N20</f>
        <v>0</v>
      </c>
      <c r="O20" s="4">
        <f>'תקציב אגף שאיפה  2021 '!O20</f>
        <v>0</v>
      </c>
      <c r="P20" s="4">
        <f>'תקציב אגף שאיפה  2021 '!P20</f>
        <v>591</v>
      </c>
      <c r="Q20" s="4">
        <f>'תקציב אגף שאיפה  2021 '!Q20</f>
        <v>0</v>
      </c>
      <c r="R20" s="4">
        <f>'תקציב אגף שאיפה  2021 '!R20</f>
        <v>0</v>
      </c>
      <c r="S20" s="4">
        <f>'תקציב אגף שאיפה  2021 '!S20</f>
        <v>0</v>
      </c>
      <c r="T20" s="4">
        <f>'תקציב אגף שאיפה  2021 '!T20</f>
        <v>0</v>
      </c>
      <c r="U20" s="4">
        <f>'תקציב אגף שאיפה  2021 '!U20</f>
        <v>0</v>
      </c>
      <c r="V20" s="4">
        <f>'תקציב אגף שאיפה  2021 '!V20</f>
        <v>0</v>
      </c>
      <c r="W20" s="4">
        <f>'תקציב אגף שאיפה  2021 '!W20</f>
        <v>0</v>
      </c>
      <c r="X20" s="4">
        <f>'תקציב אגף שאיפה  2021 '!X20</f>
        <v>0</v>
      </c>
      <c r="Y20" s="4">
        <f>'תקציב אגף שאיפה  2021 '!Y20</f>
        <v>0</v>
      </c>
      <c r="Z20" s="4">
        <f>'תקציב אגף שאיפה  2021 '!Z20</f>
        <v>0</v>
      </c>
      <c r="AA20" s="4">
        <f>'תקציב אגף שאיפה  2021 '!AA20</f>
        <v>0</v>
      </c>
      <c r="AB20" s="280" t="str">
        <f>'תקציב אגף שאיפה  2021 '!AB20</f>
        <v>הסרת גגות אסבסט ממבנים בעיר וסיוע לתושבים לאיסוף אסבסט בהיקפים קטנים. יהיה במסגרת תב"ר 1435.</v>
      </c>
      <c r="AC20" s="3">
        <f>'תקציב אגף שאיפה  2021 '!AC20</f>
        <v>870000</v>
      </c>
      <c r="AD20" s="22"/>
      <c r="AE20" s="23"/>
      <c r="AF20" s="23"/>
      <c r="AG20" s="23"/>
      <c r="AH20" s="23"/>
    </row>
    <row r="21" spans="1:34" s="5" customFormat="1" ht="30" customHeight="1">
      <c r="A21" s="3">
        <f t="shared" si="0"/>
        <v>17</v>
      </c>
      <c r="B21" s="3">
        <f>'תקציב אגף שאיפה  2021 '!B21</f>
        <v>1899</v>
      </c>
      <c r="C21" s="280" t="str">
        <f>'תקציב אגף שאיפה  2021 '!C21</f>
        <v>רכישת מיכלי אצירה לפסולת ומיחזור</v>
      </c>
      <c r="D21" s="4">
        <f>'תקציב אגף שאיפה  2021 '!D21</f>
        <v>1270000</v>
      </c>
      <c r="E21" s="4">
        <f>'תקציב אגף שאיפה  2021 '!E21</f>
        <v>770000</v>
      </c>
      <c r="F21" s="4">
        <f>'תקציב אגף שאיפה  2021 '!F21</f>
        <v>500000</v>
      </c>
      <c r="G21" s="4">
        <f>'תקציב אגף שאיפה  2021 '!G21</f>
        <v>470000</v>
      </c>
      <c r="H21" s="4">
        <f>'תקציב אגף שאיפה  2021 '!H21</f>
        <v>269380</v>
      </c>
      <c r="I21" s="4">
        <f>'תקציב אגף שאיפה  2021 '!I21</f>
        <v>0</v>
      </c>
      <c r="J21" s="4">
        <f>'תקציב אגף שאיפה  2021 '!J21</f>
        <v>64263</v>
      </c>
      <c r="K21" s="4">
        <f>'תקציב אגף שאיפה  2021 '!K21</f>
        <v>64263</v>
      </c>
      <c r="L21" s="4">
        <f>'תקציב אגף שאיפה  2021 '!L21</f>
        <v>333643</v>
      </c>
      <c r="M21" s="4">
        <f>'תקציב אגף שאיפה  2021 '!M21</f>
        <v>136357</v>
      </c>
      <c r="N21" s="4">
        <f>'תקציב אגף שאיפה  2021 '!N21</f>
        <v>200000</v>
      </c>
      <c r="O21" s="4">
        <f>'תקציב אגף שאיפה  2021 '!O21</f>
        <v>600000</v>
      </c>
      <c r="P21" s="4">
        <f>'תקציב אגף שאיפה  2021 '!P21</f>
        <v>136357</v>
      </c>
      <c r="Q21" s="4">
        <f>'תקציב אגף שאיפה  2021 '!Q21</f>
        <v>0</v>
      </c>
      <c r="R21" s="4">
        <f>'תקציב אגף שאיפה  2021 '!R21</f>
        <v>0</v>
      </c>
      <c r="S21" s="4">
        <f>'תקציב אגף שאיפה  2021 '!S21</f>
        <v>0</v>
      </c>
      <c r="T21" s="4">
        <f>'תקציב אגף שאיפה  2021 '!T21</f>
        <v>0</v>
      </c>
      <c r="U21" s="4">
        <f>'תקציב אגף שאיפה  2021 '!U21</f>
        <v>200000</v>
      </c>
      <c r="V21" s="4">
        <f>'תקציב אגף שאיפה  2021 '!V21</f>
        <v>0</v>
      </c>
      <c r="W21" s="4">
        <f>'תקציב אגף שאיפה  2021 '!W21</f>
        <v>200000</v>
      </c>
      <c r="X21" s="4">
        <f>'תקציב אגף שאיפה  2021 '!X21</f>
        <v>0</v>
      </c>
      <c r="Y21" s="4">
        <f>'תקציב אגף שאיפה  2021 '!Y21</f>
        <v>0</v>
      </c>
      <c r="Z21" s="4">
        <f>'תקציב אגף שאיפה  2021 '!Z21</f>
        <v>0</v>
      </c>
      <c r="AA21" s="4">
        <f>'תקציב אגף שאיפה  2021 '!AA21</f>
        <v>0</v>
      </c>
      <c r="AB21" s="280" t="str">
        <f>'תקציב אגף שאיפה  2021 '!AB21</f>
        <v>רכישת מיכלי אצירה מפלסטיק ומתכת לפסולת ומיחזור.</v>
      </c>
      <c r="AC21" s="3">
        <f>'תקציב אגף שאיפה  2021 '!AC21</f>
        <v>870000</v>
      </c>
      <c r="AD21" s="166"/>
      <c r="AE21" s="22"/>
      <c r="AF21" s="23"/>
      <c r="AG21" s="23"/>
      <c r="AH21" s="23"/>
    </row>
    <row r="22" spans="1:34" s="5" customFormat="1" ht="30" customHeight="1">
      <c r="A22" s="3">
        <f t="shared" si="0"/>
        <v>18</v>
      </c>
      <c r="B22" s="3">
        <f>'תקציב אגף שאיפה  2021 '!B22</f>
        <v>1922</v>
      </c>
      <c r="C22" s="280" t="str">
        <f>'תקציב אגף שאיפה  2021 '!C22</f>
        <v>תוכנית שיווק והפרדת פסולת</v>
      </c>
      <c r="D22" s="4">
        <f>'תקציב אגף שאיפה  2021 '!D22</f>
        <v>330000</v>
      </c>
      <c r="E22" s="4">
        <f>'תקציב אגף שאיפה  2021 '!E22</f>
        <v>330000</v>
      </c>
      <c r="F22" s="4">
        <f>'תקציב אגף שאיפה  2021 '!F22</f>
        <v>0</v>
      </c>
      <c r="G22" s="4">
        <f>'תקציב אגף שאיפה  2021 '!G22</f>
        <v>200000</v>
      </c>
      <c r="H22" s="4">
        <f>'תקציב אגף שאיפה  2021 '!H22</f>
        <v>54652</v>
      </c>
      <c r="I22" s="4">
        <f>'תקציב אגף שאיפה  2021 '!I22</f>
        <v>0</v>
      </c>
      <c r="J22" s="4">
        <f>'תקציב אגף שאיפה  2021 '!J22</f>
        <v>3744</v>
      </c>
      <c r="K22" s="4">
        <f>'תקציב אגף שאיפה  2021 '!K22</f>
        <v>3744</v>
      </c>
      <c r="L22" s="4">
        <f>'תקציב אגף שאיפה  2021 '!L22</f>
        <v>58396</v>
      </c>
      <c r="M22" s="4">
        <f>'תקציב אגף שאיפה  2021 '!M22</f>
        <v>41604</v>
      </c>
      <c r="N22" s="4">
        <f>'תקציב אגף שאיפה  2021 '!N22</f>
        <v>100000</v>
      </c>
      <c r="O22" s="4">
        <f>'תקציב אגף שאיפה  2021 '!O22</f>
        <v>130000</v>
      </c>
      <c r="P22" s="4">
        <f>'תקציב אגף שאיפה  2021 '!P22</f>
        <v>141604</v>
      </c>
      <c r="Q22" s="4">
        <f>'תקציב אגף שאיפה  2021 '!Q22</f>
        <v>0</v>
      </c>
      <c r="R22" s="4">
        <f>'תקציב אגף שאיפה  2021 '!R22</f>
        <v>0</v>
      </c>
      <c r="S22" s="4">
        <f>'תקציב אגף שאיפה  2021 '!S22</f>
        <v>0</v>
      </c>
      <c r="T22" s="4">
        <f>'תקציב אגף שאיפה  2021 '!T22</f>
        <v>100000</v>
      </c>
      <c r="U22" s="4">
        <f>'תקציב אגף שאיפה  2021 '!U22</f>
        <v>0</v>
      </c>
      <c r="V22" s="4">
        <f>'תקציב אגף שאיפה  2021 '!V22</f>
        <v>0</v>
      </c>
      <c r="W22" s="4">
        <f>'תקציב אגף שאיפה  2021 '!W22</f>
        <v>0</v>
      </c>
      <c r="X22" s="4">
        <f>'תקציב אגף שאיפה  2021 '!X22</f>
        <v>0</v>
      </c>
      <c r="Y22" s="4">
        <f>'תקציב אגף שאיפה  2021 '!Y22</f>
        <v>0</v>
      </c>
      <c r="Z22" s="4">
        <f>'תקציב אגף שאיפה  2021 '!Z22</f>
        <v>0</v>
      </c>
      <c r="AA22" s="4">
        <f>'תקציב אגף שאיפה  2021 '!AA22</f>
        <v>0</v>
      </c>
      <c r="AB22" s="280">
        <f>'תקציב אגף שאיפה  2021 '!AB22</f>
        <v>0</v>
      </c>
      <c r="AC22" s="3">
        <f>'תקציב אגף שאיפה  2021 '!AC22</f>
        <v>870000</v>
      </c>
      <c r="AD22" s="22"/>
      <c r="AE22" s="23"/>
      <c r="AF22" s="23"/>
      <c r="AG22" s="23"/>
      <c r="AH22" s="23"/>
    </row>
    <row r="23" spans="1:34" s="5" customFormat="1" ht="42">
      <c r="A23" s="3">
        <f t="shared" si="0"/>
        <v>19</v>
      </c>
      <c r="B23" s="3">
        <f>'תקציב אגף שאיפה  2021 '!B23</f>
        <v>1973</v>
      </c>
      <c r="C23" s="280" t="str">
        <f>'תקציב אגף שאיפה  2021 '!C23</f>
        <v>שילוט ברחבי העיר</v>
      </c>
      <c r="D23" s="4">
        <f>'תקציב אגף שאיפה  2021 '!D23</f>
        <v>2500000</v>
      </c>
      <c r="E23" s="4">
        <f>'תקציב אגף שאיפה  2021 '!E23</f>
        <v>1800000</v>
      </c>
      <c r="F23" s="4">
        <f>'תקציב אגף שאיפה  2021 '!F23</f>
        <v>700000</v>
      </c>
      <c r="G23" s="4">
        <f>'תקציב אגף שאיפה  2021 '!G23</f>
        <v>900000</v>
      </c>
      <c r="H23" s="4">
        <f>'תקציב אגף שאיפה  2021 '!H23</f>
        <v>586058</v>
      </c>
      <c r="I23" s="4">
        <f>'תקציב אגף שאיפה  2021 '!I23</f>
        <v>0</v>
      </c>
      <c r="J23" s="4">
        <f>'תקציב אגף שאיפה  2021 '!J23</f>
        <v>313346</v>
      </c>
      <c r="K23" s="4">
        <f>'תקציב אגף שאיפה  2021 '!K23</f>
        <v>313346</v>
      </c>
      <c r="L23" s="4">
        <f>'תקציב אגף שאיפה  2021 '!L23</f>
        <v>899404</v>
      </c>
      <c r="M23" s="4">
        <f>'תקציב אגף שאיפה  2021 '!M23</f>
        <v>596</v>
      </c>
      <c r="N23" s="4">
        <f>'תקציב אגף שאיפה  2021 '!N23</f>
        <v>250000</v>
      </c>
      <c r="O23" s="4">
        <f>'תקציב אגף שאיפה  2021 '!O23</f>
        <v>1350000</v>
      </c>
      <c r="P23" s="4">
        <f>'תקציב אגף שאיפה  2021 '!P23</f>
        <v>596</v>
      </c>
      <c r="Q23" s="4">
        <f>'תקציב אגף שאיפה  2021 '!Q23</f>
        <v>0</v>
      </c>
      <c r="R23" s="4">
        <f>'תקציב אגף שאיפה  2021 '!R23</f>
        <v>0</v>
      </c>
      <c r="S23" s="4">
        <f>'תקציב אגף שאיפה  2021 '!S23</f>
        <v>0</v>
      </c>
      <c r="T23" s="4">
        <f>'תקציב אגף שאיפה  2021 '!T23</f>
        <v>0</v>
      </c>
      <c r="U23" s="4">
        <f>'תקציב אגף שאיפה  2021 '!U23</f>
        <v>250000</v>
      </c>
      <c r="V23" s="4">
        <f>'תקציב אגף שאיפה  2021 '!V23</f>
        <v>0</v>
      </c>
      <c r="W23" s="4">
        <f>'תקציב אגף שאיפה  2021 '!W23</f>
        <v>250000</v>
      </c>
      <c r="X23" s="4">
        <f>'תקציב אגף שאיפה  2021 '!X23</f>
        <v>0</v>
      </c>
      <c r="Y23" s="4">
        <f>'תקציב אגף שאיפה  2021 '!Y23</f>
        <v>0</v>
      </c>
      <c r="Z23" s="4">
        <f>'תקציב אגף שאיפה  2021 '!Z23</f>
        <v>0</v>
      </c>
      <c r="AA23" s="4">
        <f>'תקציב אגף שאיפה  2021 '!AA23</f>
        <v>0</v>
      </c>
      <c r="AB23" s="280" t="str">
        <f>'תקציב אגף שאיפה  2021 '!AB23</f>
        <v>תוכנית אב לשילוט של כל סוגי השילוט בעיר בשלב 1 הרצליה הירוקה ,החלפת שלטים לשלטים מחזירי אור ברחבי העיר .</v>
      </c>
      <c r="AC23" s="3">
        <f>'תקציב אגף שאיפה  2021 '!AC23</f>
        <v>742000</v>
      </c>
      <c r="AD23" s="166"/>
      <c r="AE23" s="22"/>
      <c r="AF23" s="23"/>
      <c r="AG23" s="23"/>
      <c r="AH23" s="23"/>
    </row>
    <row r="24" spans="1:34" s="5" customFormat="1" ht="56">
      <c r="A24" s="3">
        <f t="shared" si="0"/>
        <v>20</v>
      </c>
      <c r="B24" s="3">
        <f>'תקציב אגף שאיפה  2021 '!B24</f>
        <v>1989</v>
      </c>
      <c r="C24" s="280" t="str">
        <f>'תקציב אגף שאיפה  2021 '!C24</f>
        <v>פיתוח נופי דרך ירושלים כביש 531</v>
      </c>
      <c r="D24" s="4">
        <f>'תקציב אגף שאיפה  2021 '!D24</f>
        <v>1070000</v>
      </c>
      <c r="E24" s="4">
        <f>'תקציב אגף שאיפה  2021 '!E24</f>
        <v>860000</v>
      </c>
      <c r="F24" s="4">
        <f>'תקציב אגף שאיפה  2021 '!F24</f>
        <v>210000</v>
      </c>
      <c r="G24" s="4">
        <f>'תקציב אגף שאיפה  2021 '!G24</f>
        <v>570000</v>
      </c>
      <c r="H24" s="4">
        <f>'תקציב אגף שאיפה  2021 '!H24</f>
        <v>542461</v>
      </c>
      <c r="I24" s="4">
        <f>'תקציב אגף שאיפה  2021 '!I24</f>
        <v>0</v>
      </c>
      <c r="J24" s="4">
        <f>'תקציב אגף שאיפה  2021 '!J24</f>
        <v>26086</v>
      </c>
      <c r="K24" s="4">
        <f>'תקציב אגף שאיפה  2021 '!K24</f>
        <v>26086</v>
      </c>
      <c r="L24" s="4">
        <f>'תקציב אגף שאיפה  2021 '!L24</f>
        <v>568547</v>
      </c>
      <c r="M24" s="4">
        <f>'תקציב אגף שאיפה  2021 '!M24</f>
        <v>1453</v>
      </c>
      <c r="N24" s="4">
        <f>'תקציב אגף שאיפה  2021 '!N24</f>
        <v>0</v>
      </c>
      <c r="O24" s="4">
        <f>'תקציב אגף שאיפה  2021 '!O24</f>
        <v>500000</v>
      </c>
      <c r="P24" s="4">
        <f>'תקציב אגף שאיפה  2021 '!P24</f>
        <v>1453</v>
      </c>
      <c r="Q24" s="4">
        <f>'תקציב אגף שאיפה  2021 '!Q24</f>
        <v>0</v>
      </c>
      <c r="R24" s="4">
        <f>'תקציב אגף שאיפה  2021 '!R24</f>
        <v>0</v>
      </c>
      <c r="S24" s="4">
        <f>'תקציב אגף שאיפה  2021 '!S24</f>
        <v>0</v>
      </c>
      <c r="T24" s="4">
        <f>'תקציב אגף שאיפה  2021 '!T24</f>
        <v>0</v>
      </c>
      <c r="U24" s="4">
        <f>'תקציב אגף שאיפה  2021 '!U24</f>
        <v>0</v>
      </c>
      <c r="V24" s="4">
        <f>'תקציב אגף שאיפה  2021 '!V24</f>
        <v>0</v>
      </c>
      <c r="W24" s="4">
        <f>'תקציב אגף שאיפה  2021 '!W24</f>
        <v>0</v>
      </c>
      <c r="X24" s="4">
        <f>'תקציב אגף שאיפה  2021 '!X24</f>
        <v>0</v>
      </c>
      <c r="Y24" s="4">
        <f>'תקציב אגף שאיפה  2021 '!Y24</f>
        <v>0</v>
      </c>
      <c r="Z24" s="4">
        <f>'תקציב אגף שאיפה  2021 '!Z24</f>
        <v>0</v>
      </c>
      <c r="AA24" s="4">
        <f>'תקציב אגף שאיפה  2021 '!AA24</f>
        <v>0</v>
      </c>
      <c r="AB24" s="280" t="str">
        <f>'תקציב אגף שאיפה  2021 '!AB24</f>
        <v>עבודות פיתוח השטח בין שכונת יד התשעה לקיר האקוסטי של כביש 531, כולל פיתוח השצ"פ. (שטח שהסתיימו בו עבודות הרכבת הקלה).</v>
      </c>
      <c r="AC24" s="3">
        <f>'תקציב אגף שאיפה  2021 '!AC24</f>
        <v>746000</v>
      </c>
      <c r="AD24" s="166"/>
      <c r="AE24" s="22"/>
      <c r="AF24" s="23"/>
      <c r="AG24" s="23"/>
      <c r="AH24" s="23"/>
    </row>
    <row r="25" spans="1:34" s="5" customFormat="1" ht="30" customHeight="1">
      <c r="A25" s="3">
        <f t="shared" si="0"/>
        <v>21</v>
      </c>
      <c r="B25" s="3">
        <f>'תקציב אגף שאיפה  2021 '!B25</f>
        <v>2035</v>
      </c>
      <c r="C25" s="280" t="str">
        <f>'תקציב אגף שאיפה  2021 '!C25</f>
        <v>שדרוג גן שלווה</v>
      </c>
      <c r="D25" s="4">
        <f>'תקציב אגף שאיפה  2021 '!D25</f>
        <v>763000</v>
      </c>
      <c r="E25" s="4">
        <f>'תקציב אגף שאיפה  2021 '!E25</f>
        <v>953000</v>
      </c>
      <c r="F25" s="4">
        <f>'תקציב אגף שאיפה  2021 '!F25</f>
        <v>-190000</v>
      </c>
      <c r="G25" s="4">
        <f>'תקציב אגף שאיפה  2021 '!G25</f>
        <v>763000</v>
      </c>
      <c r="H25" s="4">
        <f>'תקציב אגף שאיפה  2021 '!H25</f>
        <v>738785</v>
      </c>
      <c r="I25" s="4">
        <f>'תקציב אגף שאיפה  2021 '!I25</f>
        <v>0</v>
      </c>
      <c r="J25" s="4">
        <f>'תקציב אגף שאיפה  2021 '!J25</f>
        <v>15714</v>
      </c>
      <c r="K25" s="4">
        <f>'תקציב אגף שאיפה  2021 '!K25</f>
        <v>15714</v>
      </c>
      <c r="L25" s="4">
        <f>'תקציב אגף שאיפה  2021 '!L25</f>
        <v>754499</v>
      </c>
      <c r="M25" s="4">
        <f>'תקציב אגף שאיפה  2021 '!M25</f>
        <v>501</v>
      </c>
      <c r="N25" s="4">
        <f>'תקציב אגף שאיפה  2021 '!N25</f>
        <v>0</v>
      </c>
      <c r="O25" s="4">
        <f>'תקציב אגף שאיפה  2021 '!O25</f>
        <v>8000</v>
      </c>
      <c r="P25" s="4">
        <f>'תקציב אגף שאיפה  2021 '!P25</f>
        <v>8501</v>
      </c>
      <c r="Q25" s="4">
        <f>'תקציב אגף שאיפה  2021 '!Q25</f>
        <v>0</v>
      </c>
      <c r="R25" s="4">
        <f>'תקציב אגף שאיפה  2021 '!R25</f>
        <v>0</v>
      </c>
      <c r="S25" s="4">
        <f>'תקציב אגף שאיפה  2021 '!S25</f>
        <v>0</v>
      </c>
      <c r="T25" s="4">
        <f>'תקציב אגף שאיפה  2021 '!T25</f>
        <v>8000</v>
      </c>
      <c r="U25" s="4">
        <f>'תקציב אגף שאיפה  2021 '!U25</f>
        <v>-8000</v>
      </c>
      <c r="V25" s="4">
        <f>'תקציב אגף שאיפה  2021 '!V25</f>
        <v>-8000</v>
      </c>
      <c r="W25" s="4">
        <f>'תקציב אגף שאיפה  2021 '!W25</f>
        <v>0</v>
      </c>
      <c r="X25" s="4">
        <f>'תקציב אגף שאיפה  2021 '!X25</f>
        <v>0</v>
      </c>
      <c r="Y25" s="4">
        <f>'תקציב אגף שאיפה  2021 '!Y25</f>
        <v>0</v>
      </c>
      <c r="Z25" s="4">
        <f>'תקציב אגף שאיפה  2021 '!Z25</f>
        <v>0</v>
      </c>
      <c r="AA25" s="4">
        <f>'תקציב אגף שאיפה  2021 '!AA25</f>
        <v>0</v>
      </c>
      <c r="AB25" s="280" t="str">
        <f>'תקציב אגף שאיפה  2021 '!AB25</f>
        <v>העבודות הסתיימו. ח-ן סופיים.</v>
      </c>
      <c r="AC25" s="3">
        <f>'תקציב אגף שאיפה  2021 '!AC25</f>
        <v>746000</v>
      </c>
      <c r="AD25" s="166"/>
      <c r="AE25" s="22"/>
      <c r="AF25" s="22"/>
      <c r="AG25" s="22"/>
      <c r="AH25" s="22"/>
    </row>
    <row r="26" spans="1:34" s="5" customFormat="1" ht="42">
      <c r="A26" s="3">
        <f t="shared" si="0"/>
        <v>22</v>
      </c>
      <c r="B26" s="3">
        <f>'תקציב אגף שאיפה  2021 '!B26</f>
        <v>2036</v>
      </c>
      <c r="C26" s="280" t="str">
        <f>'תקציב אגף שאיפה  2021 '!C26</f>
        <v>בי"ס אלון פיתוח חצר אחורית</v>
      </c>
      <c r="D26" s="4">
        <f>'תקציב אגף שאיפה  2021 '!D26</f>
        <v>1120000</v>
      </c>
      <c r="E26" s="4">
        <f>'תקציב אגף שאיפה  2021 '!E26</f>
        <v>1120000</v>
      </c>
      <c r="F26" s="4">
        <f>'תקציב אגף שאיפה  2021 '!F26</f>
        <v>0</v>
      </c>
      <c r="G26" s="4">
        <f>'תקציב אגף שאיפה  2021 '!G26</f>
        <v>1120000</v>
      </c>
      <c r="H26" s="4">
        <f>'תקציב אגף שאיפה  2021 '!H26</f>
        <v>549990</v>
      </c>
      <c r="I26" s="4">
        <f>'תקציב אגף שאיפה  2021 '!I26</f>
        <v>0</v>
      </c>
      <c r="J26" s="4">
        <f>'תקציב אגף שאיפה  2021 '!J26</f>
        <v>570000</v>
      </c>
      <c r="K26" s="4">
        <f>'תקציב אגף שאיפה  2021 '!K26</f>
        <v>570000</v>
      </c>
      <c r="L26" s="4">
        <f>'תקציב אגף שאיפה  2021 '!L26</f>
        <v>1119990</v>
      </c>
      <c r="M26" s="4">
        <f>'תקציב אגף שאיפה  2021 '!M26</f>
        <v>10</v>
      </c>
      <c r="N26" s="4">
        <f>'תקציב אגף שאיפה  2021 '!N26</f>
        <v>0</v>
      </c>
      <c r="O26" s="4">
        <f>'תקציב אגף שאיפה  2021 '!O26</f>
        <v>0</v>
      </c>
      <c r="P26" s="4">
        <f>'תקציב אגף שאיפה  2021 '!P26</f>
        <v>10</v>
      </c>
      <c r="Q26" s="4">
        <f>'תקציב אגף שאיפה  2021 '!Q26</f>
        <v>0</v>
      </c>
      <c r="R26" s="4">
        <f>'תקציב אגף שאיפה  2021 '!R26</f>
        <v>0</v>
      </c>
      <c r="S26" s="4">
        <f>'תקציב אגף שאיפה  2021 '!S26</f>
        <v>0</v>
      </c>
      <c r="T26" s="4">
        <f>'תקציב אגף שאיפה  2021 '!T26</f>
        <v>0</v>
      </c>
      <c r="U26" s="4">
        <f>'תקציב אגף שאיפה  2021 '!U26</f>
        <v>0</v>
      </c>
      <c r="V26" s="4">
        <f>'תקציב אגף שאיפה  2021 '!V26</f>
        <v>0</v>
      </c>
      <c r="W26" s="4">
        <f>'תקציב אגף שאיפה  2021 '!W26</f>
        <v>0</v>
      </c>
      <c r="X26" s="4">
        <f>'תקציב אגף שאיפה  2021 '!X26</f>
        <v>0</v>
      </c>
      <c r="Y26" s="4">
        <f>'תקציב אגף שאיפה  2021 '!Y26</f>
        <v>0</v>
      </c>
      <c r="Z26" s="4">
        <f>'תקציב אגף שאיפה  2021 '!Z26</f>
        <v>0</v>
      </c>
      <c r="AA26" s="4">
        <f>'תקציב אגף שאיפה  2021 '!AA26</f>
        <v>0</v>
      </c>
      <c r="AB26" s="280" t="str">
        <f>'תקציב אגף שאיפה  2021 '!AB26</f>
        <v>עבודות פיתוח ושדרוג החצר האחורית במתחם בי"ס אלון כולל הצללה. העבודות הסתיימו. ח-ן סופיים.</v>
      </c>
      <c r="AC26" s="3">
        <f>'תקציב אגף שאיפה  2021 '!AC26</f>
        <v>810000</v>
      </c>
      <c r="AD26" s="166"/>
      <c r="AE26" s="22"/>
      <c r="AF26" s="22"/>
      <c r="AG26" s="22"/>
      <c r="AH26" s="22"/>
    </row>
    <row r="27" spans="1:34" s="5" customFormat="1" ht="56">
      <c r="A27" s="3">
        <f t="shared" si="0"/>
        <v>23</v>
      </c>
      <c r="B27" s="3">
        <f>'תקציב אגף שאיפה  2021 '!B27</f>
        <v>2037</v>
      </c>
      <c r="C27" s="280" t="str">
        <f>'תקציב אגף שאיפה  2021 '!C27</f>
        <v xml:space="preserve">הקמת פינות מיחזור וגזם ברחבי העיר </v>
      </c>
      <c r="D27" s="4">
        <f>'תקציב אגף שאיפה  2021 '!D27</f>
        <v>5000000</v>
      </c>
      <c r="E27" s="4">
        <f>'תקציב אגף שאיפה  2021 '!E27</f>
        <v>5000000</v>
      </c>
      <c r="F27" s="4">
        <f>'תקציב אגף שאיפה  2021 '!F27</f>
        <v>0</v>
      </c>
      <c r="G27" s="4">
        <f>'תקציב אגף שאיפה  2021 '!G27</f>
        <v>800000</v>
      </c>
      <c r="H27" s="4">
        <f>'תקציב אגף שאיפה  2021 '!H27</f>
        <v>538658</v>
      </c>
      <c r="I27" s="4">
        <f>'תקציב אגף שאיפה  2021 '!I27</f>
        <v>0</v>
      </c>
      <c r="J27" s="4">
        <f>'תקציב אגף שאיפה  2021 '!J27</f>
        <v>50310</v>
      </c>
      <c r="K27" s="4">
        <f>'תקציב אגף שאיפה  2021 '!K27</f>
        <v>50310</v>
      </c>
      <c r="L27" s="4">
        <f>'תקציב אגף שאיפה  2021 '!L27</f>
        <v>588968</v>
      </c>
      <c r="M27" s="4">
        <f>'תקציב אגף שאיפה  2021 '!M27</f>
        <v>11032</v>
      </c>
      <c r="N27" s="4">
        <f>'תקציב אגף שאיפה  2021 '!N27</f>
        <v>200000</v>
      </c>
      <c r="O27" s="4">
        <f>'תקציב אגף שאיפה  2021 '!O27</f>
        <v>4200000</v>
      </c>
      <c r="P27" s="4">
        <f>'תקציב אגף שאיפה  2021 '!P27</f>
        <v>211032</v>
      </c>
      <c r="Q27" s="4">
        <f>'תקציב אגף שאיפה  2021 '!Q27</f>
        <v>0</v>
      </c>
      <c r="R27" s="4">
        <f>'תקציב אגף שאיפה  2021 '!R27</f>
        <v>0</v>
      </c>
      <c r="S27" s="4">
        <f>'תקציב אגף שאיפה  2021 '!S27</f>
        <v>0</v>
      </c>
      <c r="T27" s="4">
        <f>'תקציב אגף שאיפה  2021 '!T27</f>
        <v>200000</v>
      </c>
      <c r="U27" s="4">
        <f>'תקציב אגף שאיפה  2021 '!U27</f>
        <v>0</v>
      </c>
      <c r="V27" s="4">
        <f>'תקציב אגף שאיפה  2021 '!V27</f>
        <v>0</v>
      </c>
      <c r="W27" s="4">
        <f>'תקציב אגף שאיפה  2021 '!W27</f>
        <v>0</v>
      </c>
      <c r="X27" s="4">
        <f>'תקציב אגף שאיפה  2021 '!X27</f>
        <v>0</v>
      </c>
      <c r="Y27" s="4">
        <f>'תקציב אגף שאיפה  2021 '!Y27</f>
        <v>0</v>
      </c>
      <c r="Z27" s="4">
        <f>'תקציב אגף שאיפה  2021 '!Z27</f>
        <v>0</v>
      </c>
      <c r="AA27" s="4">
        <f>'תקציב אגף שאיפה  2021 '!AA27</f>
        <v>0</v>
      </c>
      <c r="AB27" s="280" t="str">
        <f>'תקציב אגף שאיפה  2021 '!AB27</f>
        <v>הקמת פינות מיחזור ברחבי העיר (פינות המרכזות מיכלי אצירה לסוגים שונים של פסולת כגון: בקבוקים, זכוכית, נייר, אריזות ועוד).</v>
      </c>
      <c r="AC27" s="3">
        <f>'תקציב אגף שאיפה  2021 '!AC27</f>
        <v>870000</v>
      </c>
      <c r="AD27" s="166"/>
      <c r="AE27" s="22"/>
      <c r="AF27" s="23"/>
      <c r="AG27" s="23"/>
      <c r="AH27" s="23"/>
    </row>
    <row r="28" spans="1:34" s="5" customFormat="1" ht="70">
      <c r="A28" s="3">
        <f t="shared" si="0"/>
        <v>24</v>
      </c>
      <c r="B28" s="3">
        <f>'תקציב אגף שאיפה  2021 '!B28</f>
        <v>2038</v>
      </c>
      <c r="C28" s="280" t="str">
        <f>'תקציב אגף שאיפה  2021 '!C28</f>
        <v xml:space="preserve">הסדרת שטחי מוס"ח ברחבי העיר </v>
      </c>
      <c r="D28" s="4">
        <f>'תקציב אגף שאיפה  2021 '!D28</f>
        <v>4950000</v>
      </c>
      <c r="E28" s="4">
        <f>'תקציב אגף שאיפה  2021 '!E28</f>
        <v>3750000</v>
      </c>
      <c r="F28" s="4">
        <f>'תקציב אגף שאיפה  2021 '!F28</f>
        <v>1200000</v>
      </c>
      <c r="G28" s="4">
        <f>'תקציב אגף שאיפה  2021 '!G28</f>
        <v>3450000</v>
      </c>
      <c r="H28" s="4">
        <f>'תקציב אגף שאיפה  2021 '!H28</f>
        <v>2297203</v>
      </c>
      <c r="I28" s="4">
        <f>'תקציב אגף שאיפה  2021 '!I28</f>
        <v>0</v>
      </c>
      <c r="J28" s="4">
        <f>'תקציב אגף שאיפה  2021 '!J28</f>
        <v>284976</v>
      </c>
      <c r="K28" s="4">
        <f>'תקציב אגף שאיפה  2021 '!K28</f>
        <v>284976</v>
      </c>
      <c r="L28" s="4">
        <f>'תקציב אגף שאיפה  2021 '!L28</f>
        <v>2582179</v>
      </c>
      <c r="M28" s="4">
        <f>'תקציב אגף שאיפה  2021 '!M28</f>
        <v>107821</v>
      </c>
      <c r="N28" s="4">
        <f>'תקציב אגף שאיפה  2021 '!N28</f>
        <v>760000</v>
      </c>
      <c r="O28" s="4">
        <f>'תקציב אגף שאיפה  2021 '!O28</f>
        <v>1500000</v>
      </c>
      <c r="P28" s="4">
        <f>'תקציב אגף שאיפה  2021 '!P28</f>
        <v>867821</v>
      </c>
      <c r="Q28" s="4">
        <f>'תקציב אגף שאיפה  2021 '!Q28</f>
        <v>0</v>
      </c>
      <c r="R28" s="4">
        <f>'תקציב אגף שאיפה  2021 '!R28</f>
        <v>0</v>
      </c>
      <c r="S28" s="4">
        <f>'תקציב אגף שאיפה  2021 '!S28</f>
        <v>0</v>
      </c>
      <c r="T28" s="4">
        <f>'תקציב אגף שאיפה  2021 '!T28</f>
        <v>760000</v>
      </c>
      <c r="U28" s="4">
        <f>'תקציב אגף שאיפה  2021 '!U28</f>
        <v>0</v>
      </c>
      <c r="V28" s="4">
        <f>'תקציב אגף שאיפה  2021 '!V28</f>
        <v>0</v>
      </c>
      <c r="W28" s="4">
        <f>'תקציב אגף שאיפה  2021 '!W28</f>
        <v>0</v>
      </c>
      <c r="X28" s="4">
        <f>'תקציב אגף שאיפה  2021 '!X28</f>
        <v>0</v>
      </c>
      <c r="Y28" s="4">
        <f>'תקציב אגף שאיפה  2021 '!Y28</f>
        <v>0</v>
      </c>
      <c r="Z28" s="4">
        <f>'תקציב אגף שאיפה  2021 '!Z28</f>
        <v>0</v>
      </c>
      <c r="AA28" s="4">
        <f>'תקציב אגף שאיפה  2021 '!AA28</f>
        <v>0</v>
      </c>
      <c r="AB28" s="280" t="str">
        <f>'תקציב אגף שאיפה  2021 '!AB28</f>
        <v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v>
      </c>
      <c r="AC28" s="3">
        <f>'תקציב אגף שאיפה  2021 '!AC28</f>
        <v>810000</v>
      </c>
      <c r="AD28" s="166"/>
      <c r="AE28" s="22"/>
      <c r="AF28" s="23"/>
      <c r="AG28" s="23"/>
      <c r="AH28" s="23"/>
    </row>
    <row r="29" spans="1:34" s="5" customFormat="1" ht="30" customHeight="1">
      <c r="A29" s="3">
        <f t="shared" si="0"/>
        <v>25</v>
      </c>
      <c r="B29" s="3">
        <f>'תקציב אגף שאיפה  2021 '!B29</f>
        <v>2039</v>
      </c>
      <c r="C29" s="280" t="str">
        <f>'תקציב אגף שאיפה  2021 '!C29</f>
        <v>הצבת קולרים ברחבי העיר</v>
      </c>
      <c r="D29" s="4">
        <f>'תקציב אגף שאיפה  2021 '!D29</f>
        <v>535000</v>
      </c>
      <c r="E29" s="4">
        <f>'תקציב אגף שאיפה  2021 '!E29</f>
        <v>285000</v>
      </c>
      <c r="F29" s="4">
        <f>'תקציב אגף שאיפה  2021 '!F29</f>
        <v>250000</v>
      </c>
      <c r="G29" s="4">
        <f>'תקציב אגף שאיפה  2021 '!G29</f>
        <v>35000</v>
      </c>
      <c r="H29" s="4">
        <f>'תקציב אגף שאיפה  2021 '!H29</f>
        <v>25514</v>
      </c>
      <c r="I29" s="4">
        <f>'תקציב אגף שאיפה  2021 '!I29</f>
        <v>0</v>
      </c>
      <c r="J29" s="4">
        <f>'תקציב אגף שאיפה  2021 '!J29</f>
        <v>9484</v>
      </c>
      <c r="K29" s="4">
        <f>'תקציב אגף שאיפה  2021 '!K29</f>
        <v>9484</v>
      </c>
      <c r="L29" s="4">
        <f>'תקציב אגף שאיפה  2021 '!L29</f>
        <v>34998</v>
      </c>
      <c r="M29" s="4">
        <f>'תקציב אגף שאיפה  2021 '!M29</f>
        <v>2</v>
      </c>
      <c r="N29" s="4">
        <f>'תקציב אגף שאיפה  2021 '!N29</f>
        <v>0</v>
      </c>
      <c r="O29" s="4">
        <f>'תקציב אגף שאיפה  2021 '!O29</f>
        <v>500000</v>
      </c>
      <c r="P29" s="4">
        <f>'תקציב אגף שאיפה  2021 '!P29</f>
        <v>2</v>
      </c>
      <c r="Q29" s="4">
        <f>'תקציב אגף שאיפה  2021 '!Q29</f>
        <v>0</v>
      </c>
      <c r="R29" s="4">
        <f>'תקציב אגף שאיפה  2021 '!R29</f>
        <v>0</v>
      </c>
      <c r="S29" s="4">
        <f>'תקציב אגף שאיפה  2021 '!S29</f>
        <v>0</v>
      </c>
      <c r="T29" s="4">
        <f>'תקציב אגף שאיפה  2021 '!T29</f>
        <v>0</v>
      </c>
      <c r="U29" s="4">
        <f>'תקציב אגף שאיפה  2021 '!U29</f>
        <v>0</v>
      </c>
      <c r="V29" s="4">
        <f>'תקציב אגף שאיפה  2021 '!V29</f>
        <v>0</v>
      </c>
      <c r="W29" s="4">
        <f>'תקציב אגף שאיפה  2021 '!W29</f>
        <v>0</v>
      </c>
      <c r="X29" s="4">
        <f>'תקציב אגף שאיפה  2021 '!X29</f>
        <v>0</v>
      </c>
      <c r="Y29" s="4">
        <f>'תקציב אגף שאיפה  2021 '!Y29</f>
        <v>0</v>
      </c>
      <c r="Z29" s="4">
        <f>'תקציב אגף שאיפה  2021 '!Z29</f>
        <v>0</v>
      </c>
      <c r="AA29" s="4">
        <f>'תקציב אגף שאיפה  2021 '!AA29</f>
        <v>0</v>
      </c>
      <c r="AB29" s="280" t="str">
        <f>'תקציב אגף שאיפה  2021 '!AB29</f>
        <v xml:space="preserve">הצבת מתקני שתייה מקוררים כולל תשתיות ברחבי העיר לרווחת התושבים. </v>
      </c>
      <c r="AC29" s="3">
        <f>'תקציב אגף שאיפה  2021 '!AC29</f>
        <v>760000</v>
      </c>
      <c r="AD29" s="166"/>
      <c r="AE29" s="22"/>
      <c r="AF29" s="23"/>
      <c r="AG29" s="23"/>
      <c r="AH29" s="23"/>
    </row>
    <row r="30" spans="1:34" s="5" customFormat="1" ht="45" customHeight="1">
      <c r="A30" s="3">
        <f t="shared" si="0"/>
        <v>26</v>
      </c>
      <c r="B30" s="3">
        <f>'תקציב אגף שאיפה  2021 '!B30</f>
        <v>2040</v>
      </c>
      <c r="C30" s="280" t="str">
        <f>'תקציב אגף שאיפה  2021 '!C30</f>
        <v>ספורטק חידוש מתחם מתקני משחק</v>
      </c>
      <c r="D30" s="4">
        <f>'תקציב אגף שאיפה  2021 '!D30</f>
        <v>910000</v>
      </c>
      <c r="E30" s="4">
        <f>'תקציב אגף שאיפה  2021 '!E30</f>
        <v>1010000</v>
      </c>
      <c r="F30" s="4">
        <f>'תקציב אגף שאיפה  2021 '!F30</f>
        <v>-100000</v>
      </c>
      <c r="G30" s="4">
        <f>'תקציב אגף שאיפה  2021 '!G30</f>
        <v>910000</v>
      </c>
      <c r="H30" s="4">
        <f>'תקציב אגף שאיפה  2021 '!H30</f>
        <v>409998</v>
      </c>
      <c r="I30" s="4">
        <f>'תקציב אגף שאיפה  2021 '!I30</f>
        <v>0</v>
      </c>
      <c r="J30" s="4">
        <f>'תקציב אגף שאיפה  2021 '!J30</f>
        <v>436329</v>
      </c>
      <c r="K30" s="4">
        <f>'תקציב אגף שאיפה  2021 '!K30</f>
        <v>436329</v>
      </c>
      <c r="L30" s="4">
        <f>'תקציב אגף שאיפה  2021 '!L30</f>
        <v>846327</v>
      </c>
      <c r="M30" s="4">
        <f>'תקציב אגף שאיפה  2021 '!M30</f>
        <v>63673</v>
      </c>
      <c r="N30" s="4">
        <f>'תקציב אגף שאיפה  2021 '!N30</f>
        <v>0</v>
      </c>
      <c r="O30" s="4">
        <f>'תקציב אגף שאיפה  2021 '!O30</f>
        <v>0</v>
      </c>
      <c r="P30" s="4">
        <f>'תקציב אגף שאיפה  2021 '!P30</f>
        <v>63673</v>
      </c>
      <c r="Q30" s="4">
        <f>'תקציב אגף שאיפה  2021 '!Q30</f>
        <v>0</v>
      </c>
      <c r="R30" s="4">
        <f>'תקציב אגף שאיפה  2021 '!R30</f>
        <v>0</v>
      </c>
      <c r="S30" s="4">
        <f>'תקציב אגף שאיפה  2021 '!S30</f>
        <v>0</v>
      </c>
      <c r="T30" s="4">
        <f>'תקציב אגף שאיפה  2021 '!T30</f>
        <v>0</v>
      </c>
      <c r="U30" s="4">
        <f>'תקציב אגף שאיפה  2021 '!U30</f>
        <v>0</v>
      </c>
      <c r="V30" s="4">
        <f>'תקציב אגף שאיפה  2021 '!V30</f>
        <v>0</v>
      </c>
      <c r="W30" s="4">
        <f>'תקציב אגף שאיפה  2021 '!W30</f>
        <v>0</v>
      </c>
      <c r="X30" s="4">
        <f>'תקציב אגף שאיפה  2021 '!X30</f>
        <v>0</v>
      </c>
      <c r="Y30" s="4">
        <f>'תקציב אגף שאיפה  2021 '!Y30</f>
        <v>0</v>
      </c>
      <c r="Z30" s="4">
        <f>'תקציב אגף שאיפה  2021 '!Z30</f>
        <v>0</v>
      </c>
      <c r="AA30" s="4">
        <f>'תקציב אגף שאיפה  2021 '!AA30</f>
        <v>0</v>
      </c>
      <c r="AB30" s="280" t="str">
        <f>'תקציב אגף שאיפה  2021 '!AB30</f>
        <v xml:space="preserve">החלפת מתחם ישן ורעוע עשוי מלוחות עץ נרקבים שעומד שעומד לפני פסילת מכון התקנים. </v>
      </c>
      <c r="AC30" s="3">
        <f>'תקציב אגף שאיפה  2021 '!AC30</f>
        <v>829000</v>
      </c>
      <c r="AD30" s="166"/>
      <c r="AE30" s="22"/>
      <c r="AF30" s="23"/>
      <c r="AG30" s="23"/>
      <c r="AH30" s="23"/>
    </row>
    <row r="31" spans="1:34" s="5" customFormat="1" ht="42">
      <c r="A31" s="3">
        <f t="shared" si="0"/>
        <v>27</v>
      </c>
      <c r="B31" s="3">
        <f>'תקציב אגף שאיפה  2021 '!B31</f>
        <v>2042</v>
      </c>
      <c r="C31" s="280" t="str">
        <f>'תקציב אגף שאיפה  2021 '!C31</f>
        <v>הרצליה ב' שצ" פ המסילה, מ.מסחרי</v>
      </c>
      <c r="D31" s="4">
        <f>'תקציב אגף שאיפה  2021 '!D31</f>
        <v>290000</v>
      </c>
      <c r="E31" s="4">
        <f>'תקציב אגף שאיפה  2021 '!E31</f>
        <v>740000</v>
      </c>
      <c r="F31" s="4">
        <f>'תקציב אגף שאיפה  2021 '!F31</f>
        <v>-450000</v>
      </c>
      <c r="G31" s="4">
        <f>'תקציב אגף שאיפה  2021 '!G31</f>
        <v>290000</v>
      </c>
      <c r="H31" s="4">
        <f>'תקציב אגף שאיפה  2021 '!H31</f>
        <v>286994</v>
      </c>
      <c r="I31" s="4">
        <f>'תקציב אגף שאיפה  2021 '!I31</f>
        <v>0</v>
      </c>
      <c r="J31" s="4">
        <f>'תקציב אגף שאיפה  2021 '!J31</f>
        <v>3000</v>
      </c>
      <c r="K31" s="4">
        <f>'תקציב אגף שאיפה  2021 '!K31</f>
        <v>3000</v>
      </c>
      <c r="L31" s="4">
        <f>'תקציב אגף שאיפה  2021 '!L31</f>
        <v>289994</v>
      </c>
      <c r="M31" s="4">
        <f>'תקציב אגף שאיפה  2021 '!M31</f>
        <v>6</v>
      </c>
      <c r="N31" s="4">
        <f>'תקציב אגף שאיפה  2021 '!N31</f>
        <v>0</v>
      </c>
      <c r="O31" s="4">
        <f>'תקציב אגף שאיפה  2021 '!O31</f>
        <v>0</v>
      </c>
      <c r="P31" s="4">
        <f>'תקציב אגף שאיפה  2021 '!P31</f>
        <v>6</v>
      </c>
      <c r="Q31" s="4">
        <f>'תקציב אגף שאיפה  2021 '!Q31</f>
        <v>0</v>
      </c>
      <c r="R31" s="4">
        <f>'תקציב אגף שאיפה  2021 '!R31</f>
        <v>0</v>
      </c>
      <c r="S31" s="4">
        <f>'תקציב אגף שאיפה  2021 '!S31</f>
        <v>0</v>
      </c>
      <c r="T31" s="4">
        <f>'תקציב אגף שאיפה  2021 '!T31</f>
        <v>0</v>
      </c>
      <c r="U31" s="4">
        <f>'תקציב אגף שאיפה  2021 '!U31</f>
        <v>0</v>
      </c>
      <c r="V31" s="4">
        <f>'תקציב אגף שאיפה  2021 '!V31</f>
        <v>0</v>
      </c>
      <c r="W31" s="4">
        <f>'תקציב אגף שאיפה  2021 '!W31</f>
        <v>0</v>
      </c>
      <c r="X31" s="4">
        <f>'תקציב אגף שאיפה  2021 '!X31</f>
        <v>0</v>
      </c>
      <c r="Y31" s="4">
        <f>'תקציב אגף שאיפה  2021 '!Y31</f>
        <v>0</v>
      </c>
      <c r="Z31" s="4">
        <f>'תקציב אגף שאיפה  2021 '!Z31</f>
        <v>0</v>
      </c>
      <c r="AA31" s="4">
        <f>'תקציב אגף שאיפה  2021 '!AA31</f>
        <v>0</v>
      </c>
      <c r="AB31" s="280" t="str">
        <f>'תקציב אגף שאיפה  2021 '!AB31</f>
        <v>ביצוע שצ"פ רחוב המסילה כולל גידור, הסדרת המרכז המסחרי אל-על נורדאו, עבודות גינון נוספות. העבודות הסתיימו. ח-ן סופיים.</v>
      </c>
      <c r="AC31" s="3">
        <f>'תקציב אגף שאיפה  2021 '!AC31</f>
        <v>746000</v>
      </c>
      <c r="AD31" s="166"/>
      <c r="AE31" s="22"/>
      <c r="AF31" s="23"/>
      <c r="AG31" s="23"/>
      <c r="AH31" s="23"/>
    </row>
    <row r="32" spans="1:34" s="5" customFormat="1" ht="30" customHeight="1">
      <c r="A32" s="3">
        <f t="shared" si="0"/>
        <v>28</v>
      </c>
      <c r="B32" s="3">
        <f>'תקציב אגף שאיפה  2021 '!B32</f>
        <v>2066</v>
      </c>
      <c r="C32" s="280" t="str">
        <f>'תקציב אגף שאיפה  2021 '!C32</f>
        <v>סקר טבע עירוני</v>
      </c>
      <c r="D32" s="4">
        <f>'תקציב אגף שאיפה  2021 '!D32</f>
        <v>112500</v>
      </c>
      <c r="E32" s="4">
        <f>'תקציב אגף שאיפה  2021 '!E32</f>
        <v>112500</v>
      </c>
      <c r="F32" s="4">
        <f>'תקציב אגף שאיפה  2021 '!F32</f>
        <v>0</v>
      </c>
      <c r="G32" s="4">
        <f>'תקציב אגף שאיפה  2021 '!G32</f>
        <v>112500</v>
      </c>
      <c r="H32" s="4">
        <f>'תקציב אגף שאיפה  2021 '!H32</f>
        <v>111299</v>
      </c>
      <c r="I32" s="4">
        <f>'תקציב אגף שאיפה  2021 '!I32</f>
        <v>0</v>
      </c>
      <c r="J32" s="4">
        <f>'תקציב אגף שאיפה  2021 '!J32</f>
        <v>0</v>
      </c>
      <c r="K32" s="4">
        <f>'תקציב אגף שאיפה  2021 '!K32</f>
        <v>0</v>
      </c>
      <c r="L32" s="4">
        <f>'תקציב אגף שאיפה  2021 '!L32</f>
        <v>111299</v>
      </c>
      <c r="M32" s="4">
        <f>'תקציב אגף שאיפה  2021 '!M32</f>
        <v>1201</v>
      </c>
      <c r="N32" s="4">
        <f>'תקציב אגף שאיפה  2021 '!N32</f>
        <v>0</v>
      </c>
      <c r="O32" s="4">
        <f>'תקציב אגף שאיפה  2021 '!O32</f>
        <v>0</v>
      </c>
      <c r="P32" s="4">
        <f>'תקציב אגף שאיפה  2021 '!P32</f>
        <v>1201</v>
      </c>
      <c r="Q32" s="4">
        <f>'תקציב אגף שאיפה  2021 '!Q32</f>
        <v>0</v>
      </c>
      <c r="R32" s="4">
        <f>'תקציב אגף שאיפה  2021 '!R32</f>
        <v>0</v>
      </c>
      <c r="S32" s="4">
        <f>'תקציב אגף שאיפה  2021 '!S32</f>
        <v>0</v>
      </c>
      <c r="T32" s="4">
        <f>'תקציב אגף שאיפה  2021 '!T32</f>
        <v>0</v>
      </c>
      <c r="U32" s="4">
        <f>'תקציב אגף שאיפה  2021 '!U32</f>
        <v>0</v>
      </c>
      <c r="V32" s="4">
        <f>'תקציב אגף שאיפה  2021 '!V32</f>
        <v>0</v>
      </c>
      <c r="W32" s="4">
        <f>'תקציב אגף שאיפה  2021 '!W32</f>
        <v>0</v>
      </c>
      <c r="X32" s="4">
        <f>'תקציב אגף שאיפה  2021 '!X32</f>
        <v>0</v>
      </c>
      <c r="Y32" s="4">
        <f>'תקציב אגף שאיפה  2021 '!Y32</f>
        <v>0</v>
      </c>
      <c r="Z32" s="4">
        <f>'תקציב אגף שאיפה  2021 '!Z32</f>
        <v>0</v>
      </c>
      <c r="AA32" s="4">
        <f>'תקציב אגף שאיפה  2021 '!AA32</f>
        <v>0</v>
      </c>
      <c r="AB32" s="280" t="str">
        <f>'תקציב אגף שאיפה  2021 '!AB32</f>
        <v>ייסגר עם קבלת תקבולים מ. הגנת הסביבה.</v>
      </c>
      <c r="AC32" s="3">
        <f>'תקציב אגף שאיפה  2021 '!AC32</f>
        <v>732000</v>
      </c>
      <c r="AD32" s="22"/>
      <c r="AE32" s="22"/>
      <c r="AF32" s="23"/>
      <c r="AG32" s="23"/>
      <c r="AH32" s="23"/>
    </row>
    <row r="33" spans="1:34" s="5" customFormat="1" ht="56">
      <c r="A33" s="3">
        <f t="shared" si="0"/>
        <v>29</v>
      </c>
      <c r="B33" s="3">
        <f>'תקציב אגף שאיפה  2021 '!B33</f>
        <v>2087</v>
      </c>
      <c r="C33" s="280" t="str">
        <f>'תקציב אגף שאיפה  2021 '!C33</f>
        <v xml:space="preserve">ארלוזרוב - דרך ירושלים </v>
      </c>
      <c r="D33" s="4">
        <f>'תקציב אגף שאיפה  2021 '!D33</f>
        <v>1200000</v>
      </c>
      <c r="E33" s="4">
        <f>'תקציב אגף שאיפה  2021 '!E33</f>
        <v>1200000</v>
      </c>
      <c r="F33" s="4">
        <f>'תקציב אגף שאיפה  2021 '!F33</f>
        <v>0</v>
      </c>
      <c r="G33" s="4">
        <f>'תקציב אגף שאיפה  2021 '!G33</f>
        <v>640000</v>
      </c>
      <c r="H33" s="4">
        <f>'תקציב אגף שאיפה  2021 '!H33</f>
        <v>639791</v>
      </c>
      <c r="I33" s="4">
        <f>'תקציב אגף שאיפה  2021 '!I33</f>
        <v>0</v>
      </c>
      <c r="J33" s="4">
        <f>'תקציב אגף שאיפה  2021 '!J33</f>
        <v>0</v>
      </c>
      <c r="K33" s="4">
        <f>'תקציב אגף שאיפה  2021 '!K33</f>
        <v>0</v>
      </c>
      <c r="L33" s="4">
        <f>'תקציב אגף שאיפה  2021 '!L33</f>
        <v>639791</v>
      </c>
      <c r="M33" s="4">
        <f>'תקציב אגף שאיפה  2021 '!M33</f>
        <v>209</v>
      </c>
      <c r="N33" s="4">
        <f>'תקציב אגף שאיפה  2021 '!N33</f>
        <v>0</v>
      </c>
      <c r="O33" s="4">
        <f>'תקציב אגף שאיפה  2021 '!O33</f>
        <v>560000</v>
      </c>
      <c r="P33" s="4">
        <f>'תקציב אגף שאיפה  2021 '!P33</f>
        <v>209</v>
      </c>
      <c r="Q33" s="4">
        <f>'תקציב אגף שאיפה  2021 '!Q33</f>
        <v>0</v>
      </c>
      <c r="R33" s="4">
        <f>'תקציב אגף שאיפה  2021 '!R33</f>
        <v>0</v>
      </c>
      <c r="S33" s="4">
        <f>'תקציב אגף שאיפה  2021 '!S33</f>
        <v>0</v>
      </c>
      <c r="T33" s="4">
        <f>'תקציב אגף שאיפה  2021 '!T33</f>
        <v>0</v>
      </c>
      <c r="U33" s="4">
        <f>'תקציב אגף שאיפה  2021 '!U33</f>
        <v>0</v>
      </c>
      <c r="V33" s="4">
        <f>'תקציב אגף שאיפה  2021 '!V33</f>
        <v>0</v>
      </c>
      <c r="W33" s="4">
        <f>'תקציב אגף שאיפה  2021 '!W33</f>
        <v>0</v>
      </c>
      <c r="X33" s="4">
        <f>'תקציב אגף שאיפה  2021 '!X33</f>
        <v>0</v>
      </c>
      <c r="Y33" s="4">
        <f>'תקציב אגף שאיפה  2021 '!Y33</f>
        <v>0</v>
      </c>
      <c r="Z33" s="4">
        <f>'תקציב אגף שאיפה  2021 '!Z33</f>
        <v>0</v>
      </c>
      <c r="AA33" s="4">
        <f>'תקציב אגף שאיפה  2021 '!AA33</f>
        <v>0</v>
      </c>
      <c r="AB33" s="280" t="str">
        <f>'תקציב אגף שאיפה  2021 '!AB33</f>
        <v>הסדרת השטח לאורך רח' ארלוזרוב קטע: בית"ר-דרך ירושלים. ייצוב פני הקרקע למניעת סחף והסדרת שיפועים וניקוזים, הסדרת המדרכה וגינון והשקייה.</v>
      </c>
      <c r="AC33" s="3">
        <f>'תקציב אגף שאיפה  2021 '!AC33</f>
        <v>746000</v>
      </c>
      <c r="AD33" s="166"/>
      <c r="AE33" s="22"/>
      <c r="AF33" s="23"/>
      <c r="AG33" s="23"/>
      <c r="AH33" s="23"/>
    </row>
    <row r="34" spans="1:34" s="5" customFormat="1" ht="42">
      <c r="A34" s="3">
        <f t="shared" si="0"/>
        <v>30</v>
      </c>
      <c r="B34" s="3">
        <f>'תקציב אגף שאיפה  2021 '!B34</f>
        <v>2088</v>
      </c>
      <c r="C34" s="280" t="str">
        <f>'תקציב אגף שאיפה  2021 '!C34</f>
        <v xml:space="preserve">שדרוג גן דפנה אילת </v>
      </c>
      <c r="D34" s="4">
        <f>'תקציב אגף שאיפה  2021 '!D34</f>
        <v>1600000</v>
      </c>
      <c r="E34" s="4">
        <f>'תקציב אגף שאיפה  2021 '!E34</f>
        <v>1600000</v>
      </c>
      <c r="F34" s="4">
        <f>'תקציב אגף שאיפה  2021 '!F34</f>
        <v>0</v>
      </c>
      <c r="G34" s="4">
        <f>'תקציב אגף שאיפה  2021 '!G34</f>
        <v>1600000</v>
      </c>
      <c r="H34" s="4">
        <f>'תקציב אגף שאיפה  2021 '!H34</f>
        <v>1083312</v>
      </c>
      <c r="I34" s="4">
        <f>'תקציב אגף שאיפה  2021 '!I34</f>
        <v>0</v>
      </c>
      <c r="J34" s="4">
        <f>'תקציב אגף שאיפה  2021 '!J34</f>
        <v>163826</v>
      </c>
      <c r="K34" s="4">
        <f>'תקציב אגף שאיפה  2021 '!K34</f>
        <v>163826</v>
      </c>
      <c r="L34" s="4">
        <f>'תקציב אגף שאיפה  2021 '!L34</f>
        <v>1247138</v>
      </c>
      <c r="M34" s="4">
        <f>'תקציב אגף שאיפה  2021 '!M34</f>
        <v>352862</v>
      </c>
      <c r="N34" s="4">
        <f>'תקציב אגף שאיפה  2021 '!N34</f>
        <v>0</v>
      </c>
      <c r="O34" s="4">
        <f>'תקציב אגף שאיפה  2021 '!O34</f>
        <v>0</v>
      </c>
      <c r="P34" s="4">
        <f>'תקציב אגף שאיפה  2021 '!P34</f>
        <v>352862</v>
      </c>
      <c r="Q34" s="4">
        <f>'תקציב אגף שאיפה  2021 '!Q34</f>
        <v>0</v>
      </c>
      <c r="R34" s="4">
        <f>'תקציב אגף שאיפה  2021 '!R34</f>
        <v>0</v>
      </c>
      <c r="S34" s="4">
        <f>'תקציב אגף שאיפה  2021 '!S34</f>
        <v>0</v>
      </c>
      <c r="T34" s="4">
        <f>'תקציב אגף שאיפה  2021 '!T34</f>
        <v>0</v>
      </c>
      <c r="U34" s="4">
        <f>'תקציב אגף שאיפה  2021 '!U34</f>
        <v>0</v>
      </c>
      <c r="V34" s="4">
        <f>'תקציב אגף שאיפה  2021 '!V34</f>
        <v>0</v>
      </c>
      <c r="W34" s="4">
        <f>'תקציב אגף שאיפה  2021 '!W34</f>
        <v>0</v>
      </c>
      <c r="X34" s="4">
        <f>'תקציב אגף שאיפה  2021 '!X34</f>
        <v>0</v>
      </c>
      <c r="Y34" s="4">
        <f>'תקציב אגף שאיפה  2021 '!Y34</f>
        <v>0</v>
      </c>
      <c r="Z34" s="4">
        <f>'תקציב אגף שאיפה  2021 '!Z34</f>
        <v>0</v>
      </c>
      <c r="AA34" s="4">
        <f>'תקציב אגף שאיפה  2021 '!AA34</f>
        <v>0</v>
      </c>
      <c r="AB34" s="280" t="str">
        <f>'תקציב אגף שאיפה  2021 '!AB34</f>
        <v>הסדרת הגן המרכזי בשכונת גן רש"ל כולל: מתקני משחק, משטח גומי, עבודות גינון, השקייה, פיתוח והנגשה.</v>
      </c>
      <c r="AC34" s="3">
        <f>'תקציב אגף שאיפה  2021 '!AC34</f>
        <v>746000</v>
      </c>
      <c r="AD34" s="166"/>
      <c r="AE34" s="22"/>
      <c r="AF34" s="23"/>
      <c r="AG34" s="23"/>
      <c r="AH34" s="23"/>
    </row>
    <row r="35" spans="1:34" s="5" customFormat="1" ht="30" customHeight="1">
      <c r="A35" s="3">
        <f t="shared" si="0"/>
        <v>31</v>
      </c>
      <c r="B35" s="3">
        <f>'תקציב אגף שאיפה  2021 '!B35</f>
        <v>2164</v>
      </c>
      <c r="C35" s="280" t="str">
        <f>'תקציב אגף שאיפה  2021 '!C35</f>
        <v>שדרוג מתחם המשקל העירוני</v>
      </c>
      <c r="D35" s="4">
        <f>'תקציב אגף שאיפה  2021 '!D35</f>
        <v>300000</v>
      </c>
      <c r="E35" s="4">
        <f>'תקציב אגף שאיפה  2021 '!E35</f>
        <v>200000</v>
      </c>
      <c r="F35" s="4">
        <f>'תקציב אגף שאיפה  2021 '!F35</f>
        <v>100000</v>
      </c>
      <c r="G35" s="4">
        <f>'תקציב אגף שאיפה  2021 '!G35</f>
        <v>0</v>
      </c>
      <c r="H35" s="4">
        <f>'תקציב אגף שאיפה  2021 '!H35</f>
        <v>0</v>
      </c>
      <c r="I35" s="4">
        <f>'תקציב אגף שאיפה  2021 '!I35</f>
        <v>0</v>
      </c>
      <c r="J35" s="4">
        <f>'תקציב אגף שאיפה  2021 '!J35</f>
        <v>0</v>
      </c>
      <c r="K35" s="4">
        <f>'תקציב אגף שאיפה  2021 '!K35</f>
        <v>0</v>
      </c>
      <c r="L35" s="4">
        <f>'תקציב אגף שאיפה  2021 '!L35</f>
        <v>0</v>
      </c>
      <c r="M35" s="4">
        <f>'תקציב אגף שאיפה  2021 '!M35</f>
        <v>0</v>
      </c>
      <c r="N35" s="4">
        <f>'תקציב אגף שאיפה  2021 '!N35</f>
        <v>0</v>
      </c>
      <c r="O35" s="4">
        <f>'תקציב אגף שאיפה  2021 '!O35</f>
        <v>300000</v>
      </c>
      <c r="P35" s="4">
        <f>'תקציב אגף שאיפה  2021 '!P35</f>
        <v>0</v>
      </c>
      <c r="Q35" s="4">
        <f>'תקציב אגף שאיפה  2021 '!Q35</f>
        <v>0</v>
      </c>
      <c r="R35" s="4">
        <f>'תקציב אגף שאיפה  2021 '!R35</f>
        <v>0</v>
      </c>
      <c r="S35" s="4">
        <f>'תקציב אגף שאיפה  2021 '!S35</f>
        <v>0</v>
      </c>
      <c r="T35" s="4">
        <f>'תקציב אגף שאיפה  2021 '!T35</f>
        <v>0</v>
      </c>
      <c r="U35" s="4">
        <f>'תקציב אגף שאיפה  2021 '!U35</f>
        <v>0</v>
      </c>
      <c r="V35" s="4">
        <f>'תקציב אגף שאיפה  2021 '!V35</f>
        <v>0</v>
      </c>
      <c r="W35" s="4">
        <f>'תקציב אגף שאיפה  2021 '!W35</f>
        <v>0</v>
      </c>
      <c r="X35" s="4">
        <f>'תקציב אגף שאיפה  2021 '!X35</f>
        <v>0</v>
      </c>
      <c r="Y35" s="4">
        <f>'תקציב אגף שאיפה  2021 '!Y35</f>
        <v>0</v>
      </c>
      <c r="Z35" s="4">
        <f>'תקציב אגף שאיפה  2021 '!Z35</f>
        <v>0</v>
      </c>
      <c r="AA35" s="4">
        <f>'תקציב אגף שאיפה  2021 '!AA35</f>
        <v>0</v>
      </c>
      <c r="AB35" s="280" t="str">
        <f>'תקציב אגף שאיפה  2021 '!AB35</f>
        <v>עבודות במתחם המשקל העירוני להסדרת נושא הבטיחות.</v>
      </c>
      <c r="AC35" s="3">
        <f>'תקציב אגף שאיפה  2021 '!AC35</f>
        <v>742000</v>
      </c>
    </row>
    <row r="36" spans="1:34" s="5" customFormat="1" ht="42">
      <c r="A36" s="3">
        <f t="shared" si="0"/>
        <v>32</v>
      </c>
      <c r="B36" s="3">
        <f>'תקציב אגף שאיפה  2021 '!B36</f>
        <v>2165</v>
      </c>
      <c r="C36" s="280" t="str">
        <f>'תקציב אגף שאיפה  2021 '!C36</f>
        <v>שדרוג רחוב וינגגיט</v>
      </c>
      <c r="D36" s="4">
        <f>'תקציב אגף שאיפה  2021 '!D36</f>
        <v>1040000</v>
      </c>
      <c r="E36" s="4">
        <f>'תקציב אגף שאיפה  2021 '!E36</f>
        <v>1040000</v>
      </c>
      <c r="F36" s="4">
        <f>'תקציב אגף שאיפה  2021 '!F36</f>
        <v>0</v>
      </c>
      <c r="G36" s="4">
        <f>'תקציב אגף שאיפה  2021 '!G36</f>
        <v>0</v>
      </c>
      <c r="H36" s="4">
        <f>'תקציב אגף שאיפה  2021 '!H36</f>
        <v>0</v>
      </c>
      <c r="I36" s="4">
        <f>'תקציב אגף שאיפה  2021 '!I36</f>
        <v>0</v>
      </c>
      <c r="J36" s="4">
        <f>'תקציב אגף שאיפה  2021 '!J36</f>
        <v>0</v>
      </c>
      <c r="K36" s="4">
        <f>'תקציב אגף שאיפה  2021 '!K36</f>
        <v>0</v>
      </c>
      <c r="L36" s="4">
        <f>'תקציב אגף שאיפה  2021 '!L36</f>
        <v>0</v>
      </c>
      <c r="M36" s="4">
        <f>'תקציב אגף שאיפה  2021 '!M36</f>
        <v>0</v>
      </c>
      <c r="N36" s="4">
        <f>'תקציב אגף שאיפה  2021 '!N36</f>
        <v>0</v>
      </c>
      <c r="O36" s="4">
        <f>'תקציב אגף שאיפה  2021 '!O36</f>
        <v>1040000</v>
      </c>
      <c r="P36" s="4">
        <f>'תקציב אגף שאיפה  2021 '!P36</f>
        <v>0</v>
      </c>
      <c r="Q36" s="4">
        <f>'תקציב אגף שאיפה  2021 '!Q36</f>
        <v>0</v>
      </c>
      <c r="R36" s="4">
        <f>'תקציב אגף שאיפה  2021 '!R36</f>
        <v>0</v>
      </c>
      <c r="S36" s="4">
        <f>'תקציב אגף שאיפה  2021 '!S36</f>
        <v>0</v>
      </c>
      <c r="T36" s="4">
        <f>'תקציב אגף שאיפה  2021 '!T36</f>
        <v>0</v>
      </c>
      <c r="U36" s="4">
        <f>'תקציב אגף שאיפה  2021 '!U36</f>
        <v>0</v>
      </c>
      <c r="V36" s="4">
        <f>'תקציב אגף שאיפה  2021 '!V36</f>
        <v>0</v>
      </c>
      <c r="W36" s="4">
        <f>'תקציב אגף שאיפה  2021 '!W36</f>
        <v>0</v>
      </c>
      <c r="X36" s="4">
        <f>'תקציב אגף שאיפה  2021 '!X36</f>
        <v>0</v>
      </c>
      <c r="Y36" s="4">
        <f>'תקציב אגף שאיפה  2021 '!Y36</f>
        <v>0</v>
      </c>
      <c r="Z36" s="4">
        <f>'תקציב אגף שאיפה  2021 '!Z36</f>
        <v>0</v>
      </c>
      <c r="AA36" s="4">
        <f>'תקציב אגף שאיפה  2021 '!AA36</f>
        <v>0</v>
      </c>
      <c r="AB36" s="280" t="str">
        <f>'תקציב אגף שאיפה  2021 '!AB36</f>
        <v xml:space="preserve">עבודות שדרוג ושיקום ערוגות הגינון  לצידי הרחוב והכיכרות המרכזיות. מרחוב וינגייט ועד רח' הקונגרס שטח של כ- 2.6 דונם. </v>
      </c>
      <c r="AC36" s="3">
        <f>'תקציב אגף שאיפה  2021 '!AC36</f>
        <v>746000</v>
      </c>
    </row>
    <row r="37" spans="1:34" s="5" customFormat="1" ht="45" customHeight="1">
      <c r="A37" s="3">
        <f t="shared" si="0"/>
        <v>33</v>
      </c>
      <c r="B37" s="3">
        <f>'תקציב אגף שאיפה  2021 '!B37</f>
        <v>2166</v>
      </c>
      <c r="C37" s="280" t="str">
        <f>'תקציב אגף שאיפה  2021 '!C37</f>
        <v>שדרוג רחוב בן גוריון</v>
      </c>
      <c r="D37" s="4">
        <f>'תקציב אגף שאיפה  2021 '!D37</f>
        <v>500000</v>
      </c>
      <c r="E37" s="4">
        <f>'תקציב אגף שאיפה  2021 '!E37</f>
        <v>500000</v>
      </c>
      <c r="F37" s="4">
        <f>'תקציב אגף שאיפה  2021 '!F37</f>
        <v>0</v>
      </c>
      <c r="G37" s="4">
        <f>'תקציב אגף שאיפה  2021 '!G37</f>
        <v>0</v>
      </c>
      <c r="H37" s="4">
        <f>'תקציב אגף שאיפה  2021 '!H37</f>
        <v>0</v>
      </c>
      <c r="I37" s="4">
        <f>'תקציב אגף שאיפה  2021 '!I37</f>
        <v>0</v>
      </c>
      <c r="J37" s="4">
        <f>'תקציב אגף שאיפה  2021 '!J37</f>
        <v>0</v>
      </c>
      <c r="K37" s="4">
        <f>'תקציב אגף שאיפה  2021 '!K37</f>
        <v>0</v>
      </c>
      <c r="L37" s="4">
        <f>'תקציב אגף שאיפה  2021 '!L37</f>
        <v>0</v>
      </c>
      <c r="M37" s="4">
        <f>'תקציב אגף שאיפה  2021 '!M37</f>
        <v>0</v>
      </c>
      <c r="N37" s="4">
        <f>'תקציב אגף שאיפה  2021 '!N37</f>
        <v>0</v>
      </c>
      <c r="O37" s="4">
        <f>'תקציב אגף שאיפה  2021 '!O37</f>
        <v>500000</v>
      </c>
      <c r="P37" s="4">
        <f>'תקציב אגף שאיפה  2021 '!P37</f>
        <v>0</v>
      </c>
      <c r="Q37" s="4">
        <f>'תקציב אגף שאיפה  2021 '!Q37</f>
        <v>0</v>
      </c>
      <c r="R37" s="4">
        <f>'תקציב אגף שאיפה  2021 '!R37</f>
        <v>0</v>
      </c>
      <c r="S37" s="4">
        <f>'תקציב אגף שאיפה  2021 '!S37</f>
        <v>0</v>
      </c>
      <c r="T37" s="4">
        <f>'תקציב אגף שאיפה  2021 '!T37</f>
        <v>0</v>
      </c>
      <c r="U37" s="4">
        <f>'תקציב אגף שאיפה  2021 '!U37</f>
        <v>0</v>
      </c>
      <c r="V37" s="4">
        <f>'תקציב אגף שאיפה  2021 '!V37</f>
        <v>0</v>
      </c>
      <c r="W37" s="4">
        <f>'תקציב אגף שאיפה  2021 '!W37</f>
        <v>0</v>
      </c>
      <c r="X37" s="4">
        <f>'תקציב אגף שאיפה  2021 '!X37</f>
        <v>0</v>
      </c>
      <c r="Y37" s="4">
        <f>'תקציב אגף שאיפה  2021 '!Y37</f>
        <v>0</v>
      </c>
      <c r="Z37" s="4">
        <f>'תקציב אגף שאיפה  2021 '!Z37</f>
        <v>0</v>
      </c>
      <c r="AA37" s="4">
        <f>'תקציב אגף שאיפה  2021 '!AA37</f>
        <v>0</v>
      </c>
      <c r="AB37" s="280" t="str">
        <f>'תקציב אגף שאיפה  2021 '!AB37</f>
        <v>עבודות שדרוג ושיקום שטחי הגינון  לצידי הרחוב במקטעים שטרם שודרגו. שטח של כ- 4.5 דונם.</v>
      </c>
      <c r="AC37" s="3">
        <f>'תקציב אגף שאיפה  2021 '!AC37</f>
        <v>746000</v>
      </c>
    </row>
    <row r="38" spans="1:34" s="5" customFormat="1" ht="42">
      <c r="A38" s="3">
        <f t="shared" si="0"/>
        <v>34</v>
      </c>
      <c r="B38" s="3">
        <f>'תקציב אגף שאיפה  2021 '!B38</f>
        <v>2167</v>
      </c>
      <c r="C38" s="280" t="str">
        <f>'תקציב אגף שאיפה  2021 '!C38</f>
        <v>הקמת סככות המתנה לאוטובוס כולל תשתיות</v>
      </c>
      <c r="D38" s="4">
        <f>'תקציב אגף שאיפה  2021 '!D38</f>
        <v>1400000</v>
      </c>
      <c r="E38" s="4">
        <f>'תקציב אגף שאיפה  2021 '!E38</f>
        <v>1400000</v>
      </c>
      <c r="F38" s="4">
        <f>'תקציב אגף שאיפה  2021 '!F38</f>
        <v>0</v>
      </c>
      <c r="G38" s="4">
        <f>'תקציב אגף שאיפה  2021 '!G38</f>
        <v>0</v>
      </c>
      <c r="H38" s="4">
        <f>'תקציב אגף שאיפה  2021 '!H38</f>
        <v>0</v>
      </c>
      <c r="I38" s="4">
        <f>'תקציב אגף שאיפה  2021 '!I38</f>
        <v>0</v>
      </c>
      <c r="J38" s="4">
        <f>'תקציב אגף שאיפה  2021 '!J38</f>
        <v>0</v>
      </c>
      <c r="K38" s="4">
        <f>'תקציב אגף שאיפה  2021 '!K38</f>
        <v>0</v>
      </c>
      <c r="L38" s="4">
        <f>'תקציב אגף שאיפה  2021 '!L38</f>
        <v>0</v>
      </c>
      <c r="M38" s="4">
        <f>'תקציב אגף שאיפה  2021 '!M38</f>
        <v>0</v>
      </c>
      <c r="N38" s="4">
        <f>'תקציב אגף שאיפה  2021 '!N38</f>
        <v>200000</v>
      </c>
      <c r="O38" s="4">
        <f>'תקציב אגף שאיפה  2021 '!O38</f>
        <v>1200000</v>
      </c>
      <c r="P38" s="4">
        <f>'תקציב אגף שאיפה  2021 '!P38</f>
        <v>0</v>
      </c>
      <c r="Q38" s="4">
        <f>'תקציב אגף שאיפה  2021 '!Q38</f>
        <v>0</v>
      </c>
      <c r="R38" s="4">
        <f>'תקציב אגף שאיפה  2021 '!R38</f>
        <v>0</v>
      </c>
      <c r="S38" s="4">
        <f>'תקציב אגף שאיפה  2021 '!S38</f>
        <v>0</v>
      </c>
      <c r="T38" s="4">
        <f>'תקציב אגף שאיפה  2021 '!T38</f>
        <v>0</v>
      </c>
      <c r="U38" s="4">
        <f>'תקציב אגף שאיפה  2021 '!U38</f>
        <v>200000</v>
      </c>
      <c r="V38" s="4">
        <f>'תקציב אגף שאיפה  2021 '!V38</f>
        <v>0</v>
      </c>
      <c r="W38" s="4">
        <f>'תקציב אגף שאיפה  2021 '!W38</f>
        <v>200000</v>
      </c>
      <c r="X38" s="4">
        <f>'תקציב אגף שאיפה  2021 '!X38</f>
        <v>0</v>
      </c>
      <c r="Y38" s="4">
        <f>'תקציב אגף שאיפה  2021 '!Y38</f>
        <v>0</v>
      </c>
      <c r="Z38" s="4">
        <f>'תקציב אגף שאיפה  2021 '!Z38</f>
        <v>0</v>
      </c>
      <c r="AA38" s="4">
        <f>'תקציב אגף שאיפה  2021 '!AA38</f>
        <v>0</v>
      </c>
      <c r="AB38" s="280" t="str">
        <f>'תקציב אגף שאיפה  2021 '!AB38</f>
        <v>התקנת תאורה בתחנות אוטובוס ברחבי העיר שהקים מ.התחבורה  וביצוע תשתיות לתחנות אוטובוס שיוצבו ע"י מ. התחבורה ב - 2021.</v>
      </c>
      <c r="AC38" s="3">
        <f>'תקציב אגף שאיפה  2021 '!AC38</f>
        <v>742000</v>
      </c>
    </row>
    <row r="39" spans="1:34" s="5" customFormat="1" ht="56">
      <c r="A39" s="3">
        <f t="shared" si="0"/>
        <v>35</v>
      </c>
      <c r="B39" s="3">
        <f>'תקציב אגף שאיפה  2021 '!B39</f>
        <v>2168</v>
      </c>
      <c r="C39" s="280" t="str">
        <f>'תקציב אגף שאיפה  2021 '!C39</f>
        <v>קידום ושימור הטבע העירוני בעיר</v>
      </c>
      <c r="D39" s="4">
        <f>'תקציב אגף שאיפה  2021 '!D39</f>
        <v>240000</v>
      </c>
      <c r="E39" s="4">
        <f>'תקציב אגף שאיפה  2021 '!E39</f>
        <v>240000</v>
      </c>
      <c r="F39" s="4">
        <f>'תקציב אגף שאיפה  2021 '!F39</f>
        <v>0</v>
      </c>
      <c r="G39" s="4">
        <f>'תקציב אגף שאיפה  2021 '!G39</f>
        <v>100000</v>
      </c>
      <c r="H39" s="4">
        <f>'תקציב אגף שאיפה  2021 '!H39</f>
        <v>0</v>
      </c>
      <c r="I39" s="4">
        <f>'תקציב אגף שאיפה  2021 '!I39</f>
        <v>0</v>
      </c>
      <c r="J39" s="4">
        <f>'תקציב אגף שאיפה  2021 '!J39</f>
        <v>0</v>
      </c>
      <c r="K39" s="4">
        <f>'תקציב אגף שאיפה  2021 '!K39</f>
        <v>0</v>
      </c>
      <c r="L39" s="4">
        <f>'תקציב אגף שאיפה  2021 '!L39</f>
        <v>0</v>
      </c>
      <c r="M39" s="4">
        <f>'תקציב אגף שאיפה  2021 '!M39</f>
        <v>0</v>
      </c>
      <c r="N39" s="4">
        <f>'תקציב אגף שאיפה  2021 '!N39</f>
        <v>170000</v>
      </c>
      <c r="O39" s="4">
        <f>'תקציב אגף שאיפה  2021 '!O39</f>
        <v>70000</v>
      </c>
      <c r="P39" s="4">
        <f>'תקציב אגף שאיפה  2021 '!P39</f>
        <v>100000</v>
      </c>
      <c r="Q39" s="4">
        <f>'תקציב אגף שאיפה  2021 '!Q39</f>
        <v>0</v>
      </c>
      <c r="R39" s="4">
        <f>'תקציב אגף שאיפה  2021 '!R39</f>
        <v>0</v>
      </c>
      <c r="S39" s="4">
        <f>'תקציב אגף שאיפה  2021 '!S39</f>
        <v>0</v>
      </c>
      <c r="T39" s="4">
        <f>'תקציב אגף שאיפה  2021 '!T39</f>
        <v>100000</v>
      </c>
      <c r="U39" s="4">
        <f>'תקציב אגף שאיפה  2021 '!U39</f>
        <v>70000</v>
      </c>
      <c r="V39" s="4">
        <f>'תקציב אגף שאיפה  2021 '!V39</f>
        <v>0</v>
      </c>
      <c r="W39" s="4">
        <f>'תקציב אגף שאיפה  2021 '!W39</f>
        <v>70000</v>
      </c>
      <c r="X39" s="4">
        <f>'תקציב אגף שאיפה  2021 '!X39</f>
        <v>0</v>
      </c>
      <c r="Y39" s="4">
        <f>'תקציב אגף שאיפה  2021 '!Y39</f>
        <v>0</v>
      </c>
      <c r="Z39" s="4">
        <f>'תקציב אגף שאיפה  2021 '!Z39</f>
        <v>0</v>
      </c>
      <c r="AA39" s="4">
        <f>'תקציב אגף שאיפה  2021 '!AA39</f>
        <v>0</v>
      </c>
      <c r="AB39" s="280" t="str">
        <f>'תקציב אגף שאיפה  2021 '!AB39</f>
        <v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v>
      </c>
      <c r="AC39" s="3">
        <f>'תקציב אגף שאיפה  2021 '!AC39</f>
        <v>746000</v>
      </c>
    </row>
    <row r="40" spans="1:34" s="5" customFormat="1" ht="30" customHeight="1">
      <c r="A40" s="3">
        <f t="shared" si="0"/>
        <v>36</v>
      </c>
      <c r="B40" s="3">
        <f>'תקציב אגף שאיפה  2021 '!B40</f>
        <v>2181</v>
      </c>
      <c r="C40" s="280" t="str">
        <f>'תקציב אגף שאיפה  2021 '!C40</f>
        <v>טיפול במפגעי בטיחות במצוק</v>
      </c>
      <c r="D40" s="4">
        <f>'תקציב אגף שאיפה  2021 '!D40</f>
        <v>1259000</v>
      </c>
      <c r="E40" s="4">
        <f>'תקציב אגף שאיפה  2021 '!E40</f>
        <v>1259000</v>
      </c>
      <c r="F40" s="4">
        <f>'תקציב אגף שאיפה  2021 '!F40</f>
        <v>0</v>
      </c>
      <c r="G40" s="4">
        <f>'תקציב אגף שאיפה  2021 '!G40</f>
        <v>1259000</v>
      </c>
      <c r="H40" s="4">
        <f>'תקציב אגף שאיפה  2021 '!H40</f>
        <v>446965</v>
      </c>
      <c r="I40" s="4">
        <f>'תקציב אגף שאיפה  2021 '!I40</f>
        <v>0</v>
      </c>
      <c r="J40" s="4">
        <f>'תקציב אגף שאיפה  2021 '!J40</f>
        <v>744959</v>
      </c>
      <c r="K40" s="4">
        <f>'תקציב אגף שאיפה  2021 '!K40</f>
        <v>744959</v>
      </c>
      <c r="L40" s="4">
        <f>'תקציב אגף שאיפה  2021 '!L40</f>
        <v>1191924</v>
      </c>
      <c r="M40" s="4">
        <f>'תקציב אגף שאיפה  2021 '!M40</f>
        <v>67076</v>
      </c>
      <c r="N40" s="4">
        <f>'תקציב אגף שאיפה  2021 '!N40</f>
        <v>0</v>
      </c>
      <c r="O40" s="4">
        <f>'תקציב אגף שאיפה  2021 '!O40</f>
        <v>0</v>
      </c>
      <c r="P40" s="4">
        <f>'תקציב אגף שאיפה  2021 '!P40</f>
        <v>67076</v>
      </c>
      <c r="Q40" s="4">
        <f>'תקציב אגף שאיפה  2021 '!Q40</f>
        <v>0</v>
      </c>
      <c r="R40" s="4">
        <f>'תקציב אגף שאיפה  2021 '!R40</f>
        <v>0</v>
      </c>
      <c r="S40" s="4">
        <f>'תקציב אגף שאיפה  2021 '!S40</f>
        <v>0</v>
      </c>
      <c r="T40" s="4">
        <f>'תקציב אגף שאיפה  2021 '!T40</f>
        <v>0</v>
      </c>
      <c r="U40" s="4">
        <f>'תקציב אגף שאיפה  2021 '!U40</f>
        <v>0</v>
      </c>
      <c r="V40" s="4">
        <f>'תקציב אגף שאיפה  2021 '!V40</f>
        <v>0</v>
      </c>
      <c r="W40" s="4">
        <f>'תקציב אגף שאיפה  2021 '!W40</f>
        <v>0</v>
      </c>
      <c r="X40" s="4">
        <f>'תקציב אגף שאיפה  2021 '!X40</f>
        <v>0</v>
      </c>
      <c r="Y40" s="4">
        <f>'תקציב אגף שאיפה  2021 '!Y40</f>
        <v>0</v>
      </c>
      <c r="Z40" s="4">
        <f>'תקציב אגף שאיפה  2021 '!Z40</f>
        <v>0</v>
      </c>
      <c r="AA40" s="4">
        <f>'תקציב אגף שאיפה  2021 '!AA40</f>
        <v>0</v>
      </c>
      <c r="AB40" s="280" t="str">
        <f>'תקציב אגף שאיפה  2021 '!AB40</f>
        <v>ביצוע עבודות לטיפול במפגעי בטיחות במצוק. מימון מ. הפנים.</v>
      </c>
      <c r="AC40" s="3">
        <f>'תקציב אגף שאיפה  2021 '!AC40</f>
        <v>747000</v>
      </c>
    </row>
    <row r="41" spans="1:34" s="5" customFormat="1" ht="46.25" customHeight="1">
      <c r="A41" s="3">
        <f t="shared" si="0"/>
        <v>37</v>
      </c>
      <c r="B41" s="3">
        <f>'תקציב אגף שאיפה  2021 '!B41</f>
        <v>2220</v>
      </c>
      <c r="C41" s="280" t="str">
        <f>'תקציב אגף שאיפה  2021 '!C41</f>
        <v>גן יניב - פיתוח והקמת מתקני כושר</v>
      </c>
      <c r="D41" s="4">
        <f>'תקציב אגף שאיפה  2021 '!D41</f>
        <v>800000</v>
      </c>
      <c r="E41" s="4">
        <f>'תקציב אגף שאיפה  2021 '!E41</f>
        <v>0</v>
      </c>
      <c r="F41" s="4">
        <f>'תקציב אגף שאיפה  2021 '!F41</f>
        <v>800000</v>
      </c>
      <c r="G41" s="4">
        <f>'תקציב אגף שאיפה  2021 '!G41</f>
        <v>0</v>
      </c>
      <c r="H41" s="4">
        <f>'תקציב אגף שאיפה  2021 '!H41</f>
        <v>0</v>
      </c>
      <c r="I41" s="4">
        <f>'תקציב אגף שאיפה  2021 '!I41</f>
        <v>0</v>
      </c>
      <c r="J41" s="4">
        <f>'תקציב אגף שאיפה  2021 '!J41</f>
        <v>0</v>
      </c>
      <c r="K41" s="4">
        <f>'תקציב אגף שאיפה  2021 '!K41</f>
        <v>0</v>
      </c>
      <c r="L41" s="4">
        <f>'תקציב אגף שאיפה  2021 '!L41</f>
        <v>0</v>
      </c>
      <c r="M41" s="4">
        <f>'תקציב אגף שאיפה  2021 '!M41</f>
        <v>0</v>
      </c>
      <c r="N41" s="4">
        <f>'תקציב אגף שאיפה  2021 '!N41</f>
        <v>600000</v>
      </c>
      <c r="O41" s="4">
        <f>'תקציב אגף שאיפה  2021 '!O41</f>
        <v>200000</v>
      </c>
      <c r="P41" s="4">
        <f>'תקציב אגף שאיפה  2021 '!P41</f>
        <v>0</v>
      </c>
      <c r="Q41" s="4">
        <f>'תקציב אגף שאיפה  2021 '!Q41</f>
        <v>0</v>
      </c>
      <c r="R41" s="4">
        <f>'תקציב אגף שאיפה  2021 '!R41</f>
        <v>0</v>
      </c>
      <c r="S41" s="4">
        <f>'תקציב אגף שאיפה  2021 '!S41</f>
        <v>0</v>
      </c>
      <c r="T41" s="4">
        <f>'תקציב אגף שאיפה  2021 '!T41</f>
        <v>0</v>
      </c>
      <c r="U41" s="4">
        <f>'תקציב אגף שאיפה  2021 '!U41</f>
        <v>600000</v>
      </c>
      <c r="V41" s="4">
        <f>'תקציב אגף שאיפה  2021 '!V41</f>
        <v>600000</v>
      </c>
      <c r="W41" s="4">
        <f>'תקציב אגף שאיפה  2021 '!W41</f>
        <v>0</v>
      </c>
      <c r="X41" s="4">
        <f>'תקציב אגף שאיפה  2021 '!X41</f>
        <v>0</v>
      </c>
      <c r="Y41" s="4">
        <f>'תקציב אגף שאיפה  2021 '!Y41</f>
        <v>0</v>
      </c>
      <c r="Z41" s="4">
        <f>'תקציב אגף שאיפה  2021 '!Z41</f>
        <v>0</v>
      </c>
      <c r="AA41" s="4">
        <f>'תקציב אגף שאיפה  2021 '!AA41</f>
        <v>0</v>
      </c>
      <c r="AB41" s="280" t="str">
        <f>'תקציב אגף שאיפה  2021 '!AB41</f>
        <v>הקמת מתקני כושר ופיתוח בשטח הגבול בין גינת הכלבים וחיבור לגן הציבורי בשטח של 1.3 דונם.</v>
      </c>
      <c r="AC41" s="3">
        <f>'תקציב אגף שאיפה  2021 '!AC41</f>
        <v>746000</v>
      </c>
    </row>
    <row r="42" spans="1:34" s="426" customFormat="1" ht="30" customHeight="1">
      <c r="A42" s="346">
        <f>A41</f>
        <v>37</v>
      </c>
      <c r="B42" s="346"/>
      <c r="C42" s="33" t="s">
        <v>962</v>
      </c>
      <c r="D42" s="425">
        <f>SUM(D5:D41)</f>
        <v>263941379</v>
      </c>
      <c r="E42" s="425">
        <f t="shared" ref="E42:AA42" si="1">SUM(E5:E41)</f>
        <v>232020379</v>
      </c>
      <c r="F42" s="425">
        <f t="shared" si="1"/>
        <v>31921000</v>
      </c>
      <c r="G42" s="425">
        <f t="shared" si="1"/>
        <v>203662245</v>
      </c>
      <c r="H42" s="425">
        <f t="shared" si="1"/>
        <v>185965379</v>
      </c>
      <c r="I42" s="425">
        <f t="shared" si="1"/>
        <v>0</v>
      </c>
      <c r="J42" s="425">
        <f t="shared" si="1"/>
        <v>9211704</v>
      </c>
      <c r="K42" s="425">
        <f t="shared" si="1"/>
        <v>9211704</v>
      </c>
      <c r="L42" s="425">
        <f t="shared" si="1"/>
        <v>195177083</v>
      </c>
      <c r="M42" s="425">
        <f t="shared" si="1"/>
        <v>6558162</v>
      </c>
      <c r="N42" s="425">
        <f t="shared" si="1"/>
        <v>29162000</v>
      </c>
      <c r="O42" s="425">
        <f t="shared" si="1"/>
        <v>33044134</v>
      </c>
      <c r="P42" s="425">
        <f t="shared" si="1"/>
        <v>8485162</v>
      </c>
      <c r="Q42" s="425">
        <f t="shared" si="1"/>
        <v>0</v>
      </c>
      <c r="R42" s="425">
        <f t="shared" si="1"/>
        <v>0</v>
      </c>
      <c r="S42" s="425">
        <f t="shared" si="1"/>
        <v>0</v>
      </c>
      <c r="T42" s="425">
        <f t="shared" si="1"/>
        <v>1927000</v>
      </c>
      <c r="U42" s="425">
        <f t="shared" si="1"/>
        <v>27235000</v>
      </c>
      <c r="V42" s="425">
        <f t="shared" si="1"/>
        <v>533000</v>
      </c>
      <c r="W42" s="425">
        <f t="shared" si="1"/>
        <v>7320000</v>
      </c>
      <c r="X42" s="425">
        <f t="shared" si="1"/>
        <v>0</v>
      </c>
      <c r="Y42" s="425">
        <f t="shared" si="1"/>
        <v>0</v>
      </c>
      <c r="Z42" s="425">
        <f t="shared" si="1"/>
        <v>0</v>
      </c>
      <c r="AA42" s="425">
        <f t="shared" si="1"/>
        <v>19382000</v>
      </c>
      <c r="AB42" s="425"/>
      <c r="AC42" s="346"/>
    </row>
    <row r="43" spans="1:34" hidden="1">
      <c r="L43" s="14">
        <f>K42+H42</f>
        <v>195177083</v>
      </c>
      <c r="M43" s="14">
        <f>P43+S42-T42</f>
        <v>6558162</v>
      </c>
      <c r="P43" s="14">
        <f>G42-L43</f>
        <v>8485162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2"/>
  <sheetViews>
    <sheetView showZeros="0" rightToLeft="1" zoomScale="93" zoomScaleNormal="93" workbookViewId="0">
      <pane xSplit="3" ySplit="4" topLeftCell="D47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08984375" defaultRowHeight="14"/>
  <cols>
    <col min="1" max="1" width="3.36328125" style="29" customWidth="1"/>
    <col min="2" max="2" width="4.81640625" style="12" customWidth="1"/>
    <col min="3" max="3" width="20.1796875" style="12" customWidth="1"/>
    <col min="4" max="4" width="10.6328125" style="14" customWidth="1"/>
    <col min="5" max="5" width="10.54296875" style="14" hidden="1" customWidth="1"/>
    <col min="6" max="6" width="9.453125" style="14" hidden="1" customWidth="1"/>
    <col min="7" max="7" width="11.08984375" style="14" hidden="1" customWidth="1"/>
    <col min="8" max="10" width="12.6328125" style="14" hidden="1" customWidth="1"/>
    <col min="11" max="11" width="11.36328125" style="14" hidden="1" customWidth="1"/>
    <col min="12" max="12" width="10.6328125" style="14" customWidth="1"/>
    <col min="13" max="13" width="8.6328125" style="14" customWidth="1"/>
    <col min="14" max="14" width="9.81640625" style="14" customWidth="1"/>
    <col min="15" max="15" width="9.54296875" style="14" customWidth="1"/>
    <col min="16" max="19" width="10.6328125" style="14" hidden="1" customWidth="1"/>
    <col min="20" max="20" width="8.90625" style="14" customWidth="1"/>
    <col min="21" max="21" width="9.6328125" style="12" customWidth="1"/>
    <col min="22" max="22" width="9.453125" style="12" customWidth="1"/>
    <col min="23" max="23" width="8.90625" style="12" customWidth="1"/>
    <col min="24" max="26" width="10.6328125" style="12" hidden="1" customWidth="1"/>
    <col min="27" max="27" width="10" style="14" customWidth="1"/>
    <col min="28" max="28" width="36.1796875" style="18" customWidth="1"/>
    <col min="29" max="29" width="7.90625" style="12" hidden="1" customWidth="1"/>
    <col min="30" max="30" width="30.6328125" style="166" customWidth="1"/>
    <col min="31" max="31" width="9.08984375" style="17" customWidth="1"/>
    <col min="32" max="32" width="1.54296875" style="17" customWidth="1"/>
    <col min="33" max="34" width="9.08984375" style="17" customWidth="1"/>
    <col min="35" max="16384" width="9.08984375" style="12"/>
  </cols>
  <sheetData>
    <row r="1" spans="1:34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593"/>
      <c r="AB1" s="402"/>
      <c r="AD1" s="166"/>
    </row>
    <row r="2" spans="1:34" s="166" customFormat="1" ht="18">
      <c r="A2" s="282" t="s">
        <v>190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593"/>
      <c r="AB2" s="183"/>
    </row>
    <row r="3" spans="1:34" ht="24" customHeight="1"/>
    <row r="4" spans="1:34" s="24" customFormat="1" ht="86.25" customHeight="1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559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9" t="s">
        <v>91</v>
      </c>
      <c r="AB4" s="16" t="s">
        <v>344</v>
      </c>
      <c r="AC4" s="16" t="s">
        <v>16</v>
      </c>
      <c r="AD4" s="166"/>
    </row>
    <row r="5" spans="1:34" s="5" customFormat="1" ht="22.75" customHeight="1">
      <c r="A5" s="3">
        <v>1</v>
      </c>
      <c r="B5" s="3">
        <f>'תקציב אגף שאיפה  2021 '!B32</f>
        <v>2066</v>
      </c>
      <c r="C5" s="280" t="str">
        <f>'תקציב אגף שאיפה  2021 '!C32</f>
        <v>סקר טבע עירוני</v>
      </c>
      <c r="D5" s="4">
        <f>'תקציב אגף שאיפה  2021 '!D32</f>
        <v>112500</v>
      </c>
      <c r="E5" s="4">
        <f>'תקציב אגף שאיפה  2021 '!E32</f>
        <v>112500</v>
      </c>
      <c r="F5" s="4">
        <f>'תקציב אגף שאיפה  2021 '!F32</f>
        <v>0</v>
      </c>
      <c r="G5" s="4">
        <f>'תקציב אגף שאיפה  2021 '!G32</f>
        <v>112500</v>
      </c>
      <c r="H5" s="4">
        <f>'תקציב אגף שאיפה  2021 '!H32</f>
        <v>111299</v>
      </c>
      <c r="I5" s="4">
        <f>'תקציב אגף שאיפה  2021 '!I32</f>
        <v>0</v>
      </c>
      <c r="J5" s="4">
        <f>'תקציב אגף שאיפה  2021 '!J32</f>
        <v>0</v>
      </c>
      <c r="K5" s="4">
        <f>'תקציב אגף שאיפה  2021 '!K32</f>
        <v>0</v>
      </c>
      <c r="L5" s="4">
        <f>'תקציב אגף שאיפה  2021 '!L32</f>
        <v>111299</v>
      </c>
      <c r="M5" s="4">
        <f>'תקציב אגף שאיפה  2021 '!M32</f>
        <v>1201</v>
      </c>
      <c r="N5" s="4">
        <f>'תקציב אגף שאיפה  2021 '!N32</f>
        <v>0</v>
      </c>
      <c r="O5" s="4">
        <f>'תקציב אגף שאיפה  2021 '!O32</f>
        <v>0</v>
      </c>
      <c r="P5" s="4">
        <f>'תקציב אגף שאיפה  2021 '!P32</f>
        <v>1201</v>
      </c>
      <c r="Q5" s="4">
        <f>'תקציב אגף שאיפה  2021 '!Q32</f>
        <v>0</v>
      </c>
      <c r="R5" s="4">
        <f>'תקציב אגף שאיפה  2021 '!R32</f>
        <v>0</v>
      </c>
      <c r="S5" s="4">
        <f>'תקציב אגף שאיפה  2021 '!S32</f>
        <v>0</v>
      </c>
      <c r="T5" s="4">
        <f>'תקציב אגף שאיפה  2021 '!T32</f>
        <v>0</v>
      </c>
      <c r="U5" s="4">
        <f>'תקציב אגף שאיפה  2021 '!U32</f>
        <v>0</v>
      </c>
      <c r="V5" s="4">
        <f>'תקציב אגף שאיפה  2021 '!V32</f>
        <v>0</v>
      </c>
      <c r="W5" s="4">
        <f>'תקציב אגף שאיפה  2021 '!W32</f>
        <v>0</v>
      </c>
      <c r="X5" s="4">
        <f>'תקציב אגף שאיפה  2021 '!X32</f>
        <v>0</v>
      </c>
      <c r="Y5" s="4">
        <f>'תקציב אגף שאיפה  2021 '!Y32</f>
        <v>0</v>
      </c>
      <c r="Z5" s="4">
        <f>'תקציב אגף שאיפה  2021 '!Z32</f>
        <v>0</v>
      </c>
      <c r="AA5" s="4">
        <f>'תקציב אגף שאיפה  2021 '!AA32</f>
        <v>0</v>
      </c>
      <c r="AB5" s="280" t="str">
        <f>'תקציב אגף שאיפה  2021 '!AB32</f>
        <v>ייסגר עם קבלת תקבולים מ. הגנת הסביבה.</v>
      </c>
      <c r="AC5" s="3">
        <f>'תקציב אגף שאיפה  2021 '!AC32</f>
        <v>732000</v>
      </c>
      <c r="AD5" s="22"/>
      <c r="AE5" s="22"/>
      <c r="AF5" s="23"/>
      <c r="AG5" s="23"/>
      <c r="AH5" s="23"/>
    </row>
    <row r="6" spans="1:34" s="70" customFormat="1" ht="22.75" customHeight="1">
      <c r="A6" s="33"/>
      <c r="B6" s="33"/>
      <c r="C6" s="412" t="s">
        <v>1476</v>
      </c>
      <c r="D6" s="73">
        <f>SUM(D5)</f>
        <v>112500</v>
      </c>
      <c r="E6" s="73">
        <f t="shared" ref="E6:AA6" si="0">SUM(E5)</f>
        <v>112500</v>
      </c>
      <c r="F6" s="73">
        <f t="shared" si="0"/>
        <v>0</v>
      </c>
      <c r="G6" s="73">
        <f t="shared" si="0"/>
        <v>112500</v>
      </c>
      <c r="H6" s="73">
        <f t="shared" si="0"/>
        <v>111299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111299</v>
      </c>
      <c r="M6" s="73">
        <f t="shared" si="0"/>
        <v>1201</v>
      </c>
      <c r="N6" s="73">
        <f t="shared" si="0"/>
        <v>0</v>
      </c>
      <c r="O6" s="73">
        <f t="shared" si="0"/>
        <v>0</v>
      </c>
      <c r="P6" s="73">
        <f t="shared" si="0"/>
        <v>1201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73">
        <f t="shared" si="0"/>
        <v>0</v>
      </c>
      <c r="AA6" s="73">
        <f t="shared" si="0"/>
        <v>0</v>
      </c>
      <c r="AB6" s="412"/>
      <c r="AC6" s="33"/>
      <c r="AD6" s="265"/>
      <c r="AE6" s="265"/>
      <c r="AF6" s="266"/>
      <c r="AG6" s="266"/>
      <c r="AH6" s="266"/>
    </row>
    <row r="7" spans="1:34" s="5" customFormat="1" ht="42">
      <c r="A7" s="3">
        <f>A5+1</f>
        <v>2</v>
      </c>
      <c r="B7" s="3">
        <f>'תקציב אגף שאיפה  2021 '!B23</f>
        <v>1973</v>
      </c>
      <c r="C7" s="280" t="str">
        <f>'תקציב אגף שאיפה  2021 '!C23</f>
        <v>שילוט ברחבי העיר</v>
      </c>
      <c r="D7" s="4">
        <f>'תקציב אגף שאיפה  2021 '!D23</f>
        <v>2500000</v>
      </c>
      <c r="E7" s="4">
        <f>'תקציב אגף שאיפה  2021 '!E23</f>
        <v>1800000</v>
      </c>
      <c r="F7" s="4">
        <f>'תקציב אגף שאיפה  2021 '!F23</f>
        <v>700000</v>
      </c>
      <c r="G7" s="4">
        <f>'תקציב אגף שאיפה  2021 '!G23</f>
        <v>900000</v>
      </c>
      <c r="H7" s="4">
        <f>'תקציב אגף שאיפה  2021 '!H23</f>
        <v>586058</v>
      </c>
      <c r="I7" s="4">
        <f>'תקציב אגף שאיפה  2021 '!I23</f>
        <v>0</v>
      </c>
      <c r="J7" s="4">
        <f>'תקציב אגף שאיפה  2021 '!J23</f>
        <v>313346</v>
      </c>
      <c r="K7" s="4">
        <f>'תקציב אגף שאיפה  2021 '!K23</f>
        <v>313346</v>
      </c>
      <c r="L7" s="4">
        <f>'תקציב אגף שאיפה  2021 '!L23</f>
        <v>899404</v>
      </c>
      <c r="M7" s="4">
        <f>'תקציב אגף שאיפה  2021 '!M23</f>
        <v>596</v>
      </c>
      <c r="N7" s="4">
        <f>'תקציב אגף שאיפה  2021 '!N23</f>
        <v>250000</v>
      </c>
      <c r="O7" s="4">
        <f>'תקציב אגף שאיפה  2021 '!O23</f>
        <v>1350000</v>
      </c>
      <c r="P7" s="4">
        <f>'תקציב אגף שאיפה  2021 '!P23</f>
        <v>596</v>
      </c>
      <c r="Q7" s="4">
        <f>'תקציב אגף שאיפה  2021 '!Q23</f>
        <v>0</v>
      </c>
      <c r="R7" s="4">
        <f>'תקציב אגף שאיפה  2021 '!R23</f>
        <v>0</v>
      </c>
      <c r="S7" s="4">
        <f>'תקציב אגף שאיפה  2021 '!S23</f>
        <v>0</v>
      </c>
      <c r="T7" s="4">
        <f>'תקציב אגף שאיפה  2021 '!T23</f>
        <v>0</v>
      </c>
      <c r="U7" s="4">
        <f>'תקציב אגף שאיפה  2021 '!U23</f>
        <v>250000</v>
      </c>
      <c r="V7" s="4">
        <f>'תקציב אגף שאיפה  2021 '!V23</f>
        <v>0</v>
      </c>
      <c r="W7" s="4">
        <f>'תקציב אגף שאיפה  2021 '!W23</f>
        <v>250000</v>
      </c>
      <c r="X7" s="4">
        <f>'תקציב אגף שאיפה  2021 '!X23</f>
        <v>0</v>
      </c>
      <c r="Y7" s="4">
        <f>'תקציב אגף שאיפה  2021 '!Y23</f>
        <v>0</v>
      </c>
      <c r="Z7" s="4">
        <f>'תקציב אגף שאיפה  2021 '!Z23</f>
        <v>0</v>
      </c>
      <c r="AA7" s="4">
        <f>'תקציב אגף שאיפה  2021 '!AA23</f>
        <v>0</v>
      </c>
      <c r="AB7" s="280" t="str">
        <f>'תקציב אגף שאיפה  2021 '!AB23</f>
        <v>תוכנית אב לשילוט של כל סוגי השילוט בעיר בשלב 1 הרצליה הירוקה ,החלפת שלטים לשלטים מחזירי אור ברחבי העיר .</v>
      </c>
      <c r="AC7" s="3">
        <f>'תקציב אגף שאיפה  2021 '!AC23</f>
        <v>742000</v>
      </c>
      <c r="AD7" s="166"/>
      <c r="AE7" s="22"/>
      <c r="AF7" s="23"/>
      <c r="AG7" s="23"/>
      <c r="AH7" s="23"/>
    </row>
    <row r="8" spans="1:34" s="5" customFormat="1" ht="45.65" customHeight="1">
      <c r="A8" s="3">
        <f t="shared" ref="A8:A49" si="1">A7+1</f>
        <v>3</v>
      </c>
      <c r="B8" s="3">
        <f>'תקציב אגף שאיפה  2021 '!B35</f>
        <v>2164</v>
      </c>
      <c r="C8" s="280" t="str">
        <f>'תקציב אגף שאיפה  2021 '!C35</f>
        <v>שדרוג מתחם המשקל העירוני</v>
      </c>
      <c r="D8" s="4">
        <f>'תקציב אגף שאיפה  2021 '!D35</f>
        <v>300000</v>
      </c>
      <c r="E8" s="4">
        <f>'תקציב אגף שאיפה  2021 '!E35</f>
        <v>200000</v>
      </c>
      <c r="F8" s="4">
        <f>'תקציב אגף שאיפה  2021 '!F35</f>
        <v>100000</v>
      </c>
      <c r="G8" s="4">
        <f>'תקציב אגף שאיפה  2021 '!G35</f>
        <v>0</v>
      </c>
      <c r="H8" s="4">
        <f>'תקציב אגף שאיפה  2021 '!H35</f>
        <v>0</v>
      </c>
      <c r="I8" s="4">
        <f>'תקציב אגף שאיפה  2021 '!I35</f>
        <v>0</v>
      </c>
      <c r="J8" s="4">
        <f>'תקציב אגף שאיפה  2021 '!J35</f>
        <v>0</v>
      </c>
      <c r="K8" s="4">
        <f>'תקציב אגף שאיפה  2021 '!K35</f>
        <v>0</v>
      </c>
      <c r="L8" s="4">
        <f>'תקציב אגף שאיפה  2021 '!L35</f>
        <v>0</v>
      </c>
      <c r="M8" s="4">
        <f>'תקציב אגף שאיפה  2021 '!M35</f>
        <v>0</v>
      </c>
      <c r="N8" s="4">
        <f>'תקציב אגף שאיפה  2021 '!N35</f>
        <v>0</v>
      </c>
      <c r="O8" s="4">
        <f>'תקציב אגף שאיפה  2021 '!O35</f>
        <v>300000</v>
      </c>
      <c r="P8" s="4">
        <f>'תקציב אגף שאיפה  2021 '!P35</f>
        <v>0</v>
      </c>
      <c r="Q8" s="4">
        <f>'תקציב אגף שאיפה  2021 '!Q35</f>
        <v>0</v>
      </c>
      <c r="R8" s="4">
        <f>'תקציב אגף שאיפה  2021 '!R35</f>
        <v>0</v>
      </c>
      <c r="S8" s="4">
        <f>'תקציב אגף שאיפה  2021 '!S35</f>
        <v>0</v>
      </c>
      <c r="T8" s="4">
        <f>'תקציב אגף שאיפה  2021 '!T35</f>
        <v>0</v>
      </c>
      <c r="U8" s="4">
        <f>'תקציב אגף שאיפה  2021 '!U35</f>
        <v>0</v>
      </c>
      <c r="V8" s="4">
        <f>'תקציב אגף שאיפה  2021 '!V35</f>
        <v>0</v>
      </c>
      <c r="W8" s="4">
        <f>'תקציב אגף שאיפה  2021 '!W35</f>
        <v>0</v>
      </c>
      <c r="X8" s="4">
        <f>'תקציב אגף שאיפה  2021 '!X35</f>
        <v>0</v>
      </c>
      <c r="Y8" s="4">
        <f>'תקציב אגף שאיפה  2021 '!Y35</f>
        <v>0</v>
      </c>
      <c r="Z8" s="4">
        <f>'תקציב אגף שאיפה  2021 '!Z35</f>
        <v>0</v>
      </c>
      <c r="AA8" s="4">
        <f>'תקציב אגף שאיפה  2021 '!AA35</f>
        <v>0</v>
      </c>
      <c r="AB8" s="280" t="str">
        <f>'תקציב אגף שאיפה  2021 '!AB35</f>
        <v>עבודות במתחם המשקל העירוני להסדרת נושא הבטיחות.</v>
      </c>
      <c r="AC8" s="3">
        <f>'תקציב אגף שאיפה  2021 '!AC35</f>
        <v>742000</v>
      </c>
    </row>
    <row r="9" spans="1:34" s="5" customFormat="1" ht="69.650000000000006" customHeight="1">
      <c r="A9" s="3">
        <f t="shared" si="1"/>
        <v>4</v>
      </c>
      <c r="B9" s="3">
        <f>'תקציב אגף שאיפה  2021 '!B38</f>
        <v>2167</v>
      </c>
      <c r="C9" s="280" t="str">
        <f>'תקציב אגף שאיפה  2021 '!C38</f>
        <v>הקמת סככות המתנה לאוטובוס כולל תשתיות</v>
      </c>
      <c r="D9" s="4">
        <f>'תקציב אגף שאיפה  2021 '!D38</f>
        <v>1400000</v>
      </c>
      <c r="E9" s="4">
        <f>'תקציב אגף שאיפה  2021 '!E38</f>
        <v>1400000</v>
      </c>
      <c r="F9" s="4">
        <f>'תקציב אגף שאיפה  2021 '!F38</f>
        <v>0</v>
      </c>
      <c r="G9" s="4">
        <f>'תקציב אגף שאיפה  2021 '!G38</f>
        <v>0</v>
      </c>
      <c r="H9" s="4">
        <f>'תקציב אגף שאיפה  2021 '!H38</f>
        <v>0</v>
      </c>
      <c r="I9" s="4">
        <f>'תקציב אגף שאיפה  2021 '!I38</f>
        <v>0</v>
      </c>
      <c r="J9" s="4">
        <f>'תקציב אגף שאיפה  2021 '!J38</f>
        <v>0</v>
      </c>
      <c r="K9" s="4">
        <f>'תקציב אגף שאיפה  2021 '!K38</f>
        <v>0</v>
      </c>
      <c r="L9" s="4">
        <f>'תקציב אגף שאיפה  2021 '!L38</f>
        <v>0</v>
      </c>
      <c r="M9" s="4">
        <f>'תקציב אגף שאיפה  2021 '!M38</f>
        <v>0</v>
      </c>
      <c r="N9" s="4">
        <f>'תקציב אגף שאיפה  2021 '!N38</f>
        <v>200000</v>
      </c>
      <c r="O9" s="4">
        <f>'תקציב אגף שאיפה  2021 '!O38</f>
        <v>1200000</v>
      </c>
      <c r="P9" s="4">
        <f>'תקציב אגף שאיפה  2021 '!P38</f>
        <v>0</v>
      </c>
      <c r="Q9" s="4">
        <f>'תקציב אגף שאיפה  2021 '!Q38</f>
        <v>0</v>
      </c>
      <c r="R9" s="4">
        <f>'תקציב אגף שאיפה  2021 '!R38</f>
        <v>0</v>
      </c>
      <c r="S9" s="4">
        <f>'תקציב אגף שאיפה  2021 '!S38</f>
        <v>0</v>
      </c>
      <c r="T9" s="4">
        <f>'תקציב אגף שאיפה  2021 '!T38</f>
        <v>0</v>
      </c>
      <c r="U9" s="4">
        <f>'תקציב אגף שאיפה  2021 '!U38</f>
        <v>200000</v>
      </c>
      <c r="V9" s="4">
        <f>'תקציב אגף שאיפה  2021 '!V38</f>
        <v>0</v>
      </c>
      <c r="W9" s="4">
        <f>'תקציב אגף שאיפה  2021 '!W38</f>
        <v>200000</v>
      </c>
      <c r="X9" s="4">
        <f>'תקציב אגף שאיפה  2021 '!X38</f>
        <v>0</v>
      </c>
      <c r="Y9" s="4">
        <f>'תקציב אגף שאיפה  2021 '!Y38</f>
        <v>0</v>
      </c>
      <c r="Z9" s="4">
        <f>'תקציב אגף שאיפה  2021 '!Z38</f>
        <v>0</v>
      </c>
      <c r="AA9" s="4">
        <f>'תקציב אגף שאיפה  2021 '!AA38</f>
        <v>0</v>
      </c>
      <c r="AB9" s="280" t="str">
        <f>'תקציב אגף שאיפה  2021 '!AB38</f>
        <v>התקנת תאורה בתחנות אוטובוס ברחבי העיר שהקים מ.התחבורה  וביצוע תשתיות לתחנות אוטובוס שיוצבו ע"י מ. התחבורה ב - 2021.</v>
      </c>
      <c r="AC9" s="3">
        <f>'תקציב אגף שאיפה  2021 '!AC38</f>
        <v>742000</v>
      </c>
    </row>
    <row r="10" spans="1:34" s="5" customFormat="1" ht="28">
      <c r="A10" s="3">
        <f t="shared" si="1"/>
        <v>5</v>
      </c>
      <c r="B10" s="3">
        <f>'תקציב אגף שאיפה  2021 '!B5</f>
        <v>1134</v>
      </c>
      <c r="C10" s="280" t="str">
        <f>'תקציב אגף שאיפה  2021 '!C5</f>
        <v>יער עירוני וגינות קהילתיות</v>
      </c>
      <c r="D10" s="4">
        <f>'תקציב אגף שאיפה  2021 '!D5</f>
        <v>2795000</v>
      </c>
      <c r="E10" s="4">
        <f>'תקציב אגף שאיפה  2021 '!E5</f>
        <v>2795000</v>
      </c>
      <c r="F10" s="4">
        <f>'תקציב אגף שאיפה  2021 '!F5</f>
        <v>0</v>
      </c>
      <c r="G10" s="4">
        <f>'תקציב אגף שאיפה  2021 '!G5</f>
        <v>2705000</v>
      </c>
      <c r="H10" s="4">
        <f>'תקציב אגף שאיפה  2021 '!H5</f>
        <v>2514559</v>
      </c>
      <c r="I10" s="4">
        <f>'תקציב אגף שאיפה  2021 '!I5</f>
        <v>0</v>
      </c>
      <c r="J10" s="4">
        <f>'תקציב אגף שאיפה  2021 '!J5</f>
        <v>39610</v>
      </c>
      <c r="K10" s="4">
        <f>'תקציב אגף שאיפה  2021 '!K5</f>
        <v>39610</v>
      </c>
      <c r="L10" s="4">
        <f>'תקציב אגף שאיפה  2021 '!L5</f>
        <v>2554169</v>
      </c>
      <c r="M10" s="4">
        <f>'תקציב אגף שאיפה  2021 '!M5</f>
        <v>831</v>
      </c>
      <c r="N10" s="4">
        <f>'תקציב אגף שאיפה  2021 '!N5</f>
        <v>100000</v>
      </c>
      <c r="O10" s="4">
        <f>'תקציב אגף שאיפה  2021 '!O5</f>
        <v>140000</v>
      </c>
      <c r="P10" s="4">
        <f>'תקציב אגף שאיפה  2021 '!P5</f>
        <v>150831</v>
      </c>
      <c r="Q10" s="4">
        <f>'תקציב אגף שאיפה  2021 '!Q5</f>
        <v>0</v>
      </c>
      <c r="R10" s="4">
        <f>'תקציב אגף שאיפה  2021 '!R5</f>
        <v>0</v>
      </c>
      <c r="S10" s="4">
        <f>'תקציב אגף שאיפה  2021 '!S5</f>
        <v>0</v>
      </c>
      <c r="T10" s="4">
        <f>'תקציב אגף שאיפה  2021 '!T5</f>
        <v>150000</v>
      </c>
      <c r="U10" s="4">
        <f>'תקציב אגף שאיפה  2021 '!U5</f>
        <v>-50000</v>
      </c>
      <c r="V10" s="4">
        <f>'תקציב אגף שאיפה  2021 '!V5</f>
        <v>-50000</v>
      </c>
      <c r="W10" s="4">
        <f>'תקציב אגף שאיפה  2021 '!W5</f>
        <v>0</v>
      </c>
      <c r="X10" s="4">
        <f>'תקציב אגף שאיפה  2021 '!X5</f>
        <v>0</v>
      </c>
      <c r="Y10" s="4">
        <f>'תקציב אגף שאיפה  2021 '!Y5</f>
        <v>0</v>
      </c>
      <c r="Z10" s="4">
        <f>'תקציב אגף שאיפה  2021 '!Z5</f>
        <v>0</v>
      </c>
      <c r="AA10" s="4">
        <f>'תקציב אגף שאיפה  2021 '!AA5</f>
        <v>0</v>
      </c>
      <c r="AB10" s="280" t="str">
        <f>'תקציב אגף שאיפה  2021 '!AB5</f>
        <v>שדרוג תשתיות בגינות קהילתיות קיימות , החווה החקלאית גליל ים, והקמת יער  נוסף .</v>
      </c>
      <c r="AC10" s="3">
        <f>'תקציב אגף שאיפה  2021 '!AC5</f>
        <v>746000</v>
      </c>
      <c r="AD10" s="22"/>
      <c r="AE10" s="23"/>
      <c r="AF10" s="23"/>
      <c r="AG10" s="23"/>
      <c r="AH10" s="23"/>
    </row>
    <row r="11" spans="1:34" s="5" customFormat="1" ht="28">
      <c r="A11" s="3">
        <f t="shared" si="1"/>
        <v>6</v>
      </c>
      <c r="B11" s="3">
        <f>'תקציב אגף שאיפה  2021 '!B6</f>
        <v>1165</v>
      </c>
      <c r="C11" s="280" t="str">
        <f>'תקציב אגף שאיפה  2021 '!C6</f>
        <v>מתקני משחק ,ריהוט גן ומשטחי גומי</v>
      </c>
      <c r="D11" s="4">
        <f>'תקציב אגף שאיפה  2021 '!D6</f>
        <v>12050000</v>
      </c>
      <c r="E11" s="4">
        <f>'תקציב אגף שאיפה  2021 '!E6</f>
        <v>12050000</v>
      </c>
      <c r="F11" s="4">
        <f>'תקציב אגף שאיפה  2021 '!F6</f>
        <v>0</v>
      </c>
      <c r="G11" s="4">
        <f>'תקציב אגף שאיפה  2021 '!G6</f>
        <v>12050000</v>
      </c>
      <c r="H11" s="4">
        <f>'תקציב אגף שאיפה  2021 '!H6</f>
        <v>12043918</v>
      </c>
      <c r="I11" s="4">
        <f>'תקציב אגף שאיפה  2021 '!I6</f>
        <v>0</v>
      </c>
      <c r="J11" s="4">
        <f>'תקציב אגף שאיפה  2021 '!J6</f>
        <v>3199</v>
      </c>
      <c r="K11" s="4">
        <f>'תקציב אגף שאיפה  2021 '!K6</f>
        <v>3199</v>
      </c>
      <c r="L11" s="4">
        <f>'תקציב אגף שאיפה  2021 '!L6</f>
        <v>12047117</v>
      </c>
      <c r="M11" s="4">
        <f>'תקציב אגף שאיפה  2021 '!M6</f>
        <v>2883</v>
      </c>
      <c r="N11" s="4">
        <f>'תקציב אגף שאיפה  2021 '!N6</f>
        <v>0</v>
      </c>
      <c r="O11" s="4">
        <f>'תקציב אגף שאיפה  2021 '!O6</f>
        <v>0</v>
      </c>
      <c r="P11" s="4">
        <f>'תקציב אגף שאיפה  2021 '!P6</f>
        <v>2883</v>
      </c>
      <c r="Q11" s="4">
        <f>'תקציב אגף שאיפה  2021 '!Q6</f>
        <v>0</v>
      </c>
      <c r="R11" s="4">
        <f>'תקציב אגף שאיפה  2021 '!R6</f>
        <v>0</v>
      </c>
      <c r="S11" s="4">
        <f>'תקציב אגף שאיפה  2021 '!S6</f>
        <v>0</v>
      </c>
      <c r="T11" s="4">
        <f>'תקציב אגף שאיפה  2021 '!T6</f>
        <v>0</v>
      </c>
      <c r="U11" s="4">
        <f>'תקציב אגף שאיפה  2021 '!U6</f>
        <v>0</v>
      </c>
      <c r="V11" s="4">
        <f>'תקציב אגף שאיפה  2021 '!V6</f>
        <v>0</v>
      </c>
      <c r="W11" s="4">
        <f>'תקציב אגף שאיפה  2021 '!W6</f>
        <v>0</v>
      </c>
      <c r="X11" s="4">
        <f>'תקציב אגף שאיפה  2021 '!X6</f>
        <v>0</v>
      </c>
      <c r="Y11" s="4">
        <f>'תקציב אגף שאיפה  2021 '!Y6</f>
        <v>0</v>
      </c>
      <c r="Z11" s="4">
        <f>'תקציב אגף שאיפה  2021 '!Z6</f>
        <v>0</v>
      </c>
      <c r="AA11" s="4">
        <f>'תקציב אגף שאיפה  2021 '!AA6</f>
        <v>0</v>
      </c>
      <c r="AB11" s="280" t="str">
        <f>'תקציב אגף שאיפה  2021 '!AB6</f>
        <v>עבודות בגן גלעד וגן קלישר. לקראת סיום.</v>
      </c>
      <c r="AC11" s="3">
        <f>'תקציב אגף שאיפה  2021 '!AC6</f>
        <v>746000</v>
      </c>
      <c r="AD11" s="166"/>
      <c r="AE11" s="22"/>
      <c r="AF11" s="22"/>
      <c r="AG11" s="22"/>
      <c r="AH11" s="22"/>
    </row>
    <row r="12" spans="1:34" s="5" customFormat="1" ht="70">
      <c r="A12" s="3">
        <f t="shared" si="1"/>
        <v>7</v>
      </c>
      <c r="B12" s="3">
        <f>'תקציב אגף שאיפה  2021 '!B8</f>
        <v>1254</v>
      </c>
      <c r="C12" s="280" t="str">
        <f>'תקציב אגף שאיפה  2021 '!C8</f>
        <v xml:space="preserve">שיקום שדרוג,הקמה ונגישות גינות ציבוריות </v>
      </c>
      <c r="D12" s="4">
        <f>'תקציב אגף שאיפה  2021 '!D8</f>
        <v>49000000</v>
      </c>
      <c r="E12" s="4">
        <f>'תקציב אגף שאיפה  2021 '!E8</f>
        <v>45990000</v>
      </c>
      <c r="F12" s="4">
        <f>'תקציב אגף שאיפה  2021 '!F8</f>
        <v>3010000</v>
      </c>
      <c r="G12" s="4">
        <f>'תקציב אגף שאיפה  2021 '!G8</f>
        <v>39772866</v>
      </c>
      <c r="H12" s="4">
        <f>'תקציב אגף שאיפה  2021 '!H8</f>
        <v>37044062</v>
      </c>
      <c r="I12" s="4">
        <f>'תקציב אגף שאיפה  2021 '!I8</f>
        <v>0</v>
      </c>
      <c r="J12" s="4">
        <f>'תקציב אגף שאיפה  2021 '!J8</f>
        <v>2638448</v>
      </c>
      <c r="K12" s="4">
        <f>'תקציב אגף שאיפה  2021 '!K8</f>
        <v>2638448</v>
      </c>
      <c r="L12" s="4">
        <f>'תקציב אגף שאיפה  2021 '!L8</f>
        <v>39682510</v>
      </c>
      <c r="M12" s="4">
        <f>'תקציב אגף שאיפה  2021 '!M8</f>
        <v>90356</v>
      </c>
      <c r="N12" s="4">
        <f>'תקציב אגף שאיפה  2021 '!N8</f>
        <v>3300000</v>
      </c>
      <c r="O12" s="4">
        <f>'תקציב אגף שאיפה  2021 '!O8</f>
        <v>5927134</v>
      </c>
      <c r="P12" s="4">
        <f>'תקציב אגף שאיפה  2021 '!P8</f>
        <v>90356</v>
      </c>
      <c r="Q12" s="4">
        <f>'תקציב אגף שאיפה  2021 '!Q8</f>
        <v>0</v>
      </c>
      <c r="R12" s="4">
        <f>'תקציב אגף שאיפה  2021 '!R8</f>
        <v>0</v>
      </c>
      <c r="S12" s="4">
        <f>'תקציב אגף שאיפה  2021 '!S8</f>
        <v>0</v>
      </c>
      <c r="T12" s="4">
        <f>'תקציב אגף שאיפה  2021 '!T8</f>
        <v>0</v>
      </c>
      <c r="U12" s="4">
        <f>'תקציב אגף שאיפה  2021 '!U8</f>
        <v>3300000</v>
      </c>
      <c r="V12" s="4">
        <f>'תקציב אגף שאיפה  2021 '!V8</f>
        <v>0</v>
      </c>
      <c r="W12" s="4">
        <f>'תקציב אגף שאיפה  2021 '!W8</f>
        <v>3300000</v>
      </c>
      <c r="X12" s="4">
        <f>'תקציב אגף שאיפה  2021 '!X8</f>
        <v>0</v>
      </c>
      <c r="Y12" s="4">
        <f>'תקציב אגף שאיפה  2021 '!Y8</f>
        <v>0</v>
      </c>
      <c r="Z12" s="4">
        <f>'תקציב אגף שאיפה  2021 '!Z8</f>
        <v>0</v>
      </c>
      <c r="AA12" s="4">
        <f>'תקציב אגף שאיפה  2021 '!AA8</f>
        <v>0</v>
      </c>
      <c r="AB12" s="280" t="str">
        <f>'תקציב אגף שאיפה  2021 '!AB8</f>
        <v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v>
      </c>
      <c r="AC12" s="3">
        <f>'תקציב אגף שאיפה  2021 '!AC8</f>
        <v>746000</v>
      </c>
      <c r="AD12" s="166"/>
      <c r="AE12" s="22"/>
      <c r="AF12" s="22"/>
      <c r="AG12" s="22"/>
      <c r="AH12" s="22"/>
    </row>
    <row r="13" spans="1:34" s="5" customFormat="1" ht="46.25" customHeight="1">
      <c r="A13" s="3">
        <f t="shared" si="1"/>
        <v>8</v>
      </c>
      <c r="B13" s="3">
        <f>'תקציב אגף שאיפה  2021 '!B9</f>
        <v>1342</v>
      </c>
      <c r="C13" s="280" t="str">
        <f>'תקציב אגף שאיפה  2021 '!C9</f>
        <v>הקמת גינות לכלבים</v>
      </c>
      <c r="D13" s="4">
        <f>'תקציב אגף שאיפה  2021 '!D9</f>
        <v>4700000</v>
      </c>
      <c r="E13" s="4">
        <f>'תקציב אגף שאיפה  2021 '!E9</f>
        <v>4000000</v>
      </c>
      <c r="F13" s="4">
        <f>'תקציב אגף שאיפה  2021 '!F9</f>
        <v>700000</v>
      </c>
      <c r="G13" s="4">
        <f>'תקציב אגף שאיפה  2021 '!G9</f>
        <v>2890000</v>
      </c>
      <c r="H13" s="4">
        <f>'תקציב אגף שאיפה  2021 '!H9</f>
        <v>2728645</v>
      </c>
      <c r="I13" s="4">
        <f>'תקציב אגף שאיפה  2021 '!I9</f>
        <v>0</v>
      </c>
      <c r="J13" s="4">
        <f>'תקציב אגף שאיפה  2021 '!J9</f>
        <v>131353</v>
      </c>
      <c r="K13" s="4">
        <f>'תקציב אגף שאיפה  2021 '!K9</f>
        <v>131353</v>
      </c>
      <c r="L13" s="4">
        <f>'תקציב אגף שאיפה  2021 '!L9</f>
        <v>2859998</v>
      </c>
      <c r="M13" s="4">
        <f>'תקציב אגף שאיפה  2021 '!M9</f>
        <v>30002</v>
      </c>
      <c r="N13" s="4">
        <f>'תקציב אגף שאיפה  2021 '!N9</f>
        <v>0</v>
      </c>
      <c r="O13" s="4">
        <f>'תקציב אגף שאיפה  2021 '!O9</f>
        <v>1810000</v>
      </c>
      <c r="P13" s="4">
        <f>'תקציב אגף שאיפה  2021 '!P9</f>
        <v>30002</v>
      </c>
      <c r="Q13" s="4">
        <f>'תקציב אגף שאיפה  2021 '!Q9</f>
        <v>0</v>
      </c>
      <c r="R13" s="4">
        <f>'תקציב אגף שאיפה  2021 '!R9</f>
        <v>0</v>
      </c>
      <c r="S13" s="4">
        <f>'תקציב אגף שאיפה  2021 '!S9</f>
        <v>0</v>
      </c>
      <c r="T13" s="4">
        <f>'תקציב אגף שאיפה  2021 '!T9</f>
        <v>0</v>
      </c>
      <c r="U13" s="4">
        <f>'תקציב אגף שאיפה  2021 '!U9</f>
        <v>0</v>
      </c>
      <c r="V13" s="4">
        <f>'תקציב אגף שאיפה  2021 '!V9</f>
        <v>0</v>
      </c>
      <c r="W13" s="4">
        <f>'תקציב אגף שאיפה  2021 '!W9</f>
        <v>0</v>
      </c>
      <c r="X13" s="4">
        <f>'תקציב אגף שאיפה  2021 '!X9</f>
        <v>0</v>
      </c>
      <c r="Y13" s="4">
        <f>'תקציב אגף שאיפה  2021 '!Y9</f>
        <v>0</v>
      </c>
      <c r="Z13" s="4">
        <f>'תקציב אגף שאיפה  2021 '!Z9</f>
        <v>0</v>
      </c>
      <c r="AA13" s="4">
        <f>'תקציב אגף שאיפה  2021 '!AA9</f>
        <v>0</v>
      </c>
      <c r="AB13" s="280" t="str">
        <f>'תקציב אגף שאיפה  2021 '!AB9</f>
        <v xml:space="preserve">תב"ר מסגרת. ב - 2020 בוצעו 3 גינות. לקראת 2021 בגיבוש תוכנית לאיתור שטחים להקמת גינות כלבים נוספות לאור בקשות תושבי העיר. </v>
      </c>
      <c r="AC13" s="3">
        <f>'תקציב אגף שאיפה  2021 '!AC9</f>
        <v>746000</v>
      </c>
      <c r="AD13" s="166"/>
      <c r="AE13" s="22"/>
      <c r="AF13" s="22"/>
      <c r="AG13" s="22"/>
      <c r="AH13" s="22"/>
    </row>
    <row r="14" spans="1:34" s="5" customFormat="1" ht="56">
      <c r="A14" s="3">
        <f t="shared" si="1"/>
        <v>9</v>
      </c>
      <c r="B14" s="3">
        <f>'תקציב אגף שאיפה  2021 '!B10</f>
        <v>1343</v>
      </c>
      <c r="C14" s="280" t="str">
        <f>'תקציב אגף שאיפה  2021 '!C10</f>
        <v>סככות הצללה לגני משחקים</v>
      </c>
      <c r="D14" s="4">
        <f>'תקציב אגף שאיפה  2021 '!D10</f>
        <v>7020000</v>
      </c>
      <c r="E14" s="4">
        <f>'תקציב אגף שאיפה  2021 '!E10</f>
        <v>8320000</v>
      </c>
      <c r="F14" s="4">
        <f>'תקציב אגף שאיפה  2021 '!F10</f>
        <v>-1300000</v>
      </c>
      <c r="G14" s="4">
        <f>'תקציב אגף שאיפה  2021 '!G10</f>
        <v>7020000</v>
      </c>
      <c r="H14" s="4">
        <f>'תקציב אגף שאיפה  2021 '!H10</f>
        <v>6091577</v>
      </c>
      <c r="I14" s="4">
        <f>'תקציב אגף שאיפה  2021 '!I10</f>
        <v>0</v>
      </c>
      <c r="J14" s="4">
        <f>'תקציב אגף שאיפה  2021 '!J10</f>
        <v>377960</v>
      </c>
      <c r="K14" s="4">
        <f>'תקציב אגף שאיפה  2021 '!K10</f>
        <v>377960</v>
      </c>
      <c r="L14" s="4">
        <f>'תקציב אגף שאיפה  2021 '!L10</f>
        <v>6469537</v>
      </c>
      <c r="M14" s="4">
        <f>'תקציב אגף שאיפה  2021 '!M10</f>
        <v>50463</v>
      </c>
      <c r="N14" s="4">
        <f>'תקציב אגף שאיפה  2021 '!N10</f>
        <v>500000</v>
      </c>
      <c r="O14" s="4">
        <f>'תקציב אגף שאיפה  2021 '!O10</f>
        <v>0</v>
      </c>
      <c r="P14" s="4">
        <f>'תקציב אגף שאיפה  2021 '!P10</f>
        <v>550463</v>
      </c>
      <c r="Q14" s="4">
        <f>'תקציב אגף שאיפה  2021 '!Q10</f>
        <v>0</v>
      </c>
      <c r="R14" s="4">
        <f>'תקציב אגף שאיפה  2021 '!R10</f>
        <v>0</v>
      </c>
      <c r="S14" s="4">
        <f>'תקציב אגף שאיפה  2021 '!S10</f>
        <v>0</v>
      </c>
      <c r="T14" s="4">
        <f>'תקציב אגף שאיפה  2021 '!T10</f>
        <v>500000</v>
      </c>
      <c r="U14" s="4">
        <f>'תקציב אגף שאיפה  2021 '!U10</f>
        <v>0</v>
      </c>
      <c r="V14" s="4">
        <f>'תקציב אגף שאיפה  2021 '!V10</f>
        <v>0</v>
      </c>
      <c r="W14" s="4">
        <f>'תקציב אגף שאיפה  2021 '!W10</f>
        <v>0</v>
      </c>
      <c r="X14" s="4">
        <f>'תקציב אגף שאיפה  2021 '!X10</f>
        <v>0</v>
      </c>
      <c r="Y14" s="4">
        <f>'תקציב אגף שאיפה  2021 '!Y10</f>
        <v>0</v>
      </c>
      <c r="Z14" s="4">
        <f>'תקציב אגף שאיפה  2021 '!Z10</f>
        <v>0</v>
      </c>
      <c r="AA14" s="4">
        <f>'תקציב אגף שאיפה  2021 '!AA10</f>
        <v>0</v>
      </c>
      <c r="AB14" s="280" t="str">
        <f>'תקציב אגף שאיפה  2021 '!AB10</f>
        <v xml:space="preserve">הצללת אזורים של מתקני משחקים לנוחות הציבור. נחקק חוק חדש שאושר בוועדת הפנים המחייב את הרשויות להקים הצללות בגני משחקים. </v>
      </c>
      <c r="AC14" s="3">
        <f>'תקציב אגף שאיפה  2021 '!AC10</f>
        <v>746000</v>
      </c>
      <c r="AD14" s="166"/>
      <c r="AE14" s="22"/>
      <c r="AF14" s="22"/>
      <c r="AG14" s="22"/>
      <c r="AH14" s="22"/>
    </row>
    <row r="15" spans="1:34" s="5" customFormat="1" ht="28">
      <c r="A15" s="3">
        <f t="shared" si="1"/>
        <v>10</v>
      </c>
      <c r="B15" s="3">
        <f>'תקציב אגף שאיפה  2021 '!B13</f>
        <v>1491</v>
      </c>
      <c r="C15" s="280" t="str">
        <f>'תקציב אגף שאיפה  2021 '!C13</f>
        <v>שדרוג תשתיות משטחי גומי גינות</v>
      </c>
      <c r="D15" s="4">
        <f>'תקציב אגף שאיפה  2021 '!D13</f>
        <v>6870000</v>
      </c>
      <c r="E15" s="4">
        <f>'תקציב אגף שאיפה  2021 '!E13</f>
        <v>6870000</v>
      </c>
      <c r="F15" s="4">
        <f>'תקציב אגף שאיפה  2021 '!F13</f>
        <v>0</v>
      </c>
      <c r="G15" s="4">
        <f>'תקציב אגף שאיפה  2021 '!G13</f>
        <v>6870000</v>
      </c>
      <c r="H15" s="4">
        <f>'תקציב אגף שאיפה  2021 '!H13</f>
        <v>6814753</v>
      </c>
      <c r="I15" s="4">
        <f>'תקציב אגף שאיפה  2021 '!I13</f>
        <v>0</v>
      </c>
      <c r="J15" s="4">
        <f>'תקציב אגף שאיפה  2021 '!J13</f>
        <v>53410</v>
      </c>
      <c r="K15" s="4">
        <f>'תקציב אגף שאיפה  2021 '!K13</f>
        <v>53410</v>
      </c>
      <c r="L15" s="4">
        <f>'תקציב אגף שאיפה  2021 '!L13</f>
        <v>6868163</v>
      </c>
      <c r="M15" s="4">
        <f>'תקציב אגף שאיפה  2021 '!M13</f>
        <v>1837</v>
      </c>
      <c r="N15" s="4">
        <f>'תקציב אגף שאיפה  2021 '!N13</f>
        <v>0</v>
      </c>
      <c r="O15" s="4">
        <f>'תקציב אגף שאיפה  2021 '!O13</f>
        <v>0</v>
      </c>
      <c r="P15" s="4">
        <f>'תקציב אגף שאיפה  2021 '!P13</f>
        <v>1837</v>
      </c>
      <c r="Q15" s="4">
        <f>'תקציב אגף שאיפה  2021 '!Q13</f>
        <v>0</v>
      </c>
      <c r="R15" s="4">
        <f>'תקציב אגף שאיפה  2021 '!R13</f>
        <v>0</v>
      </c>
      <c r="S15" s="4">
        <f>'תקציב אגף שאיפה  2021 '!S13</f>
        <v>0</v>
      </c>
      <c r="T15" s="4">
        <f>'תקציב אגף שאיפה  2021 '!T13</f>
        <v>0</v>
      </c>
      <c r="U15" s="4">
        <f>'תקציב אגף שאיפה  2021 '!U13</f>
        <v>0</v>
      </c>
      <c r="V15" s="4">
        <f>'תקציב אגף שאיפה  2021 '!V13</f>
        <v>0</v>
      </c>
      <c r="W15" s="4">
        <f>'תקציב אגף שאיפה  2021 '!W13</f>
        <v>0</v>
      </c>
      <c r="X15" s="4">
        <f>'תקציב אגף שאיפה  2021 '!X13</f>
        <v>0</v>
      </c>
      <c r="Y15" s="4">
        <f>'תקציב אגף שאיפה  2021 '!Y13</f>
        <v>0</v>
      </c>
      <c r="Z15" s="4">
        <f>'תקציב אגף שאיפה  2021 '!Z13</f>
        <v>0</v>
      </c>
      <c r="AA15" s="4">
        <f>'תקציב אגף שאיפה  2021 '!AA13</f>
        <v>0</v>
      </c>
      <c r="AB15" s="280" t="str">
        <f>'תקציב אגף שאיפה  2021 '!AB13</f>
        <v>ביצוע של החלפת משטחי גומי ישנים מאוד בגינות קיימות. לקראת סיום.</v>
      </c>
      <c r="AC15" s="3">
        <f>'תקציב אגף שאיפה  2021 '!AC13</f>
        <v>746000</v>
      </c>
      <c r="AD15" s="166"/>
      <c r="AE15" s="22"/>
      <c r="AF15" s="22"/>
      <c r="AG15" s="22"/>
      <c r="AH15" s="22"/>
    </row>
    <row r="16" spans="1:34" s="5" customFormat="1" ht="70">
      <c r="A16" s="3">
        <f t="shared" si="1"/>
        <v>11</v>
      </c>
      <c r="B16" s="3">
        <f>'תקציב אגף שאיפה  2021 '!B14</f>
        <v>1504</v>
      </c>
      <c r="C16" s="280" t="str">
        <f>'תקציב אגף שאיפה  2021 '!C14</f>
        <v>נטיעת עצים ברחבי העיר</v>
      </c>
      <c r="D16" s="4">
        <f>'תקציב אגף שאיפה  2021 '!D14</f>
        <v>2500000</v>
      </c>
      <c r="E16" s="4">
        <f>'תקציב אגף שאיפה  2021 '!E14</f>
        <v>2000000</v>
      </c>
      <c r="F16" s="4">
        <f>'תקציב אגף שאיפה  2021 '!F14</f>
        <v>500000</v>
      </c>
      <c r="G16" s="4">
        <f>'תקציב אגף שאיפה  2021 '!G14</f>
        <v>1500000</v>
      </c>
      <c r="H16" s="4">
        <f>'תקציב אגף שאיפה  2021 '!H14</f>
        <v>1461344</v>
      </c>
      <c r="I16" s="4">
        <f>'תקציב אגף שאיפה  2021 '!I14</f>
        <v>0</v>
      </c>
      <c r="J16" s="4">
        <f>'תקציב אגף שאיפה  2021 '!J14</f>
        <v>0</v>
      </c>
      <c r="K16" s="4">
        <f>'תקציב אגף שאיפה  2021 '!K14</f>
        <v>0</v>
      </c>
      <c r="L16" s="4">
        <f>'תקציב אגף שאיפה  2021 '!L14</f>
        <v>1461344</v>
      </c>
      <c r="M16" s="4">
        <f>'תקציב אגף שאיפה  2021 '!M14</f>
        <v>38656</v>
      </c>
      <c r="N16" s="4">
        <f>'תקציב אגף שאיפה  2021 '!N14</f>
        <v>0</v>
      </c>
      <c r="O16" s="4">
        <f>'תקציב אגף שאיפה  2021 '!O14</f>
        <v>1000000</v>
      </c>
      <c r="P16" s="4">
        <f>'תקציב אגף שאיפה  2021 '!P14</f>
        <v>38656</v>
      </c>
      <c r="Q16" s="4">
        <f>'תקציב אגף שאיפה  2021 '!Q14</f>
        <v>0</v>
      </c>
      <c r="R16" s="4">
        <f>'תקציב אגף שאיפה  2021 '!R14</f>
        <v>0</v>
      </c>
      <c r="S16" s="4">
        <f>'תקציב אגף שאיפה  2021 '!S14</f>
        <v>0</v>
      </c>
      <c r="T16" s="4">
        <f>'תקציב אגף שאיפה  2021 '!T14</f>
        <v>0</v>
      </c>
      <c r="U16" s="4">
        <f>'תקציב אגף שאיפה  2021 '!U14</f>
        <v>0</v>
      </c>
      <c r="V16" s="4">
        <f>'תקציב אגף שאיפה  2021 '!V14</f>
        <v>0</v>
      </c>
      <c r="W16" s="4">
        <f>'תקציב אגף שאיפה  2021 '!W14</f>
        <v>0</v>
      </c>
      <c r="X16" s="4">
        <f>'תקציב אגף שאיפה  2021 '!X14</f>
        <v>0</v>
      </c>
      <c r="Y16" s="4">
        <f>'תקציב אגף שאיפה  2021 '!Y14</f>
        <v>0</v>
      </c>
      <c r="Z16" s="4">
        <f>'תקציב אגף שאיפה  2021 '!Z14</f>
        <v>0</v>
      </c>
      <c r="AA16" s="4">
        <f>'תקציב אגף שאיפה  2021 '!AA14</f>
        <v>0</v>
      </c>
      <c r="AB16" s="280" t="str">
        <f>'תקציב אגף שאיפה  2021 '!AB14</f>
        <v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v>
      </c>
      <c r="AC16" s="3">
        <f>'תקציב אגף שאיפה  2021 '!AC14</f>
        <v>746000</v>
      </c>
      <c r="AD16" s="166"/>
      <c r="AE16" s="22"/>
      <c r="AF16" s="22"/>
      <c r="AG16" s="22"/>
      <c r="AH16" s="22"/>
    </row>
    <row r="17" spans="1:34" s="5" customFormat="1" ht="42">
      <c r="A17" s="3">
        <f t="shared" si="1"/>
        <v>12</v>
      </c>
      <c r="B17" s="3">
        <f>'תקציב אגף שאיפה  2021 '!B17</f>
        <v>1680</v>
      </c>
      <c r="C17" s="280" t="str">
        <f>'תקציב אגף שאיפה  2021 '!C17</f>
        <v>סקר עצים מסוכנים ברחבי העיר</v>
      </c>
      <c r="D17" s="4">
        <f>'תקציב אגף שאיפה  2021 '!D17</f>
        <v>2800000</v>
      </c>
      <c r="E17" s="4">
        <f>'תקציב אגף שאיפה  2021 '!E17</f>
        <v>950000</v>
      </c>
      <c r="F17" s="4">
        <f>'תקציב אגף שאיפה  2021 '!F17</f>
        <v>1850000</v>
      </c>
      <c r="G17" s="4">
        <f>'תקציב אגף שאיפה  2021 '!G17</f>
        <v>500000</v>
      </c>
      <c r="H17" s="4">
        <f>'תקציב אגף שאיפה  2021 '!H17</f>
        <v>427578</v>
      </c>
      <c r="I17" s="4">
        <f>'תקציב אגף שאיפה  2021 '!I17</f>
        <v>0</v>
      </c>
      <c r="J17" s="4">
        <f>'תקציב אגף שאיפה  2021 '!J17</f>
        <v>60790</v>
      </c>
      <c r="K17" s="4">
        <f>'תקציב אגף שאיפה  2021 '!K17</f>
        <v>60790</v>
      </c>
      <c r="L17" s="4">
        <f>'תקציב אגף שאיפה  2021 '!L17</f>
        <v>488368</v>
      </c>
      <c r="M17" s="4">
        <f>'תקציב אגף שאיפה  2021 '!M17</f>
        <v>11632</v>
      </c>
      <c r="N17" s="4">
        <f>'תקציב אגף שאיפה  2021 '!N17</f>
        <v>500000</v>
      </c>
      <c r="O17" s="4">
        <f>'תקציב אגף שאיפה  2021 '!O17</f>
        <v>1800000</v>
      </c>
      <c r="P17" s="4">
        <f>'תקציב אגף שאיפה  2021 '!P17</f>
        <v>11632</v>
      </c>
      <c r="Q17" s="4">
        <f>'תקציב אגף שאיפה  2021 '!Q17</f>
        <v>0</v>
      </c>
      <c r="R17" s="4">
        <f>'תקציב אגף שאיפה  2021 '!R17</f>
        <v>0</v>
      </c>
      <c r="S17" s="4">
        <f>'תקציב אגף שאיפה  2021 '!S17</f>
        <v>0</v>
      </c>
      <c r="T17" s="4">
        <f>'תקציב אגף שאיפה  2021 '!T17</f>
        <v>0</v>
      </c>
      <c r="U17" s="4">
        <f>'תקציב אגף שאיפה  2021 '!U17</f>
        <v>500000</v>
      </c>
      <c r="V17" s="4">
        <f>'תקציב אגף שאיפה  2021 '!V17</f>
        <v>0</v>
      </c>
      <c r="W17" s="4">
        <f>'תקציב אגף שאיפה  2021 '!W17</f>
        <v>500000</v>
      </c>
      <c r="X17" s="4">
        <f>'תקציב אגף שאיפה  2021 '!X17</f>
        <v>0</v>
      </c>
      <c r="Y17" s="4">
        <f>'תקציב אגף שאיפה  2021 '!Y17</f>
        <v>0</v>
      </c>
      <c r="Z17" s="4">
        <f>'תקציב אגף שאיפה  2021 '!Z17</f>
        <v>0</v>
      </c>
      <c r="AA17" s="4">
        <f>'תקציב אגף שאיפה  2021 '!AA17</f>
        <v>0</v>
      </c>
      <c r="AB17" s="280" t="str">
        <f>'תקציב אגף שאיפה  2021 '!AB17</f>
        <v xml:space="preserve">ביצוע סקר מקיף של כל העצים בעיר ע"י אגרונומים. זאת עפ"י דרישה מ. החקלאות עקב שינויי אקלים והזדקנות העצים במרחב הציבורי. </v>
      </c>
      <c r="AC17" s="3">
        <f>'תקציב אגף שאיפה  2021 '!AC17</f>
        <v>746000</v>
      </c>
      <c r="AD17" s="166"/>
      <c r="AE17" s="22"/>
      <c r="AF17" s="23"/>
      <c r="AG17" s="23"/>
      <c r="AH17" s="23"/>
    </row>
    <row r="18" spans="1:34" s="5" customFormat="1" ht="56">
      <c r="A18" s="3">
        <f t="shared" si="1"/>
        <v>13</v>
      </c>
      <c r="B18" s="3">
        <f>'תקציב אגף שאיפה  2021 '!B24</f>
        <v>1989</v>
      </c>
      <c r="C18" s="280" t="str">
        <f>'תקציב אגף שאיפה  2021 '!C24</f>
        <v>פיתוח נופי דרך ירושלים כביש 531</v>
      </c>
      <c r="D18" s="4">
        <f>'תקציב אגף שאיפה  2021 '!D24</f>
        <v>1070000</v>
      </c>
      <c r="E18" s="4">
        <f>'תקציב אגף שאיפה  2021 '!E24</f>
        <v>860000</v>
      </c>
      <c r="F18" s="4">
        <f>'תקציב אגף שאיפה  2021 '!F24</f>
        <v>210000</v>
      </c>
      <c r="G18" s="4">
        <f>'תקציב אגף שאיפה  2021 '!G24</f>
        <v>570000</v>
      </c>
      <c r="H18" s="4">
        <f>'תקציב אגף שאיפה  2021 '!H24</f>
        <v>542461</v>
      </c>
      <c r="I18" s="4">
        <f>'תקציב אגף שאיפה  2021 '!I24</f>
        <v>0</v>
      </c>
      <c r="J18" s="4">
        <f>'תקציב אגף שאיפה  2021 '!J24</f>
        <v>26086</v>
      </c>
      <c r="K18" s="4">
        <f>'תקציב אגף שאיפה  2021 '!K24</f>
        <v>26086</v>
      </c>
      <c r="L18" s="4">
        <f>'תקציב אגף שאיפה  2021 '!L24</f>
        <v>568547</v>
      </c>
      <c r="M18" s="4">
        <f>'תקציב אגף שאיפה  2021 '!M24</f>
        <v>1453</v>
      </c>
      <c r="N18" s="4">
        <f>'תקציב אגף שאיפה  2021 '!N24</f>
        <v>0</v>
      </c>
      <c r="O18" s="4">
        <f>'תקציב אגף שאיפה  2021 '!O24</f>
        <v>500000</v>
      </c>
      <c r="P18" s="4">
        <f>'תקציב אגף שאיפה  2021 '!P24</f>
        <v>1453</v>
      </c>
      <c r="Q18" s="4">
        <f>'תקציב אגף שאיפה  2021 '!Q24</f>
        <v>0</v>
      </c>
      <c r="R18" s="4">
        <f>'תקציב אגף שאיפה  2021 '!R24</f>
        <v>0</v>
      </c>
      <c r="S18" s="4">
        <f>'תקציב אגף שאיפה  2021 '!S24</f>
        <v>0</v>
      </c>
      <c r="T18" s="4">
        <f>'תקציב אגף שאיפה  2021 '!T24</f>
        <v>0</v>
      </c>
      <c r="U18" s="4">
        <f>'תקציב אגף שאיפה  2021 '!U24</f>
        <v>0</v>
      </c>
      <c r="V18" s="4">
        <f>'תקציב אגף שאיפה  2021 '!V24</f>
        <v>0</v>
      </c>
      <c r="W18" s="4">
        <f>'תקציב אגף שאיפה  2021 '!W24</f>
        <v>0</v>
      </c>
      <c r="X18" s="4">
        <f>'תקציב אגף שאיפה  2021 '!X24</f>
        <v>0</v>
      </c>
      <c r="Y18" s="4">
        <f>'תקציב אגף שאיפה  2021 '!Y24</f>
        <v>0</v>
      </c>
      <c r="Z18" s="4">
        <f>'תקציב אגף שאיפה  2021 '!Z24</f>
        <v>0</v>
      </c>
      <c r="AA18" s="4">
        <f>'תקציב אגף שאיפה  2021 '!AA24</f>
        <v>0</v>
      </c>
      <c r="AB18" s="280" t="str">
        <f>'תקציב אגף שאיפה  2021 '!AB24</f>
        <v>עבודות פיתוח השטח בין שכונת יד התשעה לקיר האקוסטי של כביש 531, כולל פיתוח השצ"פ. (שטח שהסתיימו בו עבודות הרכבת הקלה).</v>
      </c>
      <c r="AC18" s="3">
        <f>'תקציב אגף שאיפה  2021 '!AC24</f>
        <v>746000</v>
      </c>
      <c r="AD18" s="166"/>
      <c r="AE18" s="22"/>
      <c r="AF18" s="23"/>
      <c r="AG18" s="23"/>
      <c r="AH18" s="23"/>
    </row>
    <row r="19" spans="1:34" s="5" customFormat="1">
      <c r="A19" s="3">
        <f t="shared" si="1"/>
        <v>14</v>
      </c>
      <c r="B19" s="3">
        <f>'תקציב אגף שאיפה  2021 '!B25</f>
        <v>2035</v>
      </c>
      <c r="C19" s="280" t="str">
        <f>'תקציב אגף שאיפה  2021 '!C25</f>
        <v>שדרוג גן שלווה</v>
      </c>
      <c r="D19" s="4">
        <f>'תקציב אגף שאיפה  2021 '!D25</f>
        <v>763000</v>
      </c>
      <c r="E19" s="4">
        <f>'תקציב אגף שאיפה  2021 '!E25</f>
        <v>953000</v>
      </c>
      <c r="F19" s="4">
        <f>'תקציב אגף שאיפה  2021 '!F25</f>
        <v>-190000</v>
      </c>
      <c r="G19" s="4">
        <f>'תקציב אגף שאיפה  2021 '!G25</f>
        <v>763000</v>
      </c>
      <c r="H19" s="4">
        <f>'תקציב אגף שאיפה  2021 '!H25</f>
        <v>738785</v>
      </c>
      <c r="I19" s="4">
        <f>'תקציב אגף שאיפה  2021 '!I25</f>
        <v>0</v>
      </c>
      <c r="J19" s="4">
        <f>'תקציב אגף שאיפה  2021 '!J25</f>
        <v>15714</v>
      </c>
      <c r="K19" s="4">
        <f>'תקציב אגף שאיפה  2021 '!K25</f>
        <v>15714</v>
      </c>
      <c r="L19" s="4">
        <f>'תקציב אגף שאיפה  2021 '!L25</f>
        <v>754499</v>
      </c>
      <c r="M19" s="4">
        <f>'תקציב אגף שאיפה  2021 '!M25</f>
        <v>501</v>
      </c>
      <c r="N19" s="4">
        <f>'תקציב אגף שאיפה  2021 '!N25</f>
        <v>0</v>
      </c>
      <c r="O19" s="4">
        <f>'תקציב אגף שאיפה  2021 '!O25</f>
        <v>8000</v>
      </c>
      <c r="P19" s="4">
        <f>'תקציב אגף שאיפה  2021 '!P25</f>
        <v>8501</v>
      </c>
      <c r="Q19" s="4">
        <f>'תקציב אגף שאיפה  2021 '!Q25</f>
        <v>0</v>
      </c>
      <c r="R19" s="4">
        <f>'תקציב אגף שאיפה  2021 '!R25</f>
        <v>0</v>
      </c>
      <c r="S19" s="4">
        <f>'תקציב אגף שאיפה  2021 '!S25</f>
        <v>0</v>
      </c>
      <c r="T19" s="4">
        <f>'תקציב אגף שאיפה  2021 '!T25</f>
        <v>8000</v>
      </c>
      <c r="U19" s="4">
        <f>'תקציב אגף שאיפה  2021 '!U25</f>
        <v>-8000</v>
      </c>
      <c r="V19" s="4">
        <f>'תקציב אגף שאיפה  2021 '!V25</f>
        <v>-8000</v>
      </c>
      <c r="W19" s="4">
        <f>'תקציב אגף שאיפה  2021 '!W25</f>
        <v>0</v>
      </c>
      <c r="X19" s="4">
        <f>'תקציב אגף שאיפה  2021 '!X25</f>
        <v>0</v>
      </c>
      <c r="Y19" s="4">
        <f>'תקציב אגף שאיפה  2021 '!Y25</f>
        <v>0</v>
      </c>
      <c r="Z19" s="4">
        <f>'תקציב אגף שאיפה  2021 '!Z25</f>
        <v>0</v>
      </c>
      <c r="AA19" s="4">
        <f>'תקציב אגף שאיפה  2021 '!AA25</f>
        <v>0</v>
      </c>
      <c r="AB19" s="280" t="str">
        <f>'תקציב אגף שאיפה  2021 '!AB25</f>
        <v>העבודות הסתיימו. ח-ן סופיים.</v>
      </c>
      <c r="AC19" s="3">
        <f>'תקציב אגף שאיפה  2021 '!AC25</f>
        <v>746000</v>
      </c>
      <c r="AD19" s="166"/>
      <c r="AE19" s="22"/>
      <c r="AF19" s="22"/>
      <c r="AG19" s="22"/>
      <c r="AH19" s="22"/>
    </row>
    <row r="20" spans="1:34" s="5" customFormat="1" ht="42">
      <c r="A20" s="3">
        <f t="shared" si="1"/>
        <v>15</v>
      </c>
      <c r="B20" s="3">
        <f>'תקציב אגף שאיפה  2021 '!B31</f>
        <v>2042</v>
      </c>
      <c r="C20" s="280" t="str">
        <f>'תקציב אגף שאיפה  2021 '!C31</f>
        <v>הרצליה ב' שצ" פ המסילה, מ.מסחרי</v>
      </c>
      <c r="D20" s="4">
        <f>'תקציב אגף שאיפה  2021 '!D31</f>
        <v>290000</v>
      </c>
      <c r="E20" s="4">
        <f>'תקציב אגף שאיפה  2021 '!E31</f>
        <v>740000</v>
      </c>
      <c r="F20" s="4">
        <f>'תקציב אגף שאיפה  2021 '!F31</f>
        <v>-450000</v>
      </c>
      <c r="G20" s="4">
        <f>'תקציב אגף שאיפה  2021 '!G31</f>
        <v>290000</v>
      </c>
      <c r="H20" s="4">
        <f>'תקציב אגף שאיפה  2021 '!H31</f>
        <v>286994</v>
      </c>
      <c r="I20" s="4">
        <f>'תקציב אגף שאיפה  2021 '!I31</f>
        <v>0</v>
      </c>
      <c r="J20" s="4">
        <f>'תקציב אגף שאיפה  2021 '!J31</f>
        <v>3000</v>
      </c>
      <c r="K20" s="4">
        <f>'תקציב אגף שאיפה  2021 '!K31</f>
        <v>3000</v>
      </c>
      <c r="L20" s="4">
        <f>'תקציב אגף שאיפה  2021 '!L31</f>
        <v>289994</v>
      </c>
      <c r="M20" s="4">
        <f>'תקציב אגף שאיפה  2021 '!M31</f>
        <v>6</v>
      </c>
      <c r="N20" s="4">
        <f>'תקציב אגף שאיפה  2021 '!N31</f>
        <v>0</v>
      </c>
      <c r="O20" s="4">
        <f>'תקציב אגף שאיפה  2021 '!O31</f>
        <v>0</v>
      </c>
      <c r="P20" s="4">
        <f>'תקציב אגף שאיפה  2021 '!P31</f>
        <v>6</v>
      </c>
      <c r="Q20" s="4">
        <f>'תקציב אגף שאיפה  2021 '!Q31</f>
        <v>0</v>
      </c>
      <c r="R20" s="4">
        <f>'תקציב אגף שאיפה  2021 '!R31</f>
        <v>0</v>
      </c>
      <c r="S20" s="4">
        <f>'תקציב אגף שאיפה  2021 '!S31</f>
        <v>0</v>
      </c>
      <c r="T20" s="4">
        <f>'תקציב אגף שאיפה  2021 '!T31</f>
        <v>0</v>
      </c>
      <c r="U20" s="4">
        <f>'תקציב אגף שאיפה  2021 '!U31</f>
        <v>0</v>
      </c>
      <c r="V20" s="4">
        <f>'תקציב אגף שאיפה  2021 '!V31</f>
        <v>0</v>
      </c>
      <c r="W20" s="4">
        <f>'תקציב אגף שאיפה  2021 '!W31</f>
        <v>0</v>
      </c>
      <c r="X20" s="4">
        <f>'תקציב אגף שאיפה  2021 '!X31</f>
        <v>0</v>
      </c>
      <c r="Y20" s="4">
        <f>'תקציב אגף שאיפה  2021 '!Y31</f>
        <v>0</v>
      </c>
      <c r="Z20" s="4">
        <f>'תקציב אגף שאיפה  2021 '!Z31</f>
        <v>0</v>
      </c>
      <c r="AA20" s="4">
        <f>'תקציב אגף שאיפה  2021 '!AA31</f>
        <v>0</v>
      </c>
      <c r="AB20" s="280" t="str">
        <f>'תקציב אגף שאיפה  2021 '!AB31</f>
        <v>ביצוע שצ"פ רחוב המסילה כולל גידור, הסדרת המרכז המסחרי אל-על נורדאו, עבודות גינון נוספות. העבודות הסתיימו. ח-ן סופיים.</v>
      </c>
      <c r="AC20" s="3">
        <f>'תקציב אגף שאיפה  2021 '!AC31</f>
        <v>746000</v>
      </c>
      <c r="AD20" s="166"/>
      <c r="AE20" s="22"/>
      <c r="AF20" s="23"/>
      <c r="AG20" s="23"/>
      <c r="AH20" s="23"/>
    </row>
    <row r="21" spans="1:34" s="5" customFormat="1" ht="56">
      <c r="A21" s="3">
        <f t="shared" si="1"/>
        <v>16</v>
      </c>
      <c r="B21" s="3">
        <f>'תקציב אגף שאיפה  2021 '!B33</f>
        <v>2087</v>
      </c>
      <c r="C21" s="280" t="str">
        <f>'תקציב אגף שאיפה  2021 '!C33</f>
        <v xml:space="preserve">ארלוזרוב - דרך ירושלים </v>
      </c>
      <c r="D21" s="4">
        <f>'תקציב אגף שאיפה  2021 '!D33</f>
        <v>1200000</v>
      </c>
      <c r="E21" s="4">
        <f>'תקציב אגף שאיפה  2021 '!E33</f>
        <v>1200000</v>
      </c>
      <c r="F21" s="4">
        <f>'תקציב אגף שאיפה  2021 '!F33</f>
        <v>0</v>
      </c>
      <c r="G21" s="4">
        <f>'תקציב אגף שאיפה  2021 '!G33</f>
        <v>640000</v>
      </c>
      <c r="H21" s="4">
        <f>'תקציב אגף שאיפה  2021 '!H33</f>
        <v>639791</v>
      </c>
      <c r="I21" s="4">
        <f>'תקציב אגף שאיפה  2021 '!I33</f>
        <v>0</v>
      </c>
      <c r="J21" s="4">
        <f>'תקציב אגף שאיפה  2021 '!J33</f>
        <v>0</v>
      </c>
      <c r="K21" s="4">
        <f>'תקציב אגף שאיפה  2021 '!K33</f>
        <v>0</v>
      </c>
      <c r="L21" s="4">
        <f>'תקציב אגף שאיפה  2021 '!L33</f>
        <v>639791</v>
      </c>
      <c r="M21" s="4">
        <f>'תקציב אגף שאיפה  2021 '!M33</f>
        <v>209</v>
      </c>
      <c r="N21" s="4">
        <f>'תקציב אגף שאיפה  2021 '!N33</f>
        <v>0</v>
      </c>
      <c r="O21" s="4">
        <f>'תקציב אגף שאיפה  2021 '!O33</f>
        <v>560000</v>
      </c>
      <c r="P21" s="4">
        <f>'תקציב אגף שאיפה  2021 '!P33</f>
        <v>209</v>
      </c>
      <c r="Q21" s="4">
        <f>'תקציב אגף שאיפה  2021 '!Q33</f>
        <v>0</v>
      </c>
      <c r="R21" s="4">
        <f>'תקציב אגף שאיפה  2021 '!R33</f>
        <v>0</v>
      </c>
      <c r="S21" s="4">
        <f>'תקציב אגף שאיפה  2021 '!S33</f>
        <v>0</v>
      </c>
      <c r="T21" s="4">
        <f>'תקציב אגף שאיפה  2021 '!T33</f>
        <v>0</v>
      </c>
      <c r="U21" s="4">
        <f>'תקציב אגף שאיפה  2021 '!U33</f>
        <v>0</v>
      </c>
      <c r="V21" s="4">
        <f>'תקציב אגף שאיפה  2021 '!V33</f>
        <v>0</v>
      </c>
      <c r="W21" s="4">
        <f>'תקציב אגף שאיפה  2021 '!W33</f>
        <v>0</v>
      </c>
      <c r="X21" s="4">
        <f>'תקציב אגף שאיפה  2021 '!X33</f>
        <v>0</v>
      </c>
      <c r="Y21" s="4">
        <f>'תקציב אגף שאיפה  2021 '!Y33</f>
        <v>0</v>
      </c>
      <c r="Z21" s="4">
        <f>'תקציב אגף שאיפה  2021 '!Z33</f>
        <v>0</v>
      </c>
      <c r="AA21" s="4">
        <f>'תקציב אגף שאיפה  2021 '!AA33</f>
        <v>0</v>
      </c>
      <c r="AB21" s="280" t="str">
        <f>'תקציב אגף שאיפה  2021 '!AB33</f>
        <v>הסדרת השטח לאורך רח' ארלוזרוב קטע: בית"ר-דרך ירושלים. ייצוב פני הקרקע למניעת סחף והסדרת שיפועים וניקוזים, הסדרת המדרכה וגינון והשקייה.</v>
      </c>
      <c r="AC21" s="3">
        <f>'תקציב אגף שאיפה  2021 '!AC33</f>
        <v>746000</v>
      </c>
      <c r="AD21" s="166"/>
      <c r="AE21" s="22"/>
      <c r="AF21" s="23"/>
      <c r="AG21" s="23"/>
      <c r="AH21" s="23"/>
    </row>
    <row r="22" spans="1:34" s="5" customFormat="1" ht="42">
      <c r="A22" s="3">
        <f t="shared" si="1"/>
        <v>17</v>
      </c>
      <c r="B22" s="3">
        <f>'תקציב אגף שאיפה  2021 '!B34</f>
        <v>2088</v>
      </c>
      <c r="C22" s="280" t="str">
        <f>'תקציב אגף שאיפה  2021 '!C34</f>
        <v xml:space="preserve">שדרוג גן דפנה אילת </v>
      </c>
      <c r="D22" s="4">
        <f>'תקציב אגף שאיפה  2021 '!D34</f>
        <v>1600000</v>
      </c>
      <c r="E22" s="4">
        <f>'תקציב אגף שאיפה  2021 '!E34</f>
        <v>1600000</v>
      </c>
      <c r="F22" s="4">
        <f>'תקציב אגף שאיפה  2021 '!F34</f>
        <v>0</v>
      </c>
      <c r="G22" s="4">
        <f>'תקציב אגף שאיפה  2021 '!G34</f>
        <v>1600000</v>
      </c>
      <c r="H22" s="4">
        <f>'תקציב אגף שאיפה  2021 '!H34</f>
        <v>1083312</v>
      </c>
      <c r="I22" s="4">
        <f>'תקציב אגף שאיפה  2021 '!I34</f>
        <v>0</v>
      </c>
      <c r="J22" s="4">
        <f>'תקציב אגף שאיפה  2021 '!J34</f>
        <v>163826</v>
      </c>
      <c r="K22" s="4">
        <f>'תקציב אגף שאיפה  2021 '!K34</f>
        <v>163826</v>
      </c>
      <c r="L22" s="4">
        <f>'תקציב אגף שאיפה  2021 '!L34</f>
        <v>1247138</v>
      </c>
      <c r="M22" s="4">
        <f>'תקציב אגף שאיפה  2021 '!M34</f>
        <v>352862</v>
      </c>
      <c r="N22" s="4">
        <f>'תקציב אגף שאיפה  2021 '!N34</f>
        <v>0</v>
      </c>
      <c r="O22" s="4">
        <f>'תקציב אגף שאיפה  2021 '!O34</f>
        <v>0</v>
      </c>
      <c r="P22" s="4">
        <f>'תקציב אגף שאיפה  2021 '!P34</f>
        <v>352862</v>
      </c>
      <c r="Q22" s="4">
        <f>'תקציב אגף שאיפה  2021 '!Q34</f>
        <v>0</v>
      </c>
      <c r="R22" s="4">
        <f>'תקציב אגף שאיפה  2021 '!R34</f>
        <v>0</v>
      </c>
      <c r="S22" s="4">
        <f>'תקציב אגף שאיפה  2021 '!S34</f>
        <v>0</v>
      </c>
      <c r="T22" s="4">
        <f>'תקציב אגף שאיפה  2021 '!T34</f>
        <v>0</v>
      </c>
      <c r="U22" s="4">
        <f>'תקציב אגף שאיפה  2021 '!U34</f>
        <v>0</v>
      </c>
      <c r="V22" s="4">
        <f>'תקציב אגף שאיפה  2021 '!V34</f>
        <v>0</v>
      </c>
      <c r="W22" s="4">
        <f>'תקציב אגף שאיפה  2021 '!W34</f>
        <v>0</v>
      </c>
      <c r="X22" s="4">
        <f>'תקציב אגף שאיפה  2021 '!X34</f>
        <v>0</v>
      </c>
      <c r="Y22" s="4">
        <f>'תקציב אגף שאיפה  2021 '!Y34</f>
        <v>0</v>
      </c>
      <c r="Z22" s="4">
        <f>'תקציב אגף שאיפה  2021 '!Z34</f>
        <v>0</v>
      </c>
      <c r="AA22" s="4">
        <f>'תקציב אגף שאיפה  2021 '!AA34</f>
        <v>0</v>
      </c>
      <c r="AB22" s="280" t="str">
        <f>'תקציב אגף שאיפה  2021 '!AB34</f>
        <v>הסדרת הגן המרכזי בשכונת גן רש"ל כולל: מתקני משחק, משטח גומי, עבודות גינון, השקייה, פיתוח והנגשה.</v>
      </c>
      <c r="AC22" s="3">
        <f>'תקציב אגף שאיפה  2021 '!AC34</f>
        <v>746000</v>
      </c>
      <c r="AD22" s="166"/>
      <c r="AE22" s="22"/>
      <c r="AF22" s="23"/>
      <c r="AG22" s="23"/>
      <c r="AH22" s="23"/>
    </row>
    <row r="23" spans="1:34" s="5" customFormat="1" ht="42">
      <c r="A23" s="3">
        <f t="shared" si="1"/>
        <v>18</v>
      </c>
      <c r="B23" s="3">
        <f>'תקציב אגף שאיפה  2021 '!B36</f>
        <v>2165</v>
      </c>
      <c r="C23" s="280" t="str">
        <f>'תקציב אגף שאיפה  2021 '!C36</f>
        <v>שדרוג רחוב וינגגיט</v>
      </c>
      <c r="D23" s="4">
        <f>'תקציב אגף שאיפה  2021 '!D36</f>
        <v>1040000</v>
      </c>
      <c r="E23" s="4">
        <f>'תקציב אגף שאיפה  2021 '!E36</f>
        <v>1040000</v>
      </c>
      <c r="F23" s="4">
        <f>'תקציב אגף שאיפה  2021 '!F36</f>
        <v>0</v>
      </c>
      <c r="G23" s="4">
        <f>'תקציב אגף שאיפה  2021 '!G36</f>
        <v>0</v>
      </c>
      <c r="H23" s="4">
        <f>'תקציב אגף שאיפה  2021 '!H36</f>
        <v>0</v>
      </c>
      <c r="I23" s="4">
        <f>'תקציב אגף שאיפה  2021 '!I36</f>
        <v>0</v>
      </c>
      <c r="J23" s="4">
        <f>'תקציב אגף שאיפה  2021 '!J36</f>
        <v>0</v>
      </c>
      <c r="K23" s="4">
        <f>'תקציב אגף שאיפה  2021 '!K36</f>
        <v>0</v>
      </c>
      <c r="L23" s="4">
        <f>'תקציב אגף שאיפה  2021 '!L36</f>
        <v>0</v>
      </c>
      <c r="M23" s="4">
        <f>'תקציב אגף שאיפה  2021 '!M36</f>
        <v>0</v>
      </c>
      <c r="N23" s="4">
        <f>'תקציב אגף שאיפה  2021 '!N36</f>
        <v>0</v>
      </c>
      <c r="O23" s="4">
        <f>'תקציב אגף שאיפה  2021 '!O36</f>
        <v>1040000</v>
      </c>
      <c r="P23" s="4">
        <f>'תקציב אגף שאיפה  2021 '!P36</f>
        <v>0</v>
      </c>
      <c r="Q23" s="4">
        <f>'תקציב אגף שאיפה  2021 '!Q36</f>
        <v>0</v>
      </c>
      <c r="R23" s="4">
        <f>'תקציב אגף שאיפה  2021 '!R36</f>
        <v>0</v>
      </c>
      <c r="S23" s="4">
        <f>'תקציב אגף שאיפה  2021 '!S36</f>
        <v>0</v>
      </c>
      <c r="T23" s="4">
        <f>'תקציב אגף שאיפה  2021 '!T36</f>
        <v>0</v>
      </c>
      <c r="U23" s="4">
        <f>'תקציב אגף שאיפה  2021 '!U36</f>
        <v>0</v>
      </c>
      <c r="V23" s="4">
        <f>'תקציב אגף שאיפה  2021 '!V36</f>
        <v>0</v>
      </c>
      <c r="W23" s="4">
        <f>'תקציב אגף שאיפה  2021 '!W36</f>
        <v>0</v>
      </c>
      <c r="X23" s="4">
        <f>'תקציב אגף שאיפה  2021 '!X36</f>
        <v>0</v>
      </c>
      <c r="Y23" s="4">
        <f>'תקציב אגף שאיפה  2021 '!Y36</f>
        <v>0</v>
      </c>
      <c r="Z23" s="4">
        <f>'תקציב אגף שאיפה  2021 '!Z36</f>
        <v>0</v>
      </c>
      <c r="AA23" s="4">
        <f>'תקציב אגף שאיפה  2021 '!AA36</f>
        <v>0</v>
      </c>
      <c r="AB23" s="280" t="str">
        <f>'תקציב אגף שאיפה  2021 '!AB36</f>
        <v xml:space="preserve">עבודות שדרוג ושיקום ערוגות הגינון  לצידי הרחוב והכיכרות המרכזיות. מרחוב וינגייט ועד רח' הקונגרס שטח של כ- 2.6 דונם. </v>
      </c>
      <c r="AC23" s="3">
        <f>'תקציב אגף שאיפה  2021 '!AC36</f>
        <v>746000</v>
      </c>
    </row>
    <row r="24" spans="1:34" s="5" customFormat="1" ht="42">
      <c r="A24" s="3">
        <f t="shared" si="1"/>
        <v>19</v>
      </c>
      <c r="B24" s="3">
        <f>'תקציב אגף שאיפה  2021 '!B37</f>
        <v>2166</v>
      </c>
      <c r="C24" s="280" t="str">
        <f>'תקציב אגף שאיפה  2021 '!C37</f>
        <v>שדרוג רחוב בן גוריון</v>
      </c>
      <c r="D24" s="4">
        <f>'תקציב אגף שאיפה  2021 '!D37</f>
        <v>500000</v>
      </c>
      <c r="E24" s="4">
        <f>'תקציב אגף שאיפה  2021 '!E37</f>
        <v>500000</v>
      </c>
      <c r="F24" s="4">
        <f>'תקציב אגף שאיפה  2021 '!F37</f>
        <v>0</v>
      </c>
      <c r="G24" s="4">
        <f>'תקציב אגף שאיפה  2021 '!G37</f>
        <v>0</v>
      </c>
      <c r="H24" s="4">
        <f>'תקציב אגף שאיפה  2021 '!H37</f>
        <v>0</v>
      </c>
      <c r="I24" s="4">
        <f>'תקציב אגף שאיפה  2021 '!I37</f>
        <v>0</v>
      </c>
      <c r="J24" s="4">
        <f>'תקציב אגף שאיפה  2021 '!J37</f>
        <v>0</v>
      </c>
      <c r="K24" s="4">
        <f>'תקציב אגף שאיפה  2021 '!K37</f>
        <v>0</v>
      </c>
      <c r="L24" s="4">
        <f>'תקציב אגף שאיפה  2021 '!L37</f>
        <v>0</v>
      </c>
      <c r="M24" s="4">
        <f>'תקציב אגף שאיפה  2021 '!M37</f>
        <v>0</v>
      </c>
      <c r="N24" s="4">
        <f>'תקציב אגף שאיפה  2021 '!N37</f>
        <v>0</v>
      </c>
      <c r="O24" s="4">
        <f>'תקציב אגף שאיפה  2021 '!O37</f>
        <v>500000</v>
      </c>
      <c r="P24" s="4">
        <f>'תקציב אגף שאיפה  2021 '!P37</f>
        <v>0</v>
      </c>
      <c r="Q24" s="4">
        <f>'תקציב אגף שאיפה  2021 '!Q37</f>
        <v>0</v>
      </c>
      <c r="R24" s="4">
        <f>'תקציב אגף שאיפה  2021 '!R37</f>
        <v>0</v>
      </c>
      <c r="S24" s="4">
        <f>'תקציב אגף שאיפה  2021 '!S37</f>
        <v>0</v>
      </c>
      <c r="T24" s="4">
        <f>'תקציב אגף שאיפה  2021 '!T37</f>
        <v>0</v>
      </c>
      <c r="U24" s="4">
        <f>'תקציב אגף שאיפה  2021 '!U37</f>
        <v>0</v>
      </c>
      <c r="V24" s="4">
        <f>'תקציב אגף שאיפה  2021 '!V37</f>
        <v>0</v>
      </c>
      <c r="W24" s="4">
        <f>'תקציב אגף שאיפה  2021 '!W37</f>
        <v>0</v>
      </c>
      <c r="X24" s="4">
        <f>'תקציב אגף שאיפה  2021 '!X37</f>
        <v>0</v>
      </c>
      <c r="Y24" s="4">
        <f>'תקציב אגף שאיפה  2021 '!Y37</f>
        <v>0</v>
      </c>
      <c r="Z24" s="4">
        <f>'תקציב אגף שאיפה  2021 '!Z37</f>
        <v>0</v>
      </c>
      <c r="AA24" s="4">
        <f>'תקציב אגף שאיפה  2021 '!AA37</f>
        <v>0</v>
      </c>
      <c r="AB24" s="280" t="str">
        <f>'תקציב אגף שאיפה  2021 '!AB37</f>
        <v>עבודות שדרוג ושיקום שטחי הגינון  לצידי הרחוב במקטעים שטרם שודרגו. שטח של כ- 4.5 דונם.</v>
      </c>
      <c r="AC24" s="3">
        <f>'תקציב אגף שאיפה  2021 '!AC37</f>
        <v>746000</v>
      </c>
    </row>
    <row r="25" spans="1:34" s="5" customFormat="1" ht="56">
      <c r="A25" s="3">
        <f t="shared" si="1"/>
        <v>20</v>
      </c>
      <c r="B25" s="3">
        <f>'תקציב אגף שאיפה  2021 '!B39</f>
        <v>2168</v>
      </c>
      <c r="C25" s="280" t="str">
        <f>'תקציב אגף שאיפה  2021 '!C39</f>
        <v>קידום ושימור הטבע העירוני בעיר</v>
      </c>
      <c r="D25" s="4">
        <f>'תקציב אגף שאיפה  2021 '!D39</f>
        <v>240000</v>
      </c>
      <c r="E25" s="4">
        <f>'תקציב אגף שאיפה  2021 '!E39</f>
        <v>240000</v>
      </c>
      <c r="F25" s="4">
        <f>'תקציב אגף שאיפה  2021 '!F39</f>
        <v>0</v>
      </c>
      <c r="G25" s="4">
        <f>'תקציב אגף שאיפה  2021 '!G39</f>
        <v>100000</v>
      </c>
      <c r="H25" s="4">
        <f>'תקציב אגף שאיפה  2021 '!H39</f>
        <v>0</v>
      </c>
      <c r="I25" s="4">
        <f>'תקציב אגף שאיפה  2021 '!I39</f>
        <v>0</v>
      </c>
      <c r="J25" s="4">
        <f>'תקציב אגף שאיפה  2021 '!J39</f>
        <v>0</v>
      </c>
      <c r="K25" s="4">
        <f>'תקציב אגף שאיפה  2021 '!K39</f>
        <v>0</v>
      </c>
      <c r="L25" s="4">
        <f>'תקציב אגף שאיפה  2021 '!L39</f>
        <v>0</v>
      </c>
      <c r="M25" s="4">
        <f>'תקציב אגף שאיפה  2021 '!M39</f>
        <v>0</v>
      </c>
      <c r="N25" s="4">
        <f>'תקציב אגף שאיפה  2021 '!N39</f>
        <v>170000</v>
      </c>
      <c r="O25" s="4">
        <f>'תקציב אגף שאיפה  2021 '!O39</f>
        <v>70000</v>
      </c>
      <c r="P25" s="4">
        <f>'תקציב אגף שאיפה  2021 '!P39</f>
        <v>100000</v>
      </c>
      <c r="Q25" s="4">
        <f>'תקציב אגף שאיפה  2021 '!Q39</f>
        <v>0</v>
      </c>
      <c r="R25" s="4">
        <f>'תקציב אגף שאיפה  2021 '!R39</f>
        <v>0</v>
      </c>
      <c r="S25" s="4">
        <f>'תקציב אגף שאיפה  2021 '!S39</f>
        <v>0</v>
      </c>
      <c r="T25" s="4">
        <f>'תקציב אגף שאיפה  2021 '!T39</f>
        <v>100000</v>
      </c>
      <c r="U25" s="4">
        <f>'תקציב אגף שאיפה  2021 '!U39</f>
        <v>70000</v>
      </c>
      <c r="V25" s="4">
        <f>'תקציב אגף שאיפה  2021 '!V39</f>
        <v>0</v>
      </c>
      <c r="W25" s="4">
        <f>'תקציב אגף שאיפה  2021 '!W39</f>
        <v>70000</v>
      </c>
      <c r="X25" s="4">
        <f>'תקציב אגף שאיפה  2021 '!X39</f>
        <v>0</v>
      </c>
      <c r="Y25" s="4">
        <f>'תקציב אגף שאיפה  2021 '!Y39</f>
        <v>0</v>
      </c>
      <c r="Z25" s="4">
        <f>'תקציב אגף שאיפה  2021 '!Z39</f>
        <v>0</v>
      </c>
      <c r="AA25" s="4">
        <f>'תקציב אגף שאיפה  2021 '!AA39</f>
        <v>0</v>
      </c>
      <c r="AB25" s="280" t="str">
        <f>'תקציב אגף שאיפה  2021 '!AB39</f>
        <v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v>
      </c>
      <c r="AC25" s="3">
        <f>'תקציב אגף שאיפה  2021 '!AC39</f>
        <v>746000</v>
      </c>
    </row>
    <row r="26" spans="1:34" s="5" customFormat="1" ht="38.4" customHeight="1">
      <c r="A26" s="3">
        <f t="shared" si="1"/>
        <v>21</v>
      </c>
      <c r="B26" s="3">
        <f>'תקציב אגף שאיפה  2021 '!B41</f>
        <v>2220</v>
      </c>
      <c r="C26" s="280" t="str">
        <f>'תקציב אגף שאיפה  2021 '!C41</f>
        <v>גן יניב - פיתוח והקמת מתקני כושר</v>
      </c>
      <c r="D26" s="4">
        <f>'תקציב אגף שאיפה  2021 '!D41</f>
        <v>800000</v>
      </c>
      <c r="E26" s="4">
        <f>'תקציב אגף שאיפה  2021 '!E41</f>
        <v>0</v>
      </c>
      <c r="F26" s="4">
        <f>'תקציב אגף שאיפה  2021 '!F41</f>
        <v>800000</v>
      </c>
      <c r="G26" s="4">
        <f>'תקציב אגף שאיפה  2021 '!G41</f>
        <v>0</v>
      </c>
      <c r="H26" s="4">
        <f>'תקציב אגף שאיפה  2021 '!H41</f>
        <v>0</v>
      </c>
      <c r="I26" s="4">
        <f>'תקציב אגף שאיפה  2021 '!I41</f>
        <v>0</v>
      </c>
      <c r="J26" s="4">
        <f>'תקציב אגף שאיפה  2021 '!J41</f>
        <v>0</v>
      </c>
      <c r="K26" s="4">
        <f>'תקציב אגף שאיפה  2021 '!K41</f>
        <v>0</v>
      </c>
      <c r="L26" s="4">
        <f>'תקציב אגף שאיפה  2021 '!L41</f>
        <v>0</v>
      </c>
      <c r="M26" s="4">
        <f>'תקציב אגף שאיפה  2021 '!M41</f>
        <v>0</v>
      </c>
      <c r="N26" s="4">
        <f>'תקציב אגף שאיפה  2021 '!N41</f>
        <v>600000</v>
      </c>
      <c r="O26" s="4">
        <f>'תקציב אגף שאיפה  2021 '!O41</f>
        <v>200000</v>
      </c>
      <c r="P26" s="4">
        <f>'תקציב אגף שאיפה  2021 '!P41</f>
        <v>0</v>
      </c>
      <c r="Q26" s="4">
        <f>'תקציב אגף שאיפה  2021 '!Q41</f>
        <v>0</v>
      </c>
      <c r="R26" s="4">
        <f>'תקציב אגף שאיפה  2021 '!R41</f>
        <v>0</v>
      </c>
      <c r="S26" s="4">
        <f>'תקציב אגף שאיפה  2021 '!S41</f>
        <v>0</v>
      </c>
      <c r="T26" s="4">
        <f>'תקציב אגף שאיפה  2021 '!T41</f>
        <v>0</v>
      </c>
      <c r="U26" s="4">
        <f>'תקציב אגף שאיפה  2021 '!U41</f>
        <v>600000</v>
      </c>
      <c r="V26" s="4">
        <f>'תקציב אגף שאיפה  2021 '!V41</f>
        <v>600000</v>
      </c>
      <c r="W26" s="4">
        <f>'תקציב אגף שאיפה  2021 '!W41</f>
        <v>0</v>
      </c>
      <c r="X26" s="4">
        <f>'תקציב אגף שאיפה  2021 '!X41</f>
        <v>0</v>
      </c>
      <c r="Y26" s="4">
        <f>'תקציב אגף שאיפה  2021 '!Y41</f>
        <v>0</v>
      </c>
      <c r="Z26" s="4">
        <f>'תקציב אגף שאיפה  2021 '!Z41</f>
        <v>0</v>
      </c>
      <c r="AA26" s="4">
        <f>'תקציב אגף שאיפה  2021 '!AA41</f>
        <v>0</v>
      </c>
      <c r="AB26" s="280" t="str">
        <f>'תקציב אגף שאיפה  2021 '!AB41</f>
        <v>הקמת מתקני כושר ופיתוח בשטח הגבול בין גינת הכלבים וחיבור לגן הציבורי בשטח של 1.3 דונם.</v>
      </c>
      <c r="AC26" s="3">
        <f>'תקציב אגף שאיפה  2021 '!AC41</f>
        <v>746000</v>
      </c>
    </row>
    <row r="27" spans="1:34" s="70" customFormat="1" ht="30" customHeight="1">
      <c r="A27" s="33"/>
      <c r="B27" s="33"/>
      <c r="C27" s="412" t="s">
        <v>1477</v>
      </c>
      <c r="D27" s="73">
        <f>SUM(D7:D26)</f>
        <v>99438000</v>
      </c>
      <c r="E27" s="73">
        <f t="shared" ref="E27:AA27" si="2">SUM(E7:E26)</f>
        <v>93508000</v>
      </c>
      <c r="F27" s="73">
        <f t="shared" si="2"/>
        <v>5930000</v>
      </c>
      <c r="G27" s="73">
        <f t="shared" si="2"/>
        <v>78170866</v>
      </c>
      <c r="H27" s="73">
        <f t="shared" si="2"/>
        <v>73003837</v>
      </c>
      <c r="I27" s="73">
        <f t="shared" si="2"/>
        <v>0</v>
      </c>
      <c r="J27" s="73">
        <f t="shared" si="2"/>
        <v>3826742</v>
      </c>
      <c r="K27" s="73">
        <f t="shared" si="2"/>
        <v>3826742</v>
      </c>
      <c r="L27" s="73">
        <f t="shared" si="2"/>
        <v>76830579</v>
      </c>
      <c r="M27" s="73">
        <f t="shared" si="2"/>
        <v>582287</v>
      </c>
      <c r="N27" s="73">
        <f t="shared" si="2"/>
        <v>5620000</v>
      </c>
      <c r="O27" s="73">
        <f t="shared" si="2"/>
        <v>16405134</v>
      </c>
      <c r="P27" s="73">
        <f t="shared" si="2"/>
        <v>1340287</v>
      </c>
      <c r="Q27" s="73">
        <f t="shared" si="2"/>
        <v>0</v>
      </c>
      <c r="R27" s="73">
        <f t="shared" si="2"/>
        <v>0</v>
      </c>
      <c r="S27" s="73">
        <f t="shared" si="2"/>
        <v>0</v>
      </c>
      <c r="T27" s="73">
        <f t="shared" si="2"/>
        <v>758000</v>
      </c>
      <c r="U27" s="73">
        <f t="shared" si="2"/>
        <v>4862000</v>
      </c>
      <c r="V27" s="73">
        <f t="shared" si="2"/>
        <v>542000</v>
      </c>
      <c r="W27" s="73">
        <f t="shared" si="2"/>
        <v>4320000</v>
      </c>
      <c r="X27" s="73">
        <f t="shared" si="2"/>
        <v>0</v>
      </c>
      <c r="Y27" s="73">
        <f t="shared" si="2"/>
        <v>0</v>
      </c>
      <c r="Z27" s="73">
        <f t="shared" si="2"/>
        <v>0</v>
      </c>
      <c r="AA27" s="73">
        <f t="shared" si="2"/>
        <v>0</v>
      </c>
      <c r="AB27" s="412"/>
      <c r="AC27" s="33"/>
    </row>
    <row r="28" spans="1:34" s="5" customFormat="1" ht="28">
      <c r="A28" s="3">
        <f>A26+1</f>
        <v>22</v>
      </c>
      <c r="B28" s="3">
        <f>'תקציב אגף שאיפה  2021 '!B40</f>
        <v>2181</v>
      </c>
      <c r="C28" s="280" t="str">
        <f>'תקציב אגף שאיפה  2021 '!C40</f>
        <v>טיפול במפגעי בטיחות במצוק</v>
      </c>
      <c r="D28" s="4">
        <f>'תקציב אגף שאיפה  2021 '!D40</f>
        <v>1259000</v>
      </c>
      <c r="E28" s="4">
        <f>'תקציב אגף שאיפה  2021 '!E40</f>
        <v>1259000</v>
      </c>
      <c r="F28" s="4">
        <f>'תקציב אגף שאיפה  2021 '!F40</f>
        <v>0</v>
      </c>
      <c r="G28" s="4">
        <f>'תקציב אגף שאיפה  2021 '!G40</f>
        <v>1259000</v>
      </c>
      <c r="H28" s="4">
        <f>'תקציב אגף שאיפה  2021 '!H40</f>
        <v>446965</v>
      </c>
      <c r="I28" s="4">
        <f>'תקציב אגף שאיפה  2021 '!I40</f>
        <v>0</v>
      </c>
      <c r="J28" s="4">
        <f>'תקציב אגף שאיפה  2021 '!J40</f>
        <v>744959</v>
      </c>
      <c r="K28" s="4">
        <f>'תקציב אגף שאיפה  2021 '!K40</f>
        <v>744959</v>
      </c>
      <c r="L28" s="4">
        <f>'תקציב אגף שאיפה  2021 '!L40</f>
        <v>1191924</v>
      </c>
      <c r="M28" s="4">
        <f>'תקציב אגף שאיפה  2021 '!M40</f>
        <v>67076</v>
      </c>
      <c r="N28" s="4">
        <f>'תקציב אגף שאיפה  2021 '!N40</f>
        <v>0</v>
      </c>
      <c r="O28" s="4">
        <f>'תקציב אגף שאיפה  2021 '!O40</f>
        <v>0</v>
      </c>
      <c r="P28" s="4">
        <f>'תקציב אגף שאיפה  2021 '!P40</f>
        <v>67076</v>
      </c>
      <c r="Q28" s="4">
        <f>'תקציב אגף שאיפה  2021 '!Q40</f>
        <v>0</v>
      </c>
      <c r="R28" s="4">
        <f>'תקציב אגף שאיפה  2021 '!R40</f>
        <v>0</v>
      </c>
      <c r="S28" s="4">
        <f>'תקציב אגף שאיפה  2021 '!S40</f>
        <v>0</v>
      </c>
      <c r="T28" s="4">
        <f>'תקציב אגף שאיפה  2021 '!T40</f>
        <v>0</v>
      </c>
      <c r="U28" s="4">
        <f>'תקציב אגף שאיפה  2021 '!U40</f>
        <v>0</v>
      </c>
      <c r="V28" s="4">
        <f>'תקציב אגף שאיפה  2021 '!V40</f>
        <v>0</v>
      </c>
      <c r="W28" s="4">
        <f>'תקציב אגף שאיפה  2021 '!W40</f>
        <v>0</v>
      </c>
      <c r="X28" s="4">
        <f>'תקציב אגף שאיפה  2021 '!X40</f>
        <v>0</v>
      </c>
      <c r="Y28" s="4">
        <f>'תקציב אגף שאיפה  2021 '!Y40</f>
        <v>0</v>
      </c>
      <c r="Z28" s="4">
        <f>'תקציב אגף שאיפה  2021 '!Z40</f>
        <v>0</v>
      </c>
      <c r="AA28" s="4">
        <f>'תקציב אגף שאיפה  2021 '!AA40</f>
        <v>0</v>
      </c>
      <c r="AB28" s="280" t="str">
        <f>'תקציב אגף שאיפה  2021 '!AB40</f>
        <v>ביצוע עבודות לטיפול במפגעי בטיחות במצוק. מימון מ. הפנים.</v>
      </c>
      <c r="AC28" s="3">
        <f>'תקציב אגף שאיפה  2021 '!AC40</f>
        <v>747000</v>
      </c>
    </row>
    <row r="29" spans="1:34" s="70" customFormat="1">
      <c r="A29" s="33"/>
      <c r="B29" s="33"/>
      <c r="C29" s="412" t="s">
        <v>1479</v>
      </c>
      <c r="D29" s="73">
        <f>SUM(D28)</f>
        <v>1259000</v>
      </c>
      <c r="E29" s="73">
        <f t="shared" ref="E29:AA29" si="3">SUM(E28)</f>
        <v>1259000</v>
      </c>
      <c r="F29" s="73">
        <f t="shared" si="3"/>
        <v>0</v>
      </c>
      <c r="G29" s="73">
        <f t="shared" si="3"/>
        <v>1259000</v>
      </c>
      <c r="H29" s="73">
        <f t="shared" si="3"/>
        <v>446965</v>
      </c>
      <c r="I29" s="73">
        <f t="shared" si="3"/>
        <v>0</v>
      </c>
      <c r="J29" s="73">
        <f t="shared" si="3"/>
        <v>744959</v>
      </c>
      <c r="K29" s="73">
        <f t="shared" si="3"/>
        <v>744959</v>
      </c>
      <c r="L29" s="73">
        <f t="shared" si="3"/>
        <v>1191924</v>
      </c>
      <c r="M29" s="73">
        <f t="shared" si="3"/>
        <v>67076</v>
      </c>
      <c r="N29" s="73">
        <f t="shared" si="3"/>
        <v>0</v>
      </c>
      <c r="O29" s="73">
        <f t="shared" si="3"/>
        <v>0</v>
      </c>
      <c r="P29" s="73">
        <f t="shared" si="3"/>
        <v>67076</v>
      </c>
      <c r="Q29" s="73">
        <f t="shared" si="3"/>
        <v>0</v>
      </c>
      <c r="R29" s="73">
        <f t="shared" si="3"/>
        <v>0</v>
      </c>
      <c r="S29" s="73">
        <f t="shared" si="3"/>
        <v>0</v>
      </c>
      <c r="T29" s="73">
        <f t="shared" si="3"/>
        <v>0</v>
      </c>
      <c r="U29" s="73">
        <f t="shared" si="3"/>
        <v>0</v>
      </c>
      <c r="V29" s="73">
        <f t="shared" si="3"/>
        <v>0</v>
      </c>
      <c r="W29" s="73">
        <f t="shared" si="3"/>
        <v>0</v>
      </c>
      <c r="X29" s="73">
        <f t="shared" si="3"/>
        <v>0</v>
      </c>
      <c r="Y29" s="73">
        <f t="shared" si="3"/>
        <v>0</v>
      </c>
      <c r="Z29" s="73">
        <f t="shared" si="3"/>
        <v>0</v>
      </c>
      <c r="AA29" s="73">
        <f t="shared" si="3"/>
        <v>0</v>
      </c>
      <c r="AB29" s="412"/>
      <c r="AC29" s="33"/>
    </row>
    <row r="30" spans="1:34" s="5" customFormat="1" ht="28">
      <c r="A30" s="3">
        <f>A28+1</f>
        <v>23</v>
      </c>
      <c r="B30" s="3">
        <f>'תקציב אגף שאיפה  2021 '!B29</f>
        <v>2039</v>
      </c>
      <c r="C30" s="280" t="str">
        <f>'תקציב אגף שאיפה  2021 '!C29</f>
        <v>הצבת קולרים ברחבי העיר</v>
      </c>
      <c r="D30" s="4">
        <f>'תקציב אגף שאיפה  2021 '!D29</f>
        <v>535000</v>
      </c>
      <c r="E30" s="4">
        <f>'תקציב אגף שאיפה  2021 '!E29</f>
        <v>285000</v>
      </c>
      <c r="F30" s="4">
        <f>'תקציב אגף שאיפה  2021 '!F29</f>
        <v>250000</v>
      </c>
      <c r="G30" s="4">
        <f>'תקציב אגף שאיפה  2021 '!G29</f>
        <v>35000</v>
      </c>
      <c r="H30" s="4">
        <f>'תקציב אגף שאיפה  2021 '!H29</f>
        <v>25514</v>
      </c>
      <c r="I30" s="4">
        <f>'תקציב אגף שאיפה  2021 '!I29</f>
        <v>0</v>
      </c>
      <c r="J30" s="4">
        <f>'תקציב אגף שאיפה  2021 '!J29</f>
        <v>9484</v>
      </c>
      <c r="K30" s="4">
        <f>'תקציב אגף שאיפה  2021 '!K29</f>
        <v>9484</v>
      </c>
      <c r="L30" s="4">
        <f>'תקציב אגף שאיפה  2021 '!L29</f>
        <v>34998</v>
      </c>
      <c r="M30" s="4">
        <f>'תקציב אגף שאיפה  2021 '!M29</f>
        <v>2</v>
      </c>
      <c r="N30" s="4">
        <f>'תקציב אגף שאיפה  2021 '!N29</f>
        <v>0</v>
      </c>
      <c r="O30" s="4">
        <f>'תקציב אגף שאיפה  2021 '!O29</f>
        <v>500000</v>
      </c>
      <c r="P30" s="4">
        <f>'תקציב אגף שאיפה  2021 '!P29</f>
        <v>2</v>
      </c>
      <c r="Q30" s="4">
        <f>'תקציב אגף שאיפה  2021 '!Q29</f>
        <v>0</v>
      </c>
      <c r="R30" s="4">
        <f>'תקציב אגף שאיפה  2021 '!R29</f>
        <v>0</v>
      </c>
      <c r="S30" s="4">
        <f>'תקציב אגף שאיפה  2021 '!S29</f>
        <v>0</v>
      </c>
      <c r="T30" s="4">
        <f>'תקציב אגף שאיפה  2021 '!T29</f>
        <v>0</v>
      </c>
      <c r="U30" s="4">
        <f>'תקציב אגף שאיפה  2021 '!U29</f>
        <v>0</v>
      </c>
      <c r="V30" s="4">
        <f>'תקציב אגף שאיפה  2021 '!V29</f>
        <v>0</v>
      </c>
      <c r="W30" s="4">
        <f>'תקציב אגף שאיפה  2021 '!W29</f>
        <v>0</v>
      </c>
      <c r="X30" s="4">
        <f>'תקציב אגף שאיפה  2021 '!X29</f>
        <v>0</v>
      </c>
      <c r="Y30" s="4">
        <f>'תקציב אגף שאיפה  2021 '!Y29</f>
        <v>0</v>
      </c>
      <c r="Z30" s="4">
        <f>'תקציב אגף שאיפה  2021 '!Z29</f>
        <v>0</v>
      </c>
      <c r="AA30" s="4">
        <f>'תקציב אגף שאיפה  2021 '!AA29</f>
        <v>0</v>
      </c>
      <c r="AB30" s="280" t="str">
        <f>'תקציב אגף שאיפה  2021 '!AB29</f>
        <v xml:space="preserve">הצבת מתקני שתייה מקוררים כולל תשתיות ברחבי העיר לרווחת התושבים. </v>
      </c>
      <c r="AC30" s="3">
        <f>'תקציב אגף שאיפה  2021 '!AC29</f>
        <v>760000</v>
      </c>
      <c r="AD30" s="166"/>
      <c r="AE30" s="22"/>
      <c r="AF30" s="23"/>
      <c r="AG30" s="23"/>
      <c r="AH30" s="23"/>
    </row>
    <row r="31" spans="1:34" s="70" customFormat="1">
      <c r="A31" s="33"/>
      <c r="B31" s="33"/>
      <c r="C31" s="412" t="s">
        <v>1478</v>
      </c>
      <c r="D31" s="73">
        <f>SUM(D30)</f>
        <v>535000</v>
      </c>
      <c r="E31" s="73">
        <f t="shared" ref="E31:AA31" si="4">SUM(E30)</f>
        <v>285000</v>
      </c>
      <c r="F31" s="73">
        <f t="shared" si="4"/>
        <v>250000</v>
      </c>
      <c r="G31" s="73">
        <f t="shared" si="4"/>
        <v>35000</v>
      </c>
      <c r="H31" s="73">
        <f t="shared" si="4"/>
        <v>25514</v>
      </c>
      <c r="I31" s="73">
        <f t="shared" si="4"/>
        <v>0</v>
      </c>
      <c r="J31" s="73">
        <f t="shared" si="4"/>
        <v>9484</v>
      </c>
      <c r="K31" s="73">
        <f t="shared" si="4"/>
        <v>9484</v>
      </c>
      <c r="L31" s="73">
        <f t="shared" si="4"/>
        <v>34998</v>
      </c>
      <c r="M31" s="73">
        <f t="shared" si="4"/>
        <v>2</v>
      </c>
      <c r="N31" s="73">
        <f t="shared" si="4"/>
        <v>0</v>
      </c>
      <c r="O31" s="73">
        <f t="shared" si="4"/>
        <v>500000</v>
      </c>
      <c r="P31" s="73">
        <f t="shared" si="4"/>
        <v>2</v>
      </c>
      <c r="Q31" s="73">
        <f t="shared" si="4"/>
        <v>0</v>
      </c>
      <c r="R31" s="73">
        <f t="shared" si="4"/>
        <v>0</v>
      </c>
      <c r="S31" s="73">
        <f t="shared" si="4"/>
        <v>0</v>
      </c>
      <c r="T31" s="73">
        <f t="shared" si="4"/>
        <v>0</v>
      </c>
      <c r="U31" s="73">
        <f t="shared" si="4"/>
        <v>0</v>
      </c>
      <c r="V31" s="73">
        <f t="shared" si="4"/>
        <v>0</v>
      </c>
      <c r="W31" s="73">
        <f t="shared" si="4"/>
        <v>0</v>
      </c>
      <c r="X31" s="73">
        <f t="shared" si="4"/>
        <v>0</v>
      </c>
      <c r="Y31" s="73">
        <f t="shared" si="4"/>
        <v>0</v>
      </c>
      <c r="Z31" s="73">
        <f t="shared" si="4"/>
        <v>0</v>
      </c>
      <c r="AA31" s="73">
        <f t="shared" si="4"/>
        <v>0</v>
      </c>
      <c r="AB31" s="412"/>
      <c r="AC31" s="33"/>
      <c r="AD31" s="345"/>
      <c r="AE31" s="265"/>
      <c r="AF31" s="266"/>
      <c r="AG31" s="266"/>
      <c r="AH31" s="266"/>
    </row>
    <row r="32" spans="1:34" s="5" customFormat="1" ht="42">
      <c r="A32" s="3">
        <f>A30+1</f>
        <v>24</v>
      </c>
      <c r="B32" s="3">
        <f>'תקציב אגף שאיפה  2021 '!B7</f>
        <v>1210</v>
      </c>
      <c r="C32" s="280" t="str">
        <f>'תקציב אגף שאיפה  2021 '!C7</f>
        <v>חזיתות בתים שיפוץ</v>
      </c>
      <c r="D32" s="4">
        <f>'תקציב אגף שאיפה  2021 '!D7</f>
        <v>113550000</v>
      </c>
      <c r="E32" s="4">
        <f>'תקציב אגף שאיפה  2021 '!E7</f>
        <v>89650000</v>
      </c>
      <c r="F32" s="4">
        <f>'תקציב אגף שאיפה  2021 '!F7</f>
        <v>23900000</v>
      </c>
      <c r="G32" s="4">
        <f>'תקציב אגף שאיפה  2021 '!G7</f>
        <v>85250000</v>
      </c>
      <c r="H32" s="4">
        <f>'תקציב אגף שאיפה  2021 '!H7</f>
        <v>80024869</v>
      </c>
      <c r="I32" s="4">
        <f>'תקציב אגף שאיפה  2021 '!I7</f>
        <v>0</v>
      </c>
      <c r="J32" s="4">
        <f>'תקציב אגף שאיפה  2021 '!J7</f>
        <v>754523</v>
      </c>
      <c r="K32" s="4">
        <f>'תקציב אגף שאיפה  2021 '!K7</f>
        <v>754523</v>
      </c>
      <c r="L32" s="4">
        <f>'תקציב אגף שאיפה  2021 '!L7</f>
        <v>80779392</v>
      </c>
      <c r="M32" s="4">
        <f>'תקציב אגף שאיפה  2021 '!M7</f>
        <v>4470608</v>
      </c>
      <c r="N32" s="4">
        <f>'תקציב אגף שאיפה  2021 '!N7</f>
        <v>19300000</v>
      </c>
      <c r="O32" s="4">
        <f>'תקציב אגף שאיפה  2021 '!O7</f>
        <v>9000000</v>
      </c>
      <c r="P32" s="4">
        <f>'תקציב אגף שאיפה  2021 '!P7</f>
        <v>4470608</v>
      </c>
      <c r="Q32" s="4">
        <f>'תקציב אגף שאיפה  2021 '!Q7</f>
        <v>0</v>
      </c>
      <c r="R32" s="4">
        <f>'תקציב אגף שאיפה  2021 '!R7</f>
        <v>0</v>
      </c>
      <c r="S32" s="4">
        <f>'תקציב אגף שאיפה  2021 '!S7</f>
        <v>0</v>
      </c>
      <c r="T32" s="4">
        <f>'תקציב אגף שאיפה  2021 '!T7</f>
        <v>0</v>
      </c>
      <c r="U32" s="4">
        <f>'תקציב אגף שאיפה  2021 '!U7</f>
        <v>19300000</v>
      </c>
      <c r="V32" s="4">
        <f>'תקציב אגף שאיפה  2021 '!V7</f>
        <v>0</v>
      </c>
      <c r="W32" s="4">
        <f>'תקציב אגף שאיפה  2021 '!W7</f>
        <v>0</v>
      </c>
      <c r="X32" s="4">
        <f>'תקציב אגף שאיפה  2021 '!X7</f>
        <v>0</v>
      </c>
      <c r="Y32" s="4">
        <f>'תקציב אגף שאיפה  2021 '!Y7</f>
        <v>0</v>
      </c>
      <c r="Z32" s="4">
        <f>'תקציב אגף שאיפה  2021 '!Z7</f>
        <v>0</v>
      </c>
      <c r="AA32" s="4">
        <f>'תקציב אגף שאיפה  2021 '!AA7</f>
        <v>19300000</v>
      </c>
      <c r="AB32" s="280" t="str">
        <f>'תקציב אגף שאיפה  2021 '!AB7</f>
        <v>שיפוץ חזיתות בתים כולל: פיתוח חצרות, חדרי מדרגות, מעלית (רכוש משותף). בשיתוף האגודה לתרבות הדיור.</v>
      </c>
      <c r="AC32" s="3">
        <f>'תקציב אגף שאיפה  2021 '!AC7</f>
        <v>764000</v>
      </c>
      <c r="AD32" s="166"/>
    </row>
    <row r="33" spans="1:34" s="70" customFormat="1">
      <c r="A33" s="33"/>
      <c r="B33" s="33"/>
      <c r="C33" s="412" t="s">
        <v>1507</v>
      </c>
      <c r="D33" s="73">
        <f>SUM(D32)</f>
        <v>113550000</v>
      </c>
      <c r="E33" s="73">
        <f t="shared" ref="E33:AA33" si="5">SUM(E32)</f>
        <v>89650000</v>
      </c>
      <c r="F33" s="73">
        <f t="shared" si="5"/>
        <v>23900000</v>
      </c>
      <c r="G33" s="73">
        <f t="shared" si="5"/>
        <v>85250000</v>
      </c>
      <c r="H33" s="73">
        <f t="shared" si="5"/>
        <v>80024869</v>
      </c>
      <c r="I33" s="73">
        <f t="shared" si="5"/>
        <v>0</v>
      </c>
      <c r="J33" s="73">
        <f t="shared" si="5"/>
        <v>754523</v>
      </c>
      <c r="K33" s="73">
        <f t="shared" si="5"/>
        <v>754523</v>
      </c>
      <c r="L33" s="73">
        <f t="shared" si="5"/>
        <v>80779392</v>
      </c>
      <c r="M33" s="73">
        <f t="shared" si="5"/>
        <v>4470608</v>
      </c>
      <c r="N33" s="73">
        <f t="shared" si="5"/>
        <v>19300000</v>
      </c>
      <c r="O33" s="73">
        <f t="shared" si="5"/>
        <v>9000000</v>
      </c>
      <c r="P33" s="73">
        <f t="shared" si="5"/>
        <v>4470608</v>
      </c>
      <c r="Q33" s="73">
        <f t="shared" si="5"/>
        <v>0</v>
      </c>
      <c r="R33" s="73">
        <f t="shared" si="5"/>
        <v>0</v>
      </c>
      <c r="S33" s="73">
        <f t="shared" si="5"/>
        <v>0</v>
      </c>
      <c r="T33" s="73">
        <f t="shared" si="5"/>
        <v>0</v>
      </c>
      <c r="U33" s="73">
        <f t="shared" si="5"/>
        <v>19300000</v>
      </c>
      <c r="V33" s="73">
        <f t="shared" si="5"/>
        <v>0</v>
      </c>
      <c r="W33" s="73">
        <f t="shared" si="5"/>
        <v>0</v>
      </c>
      <c r="X33" s="73">
        <f t="shared" si="5"/>
        <v>0</v>
      </c>
      <c r="Y33" s="73">
        <f t="shared" si="5"/>
        <v>0</v>
      </c>
      <c r="Z33" s="73">
        <f t="shared" si="5"/>
        <v>0</v>
      </c>
      <c r="AA33" s="73">
        <f t="shared" si="5"/>
        <v>19300000</v>
      </c>
      <c r="AB33" s="412"/>
      <c r="AC33" s="33"/>
      <c r="AD33" s="345"/>
    </row>
    <row r="34" spans="1:34" s="5" customFormat="1" ht="28">
      <c r="A34" s="3">
        <f>A32+1</f>
        <v>25</v>
      </c>
      <c r="B34" s="3">
        <f>'תקציב אגף שאיפה  2021 '!B18</f>
        <v>1817</v>
      </c>
      <c r="C34" s="280" t="str">
        <f>'תקציב אגף שאיפה  2021 '!C18</f>
        <v>הקמת גינות בי"ס קהילתיות</v>
      </c>
      <c r="D34" s="4">
        <f>'תקציב אגף שאיפה  2021 '!D18</f>
        <v>872000</v>
      </c>
      <c r="E34" s="4">
        <f>'תקציב אגף שאיפה  2021 '!E18</f>
        <v>872000</v>
      </c>
      <c r="F34" s="4">
        <f>'תקציב אגף שאיפה  2021 '!F18</f>
        <v>0</v>
      </c>
      <c r="G34" s="4">
        <f>'תקציב אגף שאיפה  2021 '!G18</f>
        <v>790000</v>
      </c>
      <c r="H34" s="4">
        <f>'תקציב אגף שאיפה  2021 '!H18</f>
        <v>634858</v>
      </c>
      <c r="I34" s="4">
        <f>'תקציב אגף שאיפה  2021 '!I18</f>
        <v>0</v>
      </c>
      <c r="J34" s="4">
        <f>'תקציב אגף שאיפה  2021 '!J18</f>
        <v>39400</v>
      </c>
      <c r="K34" s="4">
        <f>'תקציב אגף שאיפה  2021 '!K18</f>
        <v>39400</v>
      </c>
      <c r="L34" s="4">
        <f>'תקציב אגף שאיפה  2021 '!L18</f>
        <v>674258</v>
      </c>
      <c r="M34" s="4">
        <f>'תקציב אגף שאיפה  2021 '!M18</f>
        <v>15742</v>
      </c>
      <c r="N34" s="4">
        <f>'תקציב אגף שאיפה  2021 '!N18</f>
        <v>182000</v>
      </c>
      <c r="O34" s="4">
        <f>'תקציב אגף שאיפה  2021 '!O18</f>
        <v>0</v>
      </c>
      <c r="P34" s="4">
        <f>'תקציב אגף שאיפה  2021 '!P18</f>
        <v>115742</v>
      </c>
      <c r="Q34" s="4">
        <f>'תקציב אגף שאיפה  2021 '!Q18</f>
        <v>0</v>
      </c>
      <c r="R34" s="4">
        <f>'תקציב אגף שאיפה  2021 '!R18</f>
        <v>0</v>
      </c>
      <c r="S34" s="4">
        <f>'תקציב אגף שאיפה  2021 '!S18</f>
        <v>0</v>
      </c>
      <c r="T34" s="4">
        <f>'תקציב אגף שאיפה  2021 '!T18</f>
        <v>100000</v>
      </c>
      <c r="U34" s="4">
        <f>'תקציב אגף שאיפה  2021 '!U18</f>
        <v>82000</v>
      </c>
      <c r="V34" s="4">
        <f>'תקציב אגף שאיפה  2021 '!V18</f>
        <v>0</v>
      </c>
      <c r="W34" s="4">
        <f>'תקציב אגף שאיפה  2021 '!W18</f>
        <v>0</v>
      </c>
      <c r="X34" s="4">
        <f>'תקציב אגף שאיפה  2021 '!X18</f>
        <v>0</v>
      </c>
      <c r="Y34" s="4">
        <f>'תקציב אגף שאיפה  2021 '!Y18</f>
        <v>0</v>
      </c>
      <c r="Z34" s="4">
        <f>'תקציב אגף שאיפה  2021 '!Z18</f>
        <v>0</v>
      </c>
      <c r="AA34" s="4">
        <f>'תקציב אגף שאיפה  2021 '!AA18</f>
        <v>82000</v>
      </c>
      <c r="AB34" s="280" t="str">
        <f>'תקציב אגף שאיפה  2021 '!AB18</f>
        <v>הקמת גינות קהילתיות בית ספריות. מימון קרן הועדה החקלאית.</v>
      </c>
      <c r="AC34" s="3">
        <f>'תקציב אגף שאיפה  2021 '!AC18</f>
        <v>810000</v>
      </c>
      <c r="AD34" s="22"/>
      <c r="AE34" s="23"/>
      <c r="AF34" s="23"/>
      <c r="AG34" s="23"/>
      <c r="AH34" s="23"/>
    </row>
    <row r="35" spans="1:34" s="5" customFormat="1" ht="39.65" customHeight="1">
      <c r="A35" s="3">
        <f t="shared" si="1"/>
        <v>26</v>
      </c>
      <c r="B35" s="3">
        <f>'תקציב אגף שאיפה  2021 '!B26</f>
        <v>2036</v>
      </c>
      <c r="C35" s="280" t="str">
        <f>'תקציב אגף שאיפה  2021 '!C26</f>
        <v>בי"ס אלון פיתוח חצר אחורית</v>
      </c>
      <c r="D35" s="4">
        <f>'תקציב אגף שאיפה  2021 '!D26</f>
        <v>1120000</v>
      </c>
      <c r="E35" s="4">
        <f>'תקציב אגף שאיפה  2021 '!E26</f>
        <v>1120000</v>
      </c>
      <c r="F35" s="4">
        <f>'תקציב אגף שאיפה  2021 '!F26</f>
        <v>0</v>
      </c>
      <c r="G35" s="4">
        <f>'תקציב אגף שאיפה  2021 '!G26</f>
        <v>1120000</v>
      </c>
      <c r="H35" s="4">
        <f>'תקציב אגף שאיפה  2021 '!H26</f>
        <v>549990</v>
      </c>
      <c r="I35" s="4">
        <f>'תקציב אגף שאיפה  2021 '!I26</f>
        <v>0</v>
      </c>
      <c r="J35" s="4">
        <f>'תקציב אגף שאיפה  2021 '!J26</f>
        <v>570000</v>
      </c>
      <c r="K35" s="4">
        <f>'תקציב אגף שאיפה  2021 '!K26</f>
        <v>570000</v>
      </c>
      <c r="L35" s="4">
        <f>'תקציב אגף שאיפה  2021 '!L26</f>
        <v>1119990</v>
      </c>
      <c r="M35" s="4">
        <f>'תקציב אגף שאיפה  2021 '!M26</f>
        <v>10</v>
      </c>
      <c r="N35" s="4">
        <f>'תקציב אגף שאיפה  2021 '!N26</f>
        <v>0</v>
      </c>
      <c r="O35" s="4">
        <f>'תקציב אגף שאיפה  2021 '!O26</f>
        <v>0</v>
      </c>
      <c r="P35" s="4">
        <f>'תקציב אגף שאיפה  2021 '!P26</f>
        <v>10</v>
      </c>
      <c r="Q35" s="4">
        <f>'תקציב אגף שאיפה  2021 '!Q26</f>
        <v>0</v>
      </c>
      <c r="R35" s="4">
        <f>'תקציב אגף שאיפה  2021 '!R26</f>
        <v>0</v>
      </c>
      <c r="S35" s="4">
        <f>'תקציב אגף שאיפה  2021 '!S26</f>
        <v>0</v>
      </c>
      <c r="T35" s="4">
        <f>'תקציב אגף שאיפה  2021 '!T26</f>
        <v>0</v>
      </c>
      <c r="U35" s="4">
        <f>'תקציב אגף שאיפה  2021 '!U26</f>
        <v>0</v>
      </c>
      <c r="V35" s="4">
        <f>'תקציב אגף שאיפה  2021 '!V26</f>
        <v>0</v>
      </c>
      <c r="W35" s="4">
        <f>'תקציב אגף שאיפה  2021 '!W26</f>
        <v>0</v>
      </c>
      <c r="X35" s="4">
        <f>'תקציב אגף שאיפה  2021 '!X26</f>
        <v>0</v>
      </c>
      <c r="Y35" s="4">
        <f>'תקציב אגף שאיפה  2021 '!Y26</f>
        <v>0</v>
      </c>
      <c r="Z35" s="4">
        <f>'תקציב אגף שאיפה  2021 '!Z26</f>
        <v>0</v>
      </c>
      <c r="AA35" s="4">
        <f>'תקציב אגף שאיפה  2021 '!AA26</f>
        <v>0</v>
      </c>
      <c r="AB35" s="280" t="str">
        <f>'תקציב אגף שאיפה  2021 '!AB26</f>
        <v>עבודות פיתוח ושדרוג החצר האחורית במתחם בי"ס אלון כולל הצללה. העבודות הסתיימו. ח-ן סופיים.</v>
      </c>
      <c r="AC35" s="3">
        <f>'תקציב אגף שאיפה  2021 '!AC26</f>
        <v>810000</v>
      </c>
      <c r="AD35" s="166"/>
      <c r="AE35" s="22"/>
      <c r="AF35" s="22"/>
      <c r="AG35" s="22"/>
      <c r="AH35" s="22"/>
    </row>
    <row r="36" spans="1:34" s="5" customFormat="1" ht="70">
      <c r="A36" s="3">
        <f t="shared" si="1"/>
        <v>27</v>
      </c>
      <c r="B36" s="3">
        <f>'תקציב אגף שאיפה  2021 '!B28</f>
        <v>2038</v>
      </c>
      <c r="C36" s="280" t="str">
        <f>'תקציב אגף שאיפה  2021 '!C28</f>
        <v xml:space="preserve">הסדרת שטחי מוס"ח ברחבי העיר </v>
      </c>
      <c r="D36" s="4">
        <f>'תקציב אגף שאיפה  2021 '!D28</f>
        <v>4950000</v>
      </c>
      <c r="E36" s="4">
        <f>'תקציב אגף שאיפה  2021 '!E28</f>
        <v>3750000</v>
      </c>
      <c r="F36" s="4">
        <f>'תקציב אגף שאיפה  2021 '!F28</f>
        <v>1200000</v>
      </c>
      <c r="G36" s="4">
        <f>'תקציב אגף שאיפה  2021 '!G28</f>
        <v>3450000</v>
      </c>
      <c r="H36" s="4">
        <f>'תקציב אגף שאיפה  2021 '!H28</f>
        <v>2297203</v>
      </c>
      <c r="I36" s="4">
        <f>'תקציב אגף שאיפה  2021 '!I28</f>
        <v>0</v>
      </c>
      <c r="J36" s="4">
        <f>'תקציב אגף שאיפה  2021 '!J28</f>
        <v>284976</v>
      </c>
      <c r="K36" s="4">
        <f>'תקציב אגף שאיפה  2021 '!K28</f>
        <v>284976</v>
      </c>
      <c r="L36" s="4">
        <f>'תקציב אגף שאיפה  2021 '!L28</f>
        <v>2582179</v>
      </c>
      <c r="M36" s="4">
        <f>'תקציב אגף שאיפה  2021 '!M28</f>
        <v>107821</v>
      </c>
      <c r="N36" s="4">
        <f>'תקציב אגף שאיפה  2021 '!N28</f>
        <v>760000</v>
      </c>
      <c r="O36" s="4">
        <f>'תקציב אגף שאיפה  2021 '!O28</f>
        <v>1500000</v>
      </c>
      <c r="P36" s="4">
        <f>'תקציב אגף שאיפה  2021 '!P28</f>
        <v>867821</v>
      </c>
      <c r="Q36" s="4">
        <f>'תקציב אגף שאיפה  2021 '!Q28</f>
        <v>0</v>
      </c>
      <c r="R36" s="4">
        <f>'תקציב אגף שאיפה  2021 '!R28</f>
        <v>0</v>
      </c>
      <c r="S36" s="4">
        <f>'תקציב אגף שאיפה  2021 '!S28</f>
        <v>0</v>
      </c>
      <c r="T36" s="4">
        <f>'תקציב אגף שאיפה  2021 '!T28</f>
        <v>760000</v>
      </c>
      <c r="U36" s="4">
        <f>'תקציב אגף שאיפה  2021 '!U28</f>
        <v>0</v>
      </c>
      <c r="V36" s="4">
        <f>'תקציב אגף שאיפה  2021 '!V28</f>
        <v>0</v>
      </c>
      <c r="W36" s="4">
        <f>'תקציב אגף שאיפה  2021 '!W28</f>
        <v>0</v>
      </c>
      <c r="X36" s="4">
        <f>'תקציב אגף שאיפה  2021 '!X28</f>
        <v>0</v>
      </c>
      <c r="Y36" s="4">
        <f>'תקציב אגף שאיפה  2021 '!Y28</f>
        <v>0</v>
      </c>
      <c r="Z36" s="4">
        <f>'תקציב אגף שאיפה  2021 '!Z28</f>
        <v>0</v>
      </c>
      <c r="AA36" s="4">
        <f>'תקציב אגף שאיפה  2021 '!AA28</f>
        <v>0</v>
      </c>
      <c r="AB36" s="280" t="str">
        <f>'תקציב אגף שאיפה  2021 '!AB28</f>
        <v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v>
      </c>
      <c r="AC36" s="3">
        <f>'תקציב אגף שאיפה  2021 '!AC28</f>
        <v>810000</v>
      </c>
      <c r="AD36" s="166"/>
      <c r="AE36" s="22"/>
      <c r="AF36" s="23"/>
      <c r="AG36" s="23"/>
      <c r="AH36" s="23"/>
    </row>
    <row r="37" spans="1:34" s="70" customFormat="1">
      <c r="A37" s="33"/>
      <c r="B37" s="33"/>
      <c r="C37" s="412" t="s">
        <v>1482</v>
      </c>
      <c r="D37" s="73">
        <f>SUM(D34:D36)</f>
        <v>6942000</v>
      </c>
      <c r="E37" s="73">
        <f t="shared" ref="E37:AA37" si="6">SUM(E34:E36)</f>
        <v>5742000</v>
      </c>
      <c r="F37" s="73">
        <f t="shared" si="6"/>
        <v>1200000</v>
      </c>
      <c r="G37" s="73">
        <f t="shared" si="6"/>
        <v>5360000</v>
      </c>
      <c r="H37" s="73">
        <f t="shared" si="6"/>
        <v>3482051</v>
      </c>
      <c r="I37" s="73">
        <f t="shared" si="6"/>
        <v>0</v>
      </c>
      <c r="J37" s="73">
        <f t="shared" si="6"/>
        <v>894376</v>
      </c>
      <c r="K37" s="73">
        <f t="shared" si="6"/>
        <v>894376</v>
      </c>
      <c r="L37" s="73">
        <f t="shared" si="6"/>
        <v>4376427</v>
      </c>
      <c r="M37" s="73">
        <f t="shared" si="6"/>
        <v>123573</v>
      </c>
      <c r="N37" s="73">
        <f t="shared" si="6"/>
        <v>942000</v>
      </c>
      <c r="O37" s="73">
        <f t="shared" si="6"/>
        <v>1500000</v>
      </c>
      <c r="P37" s="73">
        <f t="shared" si="6"/>
        <v>983573</v>
      </c>
      <c r="Q37" s="73">
        <f t="shared" si="6"/>
        <v>0</v>
      </c>
      <c r="R37" s="73">
        <f t="shared" si="6"/>
        <v>0</v>
      </c>
      <c r="S37" s="73">
        <f t="shared" si="6"/>
        <v>0</v>
      </c>
      <c r="T37" s="73">
        <f t="shared" si="6"/>
        <v>860000</v>
      </c>
      <c r="U37" s="73">
        <f t="shared" si="6"/>
        <v>82000</v>
      </c>
      <c r="V37" s="73">
        <f t="shared" si="6"/>
        <v>0</v>
      </c>
      <c r="W37" s="73">
        <f t="shared" si="6"/>
        <v>0</v>
      </c>
      <c r="X37" s="73">
        <f t="shared" si="6"/>
        <v>0</v>
      </c>
      <c r="Y37" s="73">
        <f t="shared" si="6"/>
        <v>0</v>
      </c>
      <c r="Z37" s="73">
        <f t="shared" si="6"/>
        <v>0</v>
      </c>
      <c r="AA37" s="73">
        <f t="shared" si="6"/>
        <v>82000</v>
      </c>
      <c r="AB37" s="412"/>
      <c r="AC37" s="33"/>
      <c r="AD37" s="345"/>
      <c r="AE37" s="265"/>
      <c r="AF37" s="266"/>
      <c r="AG37" s="266"/>
      <c r="AH37" s="266"/>
    </row>
    <row r="38" spans="1:34" s="5" customFormat="1" ht="42.65" customHeight="1">
      <c r="A38" s="3">
        <f>A36+1</f>
        <v>28</v>
      </c>
      <c r="B38" s="3">
        <f>'תקציב אגף שאיפה  2021 '!B30</f>
        <v>2040</v>
      </c>
      <c r="C38" s="280" t="str">
        <f>'תקציב אגף שאיפה  2021 '!C30</f>
        <v>ספורטק חידוש מתחם מתקני משחק</v>
      </c>
      <c r="D38" s="4">
        <f>'תקציב אגף שאיפה  2021 '!D30</f>
        <v>910000</v>
      </c>
      <c r="E38" s="4">
        <f>'תקציב אגף שאיפה  2021 '!E30</f>
        <v>1010000</v>
      </c>
      <c r="F38" s="4">
        <f>'תקציב אגף שאיפה  2021 '!F30</f>
        <v>-100000</v>
      </c>
      <c r="G38" s="4">
        <f>'תקציב אגף שאיפה  2021 '!G30</f>
        <v>910000</v>
      </c>
      <c r="H38" s="4">
        <f>'תקציב אגף שאיפה  2021 '!H30</f>
        <v>409998</v>
      </c>
      <c r="I38" s="4">
        <f>'תקציב אגף שאיפה  2021 '!I30</f>
        <v>0</v>
      </c>
      <c r="J38" s="4">
        <f>'תקציב אגף שאיפה  2021 '!J30</f>
        <v>436329</v>
      </c>
      <c r="K38" s="4">
        <f>'תקציב אגף שאיפה  2021 '!K30</f>
        <v>436329</v>
      </c>
      <c r="L38" s="4">
        <f>'תקציב אגף שאיפה  2021 '!L30</f>
        <v>846327</v>
      </c>
      <c r="M38" s="4">
        <f>'תקציב אגף שאיפה  2021 '!M30</f>
        <v>63673</v>
      </c>
      <c r="N38" s="4">
        <f>'תקציב אגף שאיפה  2021 '!N30</f>
        <v>0</v>
      </c>
      <c r="O38" s="4">
        <f>'תקציב אגף שאיפה  2021 '!O30</f>
        <v>0</v>
      </c>
      <c r="P38" s="4">
        <f>'תקציב אגף שאיפה  2021 '!P30</f>
        <v>63673</v>
      </c>
      <c r="Q38" s="4">
        <f>'תקציב אגף שאיפה  2021 '!Q30</f>
        <v>0</v>
      </c>
      <c r="R38" s="4">
        <f>'תקציב אגף שאיפה  2021 '!R30</f>
        <v>0</v>
      </c>
      <c r="S38" s="4">
        <f>'תקציב אגף שאיפה  2021 '!S30</f>
        <v>0</v>
      </c>
      <c r="T38" s="4">
        <f>'תקציב אגף שאיפה  2021 '!T30</f>
        <v>0</v>
      </c>
      <c r="U38" s="4">
        <f>'תקציב אגף שאיפה  2021 '!U30</f>
        <v>0</v>
      </c>
      <c r="V38" s="4">
        <f>'תקציב אגף שאיפה  2021 '!V30</f>
        <v>0</v>
      </c>
      <c r="W38" s="4">
        <f>'תקציב אגף שאיפה  2021 '!W30</f>
        <v>0</v>
      </c>
      <c r="X38" s="4">
        <f>'תקציב אגף שאיפה  2021 '!X30</f>
        <v>0</v>
      </c>
      <c r="Y38" s="4">
        <f>'תקציב אגף שאיפה  2021 '!Y30</f>
        <v>0</v>
      </c>
      <c r="Z38" s="4">
        <f>'תקציב אגף שאיפה  2021 '!Z30</f>
        <v>0</v>
      </c>
      <c r="AA38" s="4">
        <f>'תקציב אגף שאיפה  2021 '!AA30</f>
        <v>0</v>
      </c>
      <c r="AB38" s="280" t="str">
        <f>'תקציב אגף שאיפה  2021 '!AB30</f>
        <v xml:space="preserve">החלפת מתחם ישן ורעוע עשוי מלוחות עץ נרקבים שעומד שעומד לפני פסילת מכון התקנים. </v>
      </c>
      <c r="AC38" s="3">
        <f>'תקציב אגף שאיפה  2021 '!AC30</f>
        <v>829000</v>
      </c>
      <c r="AD38" s="166"/>
      <c r="AE38" s="22"/>
      <c r="AF38" s="23"/>
      <c r="AG38" s="23"/>
      <c r="AH38" s="23"/>
    </row>
    <row r="39" spans="1:34" s="70" customFormat="1" ht="30" customHeight="1">
      <c r="A39" s="33"/>
      <c r="B39" s="33"/>
      <c r="C39" s="412" t="s">
        <v>1483</v>
      </c>
      <c r="D39" s="73">
        <f>SUM(D38)</f>
        <v>910000</v>
      </c>
      <c r="E39" s="73">
        <f t="shared" ref="E39:AA39" si="7">SUM(E38)</f>
        <v>1010000</v>
      </c>
      <c r="F39" s="73">
        <f t="shared" si="7"/>
        <v>-100000</v>
      </c>
      <c r="G39" s="73">
        <f t="shared" si="7"/>
        <v>910000</v>
      </c>
      <c r="H39" s="73">
        <f t="shared" si="7"/>
        <v>409998</v>
      </c>
      <c r="I39" s="73">
        <f t="shared" si="7"/>
        <v>0</v>
      </c>
      <c r="J39" s="73">
        <f t="shared" si="7"/>
        <v>436329</v>
      </c>
      <c r="K39" s="73">
        <f t="shared" si="7"/>
        <v>436329</v>
      </c>
      <c r="L39" s="73">
        <f t="shared" si="7"/>
        <v>846327</v>
      </c>
      <c r="M39" s="73">
        <f t="shared" si="7"/>
        <v>63673</v>
      </c>
      <c r="N39" s="73">
        <f t="shared" si="7"/>
        <v>0</v>
      </c>
      <c r="O39" s="73">
        <f t="shared" si="7"/>
        <v>0</v>
      </c>
      <c r="P39" s="73">
        <f t="shared" si="7"/>
        <v>63673</v>
      </c>
      <c r="Q39" s="73">
        <f t="shared" si="7"/>
        <v>0</v>
      </c>
      <c r="R39" s="73">
        <f t="shared" si="7"/>
        <v>0</v>
      </c>
      <c r="S39" s="73">
        <f t="shared" si="7"/>
        <v>0</v>
      </c>
      <c r="T39" s="73">
        <f t="shared" si="7"/>
        <v>0</v>
      </c>
      <c r="U39" s="73">
        <f t="shared" si="7"/>
        <v>0</v>
      </c>
      <c r="V39" s="73">
        <f t="shared" si="7"/>
        <v>0</v>
      </c>
      <c r="W39" s="73">
        <f t="shared" si="7"/>
        <v>0</v>
      </c>
      <c r="X39" s="73">
        <f t="shared" si="7"/>
        <v>0</v>
      </c>
      <c r="Y39" s="73">
        <f t="shared" si="7"/>
        <v>0</v>
      </c>
      <c r="Z39" s="73">
        <f t="shared" si="7"/>
        <v>0</v>
      </c>
      <c r="AA39" s="73">
        <f t="shared" si="7"/>
        <v>0</v>
      </c>
      <c r="AB39" s="412"/>
      <c r="AC39" s="33"/>
      <c r="AD39" s="345"/>
      <c r="AE39" s="265"/>
      <c r="AF39" s="266"/>
      <c r="AG39" s="266"/>
      <c r="AH39" s="266"/>
    </row>
    <row r="40" spans="1:34" s="5" customFormat="1" ht="42">
      <c r="A40" s="3">
        <f>A38+1</f>
        <v>29</v>
      </c>
      <c r="B40" s="3">
        <f>'תקציב אגף שאיפה  2021 '!B12</f>
        <v>1435</v>
      </c>
      <c r="C40" s="280" t="str">
        <f>'תקציב אגף שאיפה  2021 '!C12</f>
        <v>שדרוג וטיפול המרחב הציבורי</v>
      </c>
      <c r="D40" s="4">
        <f>'תקציב אגף שאיפה  2021 '!D12</f>
        <v>32574320</v>
      </c>
      <c r="E40" s="4">
        <f>'תקציב אגף שאיפה  2021 '!E12</f>
        <v>31274320</v>
      </c>
      <c r="F40" s="4">
        <f>'תקציב אגף שאיפה  2021 '!F12</f>
        <v>1300000</v>
      </c>
      <c r="G40" s="4">
        <f>'תקציב אגף שאיפה  2021 '!G12</f>
        <v>29074320</v>
      </c>
      <c r="H40" s="4">
        <f>'תקציב אגף שאיפה  2021 '!H12</f>
        <v>25932742</v>
      </c>
      <c r="I40" s="4">
        <f>'תקציב אגף שאיפה  2021 '!I12</f>
        <v>0</v>
      </c>
      <c r="J40" s="4">
        <f>'תקציב אגף שאיפה  2021 '!J12</f>
        <v>2329566</v>
      </c>
      <c r="K40" s="4">
        <f>'תקציב אגף שאיפה  2021 '!K12</f>
        <v>2329566</v>
      </c>
      <c r="L40" s="4">
        <f>'תקציב אגף שאיפה  2021 '!L12</f>
        <v>28262308</v>
      </c>
      <c r="M40" s="4">
        <f>'תקציב אגף שאיפה  2021 '!M12</f>
        <v>812012</v>
      </c>
      <c r="N40" s="4">
        <f>'תקציב אגף שאיפה  2021 '!N12</f>
        <v>2800000</v>
      </c>
      <c r="O40" s="4">
        <f>'תקציב אגף שאיפה  2021 '!O12</f>
        <v>700000</v>
      </c>
      <c r="P40" s="4">
        <f>'תקציב אגף שאיפה  2021 '!P12</f>
        <v>812012</v>
      </c>
      <c r="Q40" s="4">
        <f>'תקציב אגף שאיפה  2021 '!Q12</f>
        <v>0</v>
      </c>
      <c r="R40" s="4">
        <f>'תקציב אגף שאיפה  2021 '!R12</f>
        <v>0</v>
      </c>
      <c r="S40" s="4">
        <f>'תקציב אגף שאיפה  2021 '!S12</f>
        <v>0</v>
      </c>
      <c r="T40" s="4">
        <f>'תקציב אגף שאיפה  2021 '!T12</f>
        <v>0</v>
      </c>
      <c r="U40" s="4">
        <f>'תקציב אגף שאיפה  2021 '!U12</f>
        <v>2800000</v>
      </c>
      <c r="V40" s="4">
        <f>'תקציב אגף שאיפה  2021 '!V12</f>
        <v>0</v>
      </c>
      <c r="W40" s="4">
        <f>'תקציב אגף שאיפה  2021 '!W12</f>
        <v>2800000</v>
      </c>
      <c r="X40" s="4">
        <f>'תקציב אגף שאיפה  2021 '!X12</f>
        <v>0</v>
      </c>
      <c r="Y40" s="4">
        <f>'תקציב אגף שאיפה  2021 '!Y12</f>
        <v>0</v>
      </c>
      <c r="Z40" s="4">
        <f>'תקציב אגף שאיפה  2021 '!Z12</f>
        <v>0</v>
      </c>
      <c r="AA40" s="4">
        <f>'תקציב אגף שאיפה  2021 '!AA12</f>
        <v>0</v>
      </c>
      <c r="AB40" s="280" t="str">
        <f>'תקציב אגף שאיפה  2021 '!AB12</f>
        <v xml:space="preserve">עבודות במרחב הציבורי בשטחים ציבוריים בשכונות השונות ברחבי העיר כולל ריהוט רחוב עפ"י תוכנית עבודה שתאושר ע"י הנהלת העיר. </v>
      </c>
      <c r="AC40" s="3">
        <f>'תקציב אגף שאיפה  2021 '!AC12</f>
        <v>848500</v>
      </c>
      <c r="AD40" s="166"/>
      <c r="AE40" s="22"/>
      <c r="AF40" s="22"/>
      <c r="AG40" s="22"/>
      <c r="AH40" s="22"/>
    </row>
    <row r="41" spans="1:34" s="70" customFormat="1">
      <c r="A41" s="33"/>
      <c r="B41" s="33"/>
      <c r="C41" s="412" t="s">
        <v>1501</v>
      </c>
      <c r="D41" s="73">
        <f>SUM(D40)</f>
        <v>32574320</v>
      </c>
      <c r="E41" s="73">
        <f t="shared" ref="E41:AA41" si="8">SUM(E40)</f>
        <v>31274320</v>
      </c>
      <c r="F41" s="73">
        <f t="shared" si="8"/>
        <v>1300000</v>
      </c>
      <c r="G41" s="73">
        <f t="shared" si="8"/>
        <v>29074320</v>
      </c>
      <c r="H41" s="73">
        <f t="shared" si="8"/>
        <v>25932742</v>
      </c>
      <c r="I41" s="73">
        <f t="shared" si="8"/>
        <v>0</v>
      </c>
      <c r="J41" s="73">
        <f t="shared" si="8"/>
        <v>2329566</v>
      </c>
      <c r="K41" s="73">
        <f t="shared" si="8"/>
        <v>2329566</v>
      </c>
      <c r="L41" s="73">
        <f t="shared" si="8"/>
        <v>28262308</v>
      </c>
      <c r="M41" s="73">
        <f t="shared" si="8"/>
        <v>812012</v>
      </c>
      <c r="N41" s="73">
        <f t="shared" si="8"/>
        <v>2800000</v>
      </c>
      <c r="O41" s="73">
        <f t="shared" si="8"/>
        <v>700000</v>
      </c>
      <c r="P41" s="73">
        <f t="shared" si="8"/>
        <v>812012</v>
      </c>
      <c r="Q41" s="73">
        <f t="shared" si="8"/>
        <v>0</v>
      </c>
      <c r="R41" s="73">
        <f t="shared" si="8"/>
        <v>0</v>
      </c>
      <c r="S41" s="73">
        <f t="shared" si="8"/>
        <v>0</v>
      </c>
      <c r="T41" s="73">
        <f t="shared" si="8"/>
        <v>0</v>
      </c>
      <c r="U41" s="73">
        <f t="shared" si="8"/>
        <v>2800000</v>
      </c>
      <c r="V41" s="73">
        <f t="shared" si="8"/>
        <v>0</v>
      </c>
      <c r="W41" s="73">
        <f t="shared" si="8"/>
        <v>2800000</v>
      </c>
      <c r="X41" s="73">
        <f t="shared" si="8"/>
        <v>0</v>
      </c>
      <c r="Y41" s="73">
        <f t="shared" si="8"/>
        <v>0</v>
      </c>
      <c r="Z41" s="73">
        <f t="shared" si="8"/>
        <v>0</v>
      </c>
      <c r="AA41" s="73">
        <f t="shared" si="8"/>
        <v>0</v>
      </c>
      <c r="AB41" s="412"/>
      <c r="AC41" s="33"/>
      <c r="AD41" s="345"/>
      <c r="AE41" s="265"/>
      <c r="AF41" s="265"/>
      <c r="AG41" s="265"/>
      <c r="AH41" s="265"/>
    </row>
    <row r="42" spans="1:34" s="5" customFormat="1" ht="28">
      <c r="A42" s="3">
        <f>A40+1</f>
        <v>30</v>
      </c>
      <c r="B42" s="3">
        <f>'תקציב אגף שאיפה  2021 '!B11</f>
        <v>1345</v>
      </c>
      <c r="C42" s="280" t="str">
        <f>'תקציב אגף שאיפה  2021 '!C11</f>
        <v>תוכנית  אב להפחתת זיהום אויר</v>
      </c>
      <c r="D42" s="4">
        <f>'תקציב אגף שאיפה  2021 '!D11</f>
        <v>883000</v>
      </c>
      <c r="E42" s="4">
        <f>'תקציב אגף שאיפה  2021 '!E11</f>
        <v>1739000</v>
      </c>
      <c r="F42" s="4">
        <f>'תקציב אגף שאיפה  2021 '!F11</f>
        <v>-856000</v>
      </c>
      <c r="G42" s="4">
        <f>'תקציב אגף שאיפה  2021 '!G11</f>
        <v>883000</v>
      </c>
      <c r="H42" s="4">
        <f>'תקציב אגף שאיפה  2021 '!H11</f>
        <v>825751</v>
      </c>
      <c r="I42" s="4">
        <f>'תקציב אגף שאיפה  2021 '!I11</f>
        <v>0</v>
      </c>
      <c r="J42" s="4">
        <f>'תקציב אגף שאיפה  2021 '!J11</f>
        <v>9360</v>
      </c>
      <c r="K42" s="4">
        <f>'תקציב אגף שאיפה  2021 '!K11</f>
        <v>9360</v>
      </c>
      <c r="L42" s="4">
        <f>'תקציב אגף שאיפה  2021 '!L11</f>
        <v>835111</v>
      </c>
      <c r="M42" s="4">
        <f>'תקציב אגף שאיפה  2021 '!M11</f>
        <v>47889</v>
      </c>
      <c r="N42" s="4">
        <f>'תקציב אגף שאיפה  2021 '!N11</f>
        <v>0</v>
      </c>
      <c r="O42" s="4">
        <f>'תקציב אגף שאיפה  2021 '!O11</f>
        <v>0</v>
      </c>
      <c r="P42" s="4">
        <f>'תקציב אגף שאיפה  2021 '!P11</f>
        <v>47889</v>
      </c>
      <c r="Q42" s="4">
        <f>'תקציב אגף שאיפה  2021 '!Q11</f>
        <v>0</v>
      </c>
      <c r="R42" s="4">
        <f>'תקציב אגף שאיפה  2021 '!R11</f>
        <v>0</v>
      </c>
      <c r="S42" s="4">
        <f>'תקציב אגף שאיפה  2021 '!S11</f>
        <v>0</v>
      </c>
      <c r="T42" s="4">
        <f>'תקציב אגף שאיפה  2021 '!T11</f>
        <v>0</v>
      </c>
      <c r="U42" s="4">
        <f>'תקציב אגף שאיפה  2021 '!U11</f>
        <v>0</v>
      </c>
      <c r="V42" s="4">
        <f>'תקציב אגף שאיפה  2021 '!V11</f>
        <v>0</v>
      </c>
      <c r="W42" s="4">
        <f>'תקציב אגף שאיפה  2021 '!W11</f>
        <v>0</v>
      </c>
      <c r="X42" s="4">
        <f>'תקציב אגף שאיפה  2021 '!X11</f>
        <v>0</v>
      </c>
      <c r="Y42" s="4">
        <f>'תקציב אגף שאיפה  2021 '!Y11</f>
        <v>0</v>
      </c>
      <c r="Z42" s="4">
        <f>'תקציב אגף שאיפה  2021 '!Z11</f>
        <v>0</v>
      </c>
      <c r="AA42" s="4">
        <f>'תקציב אגף שאיפה  2021 '!AA11</f>
        <v>0</v>
      </c>
      <c r="AB42" s="280" t="str">
        <f>'תקציב אגף שאיפה  2021 '!AB11</f>
        <v>קידום אמנת ברית ערים כתוכנית המשך לתוכנית להפחתת פליטות של פורום ה-15.</v>
      </c>
      <c r="AC42" s="3">
        <f>'תקציב אגף שאיפה  2021 '!AC11</f>
        <v>870000</v>
      </c>
      <c r="AD42" s="22"/>
      <c r="AE42" s="23"/>
      <c r="AF42" s="23"/>
      <c r="AG42" s="23"/>
      <c r="AH42" s="23"/>
    </row>
    <row r="43" spans="1:34" s="5" customFormat="1" ht="28">
      <c r="A43" s="3">
        <f t="shared" si="1"/>
        <v>31</v>
      </c>
      <c r="B43" s="3">
        <f>'תקציב אגף שאיפה  2021 '!B15</f>
        <v>1579</v>
      </c>
      <c r="C43" s="280" t="str">
        <f>'תקציב אגף שאיפה  2021 '!C15</f>
        <v>הכנת תוכנית אב לקיימות בעיריית הרצליה</v>
      </c>
      <c r="D43" s="4">
        <f>'תקציב אגף שאיפה  2021 '!D15</f>
        <v>170000</v>
      </c>
      <c r="E43" s="4">
        <f>'תקציב אגף שאיפה  2021 '!E15</f>
        <v>170000</v>
      </c>
      <c r="F43" s="4">
        <f>'תקציב אגף שאיפה  2021 '!F15</f>
        <v>0</v>
      </c>
      <c r="G43" s="4">
        <f>'תקציב אגף שאיפה  2021 '!G15</f>
        <v>170000</v>
      </c>
      <c r="H43" s="4">
        <f>'תקציב אגף שאיפה  2021 '!H15</f>
        <v>155741</v>
      </c>
      <c r="I43" s="4">
        <f>'תקציב אגף שאיפה  2021 '!I15</f>
        <v>0</v>
      </c>
      <c r="J43" s="4">
        <f>'תקציב אגף שאיפה  2021 '!J15</f>
        <v>5137</v>
      </c>
      <c r="K43" s="4">
        <f>'תקציב אגף שאיפה  2021 '!K15</f>
        <v>5137</v>
      </c>
      <c r="L43" s="4">
        <f>'תקציב אגף שאיפה  2021 '!L15</f>
        <v>160878</v>
      </c>
      <c r="M43" s="4">
        <f>'תקציב אגף שאיפה  2021 '!M15</f>
        <v>122</v>
      </c>
      <c r="N43" s="4">
        <f>'תקציב אגף שאיפה  2021 '!N15</f>
        <v>0</v>
      </c>
      <c r="O43" s="4">
        <f>'תקציב אגף שאיפה  2021 '!O15</f>
        <v>9000</v>
      </c>
      <c r="P43" s="4">
        <f>'תקציב אגף שאיפה  2021 '!P15</f>
        <v>9122</v>
      </c>
      <c r="Q43" s="4">
        <f>'תקציב אגף שאיפה  2021 '!Q15</f>
        <v>0</v>
      </c>
      <c r="R43" s="4">
        <f>'תקציב אגף שאיפה  2021 '!R15</f>
        <v>0</v>
      </c>
      <c r="S43" s="4">
        <f>'תקציב אגף שאיפה  2021 '!S15</f>
        <v>0</v>
      </c>
      <c r="T43" s="4">
        <f>'תקציב אגף שאיפה  2021 '!T15</f>
        <v>9000</v>
      </c>
      <c r="U43" s="4">
        <f>'תקציב אגף שאיפה  2021 '!U15</f>
        <v>-9000</v>
      </c>
      <c r="V43" s="4">
        <f>'תקציב אגף שאיפה  2021 '!V15</f>
        <v>-9000</v>
      </c>
      <c r="W43" s="4">
        <f>'תקציב אגף שאיפה  2021 '!W15</f>
        <v>0</v>
      </c>
      <c r="X43" s="4">
        <f>'תקציב אגף שאיפה  2021 '!X15</f>
        <v>0</v>
      </c>
      <c r="Y43" s="4">
        <f>'תקציב אגף שאיפה  2021 '!Y15</f>
        <v>0</v>
      </c>
      <c r="Z43" s="4">
        <f>'תקציב אגף שאיפה  2021 '!Z15</f>
        <v>0</v>
      </c>
      <c r="AA43" s="4">
        <f>'תקציב אגף שאיפה  2021 '!AA15</f>
        <v>0</v>
      </c>
      <c r="AB43" s="280" t="str">
        <f>'תקציב אגף שאיפה  2021 '!AB15</f>
        <v>התב"ר לסגירה.</v>
      </c>
      <c r="AC43" s="3">
        <f>'תקציב אגף שאיפה  2021 '!AC15</f>
        <v>870000</v>
      </c>
      <c r="AD43" s="22"/>
      <c r="AE43" s="23"/>
      <c r="AF43" s="23"/>
      <c r="AG43" s="23"/>
      <c r="AH43" s="23"/>
    </row>
    <row r="44" spans="1:34" s="5" customFormat="1" ht="28">
      <c r="A44" s="3">
        <f t="shared" si="1"/>
        <v>32</v>
      </c>
      <c r="B44" s="3">
        <f>'תקציב אגף שאיפה  2021 '!B16</f>
        <v>1598</v>
      </c>
      <c r="C44" s="280" t="str">
        <f>'תקציב אגף שאיפה  2021 '!C16</f>
        <v>הטמעת עקרונות הקיימות בחינוך</v>
      </c>
      <c r="D44" s="4">
        <f>'תקציב אגף שאיפה  2021 '!D16</f>
        <v>616500</v>
      </c>
      <c r="E44" s="4">
        <f>'תקציב אגף שאיפה  2021 '!E16</f>
        <v>724500</v>
      </c>
      <c r="F44" s="4">
        <f>'תקציב אגף שאיפה  2021 '!F16</f>
        <v>-108000</v>
      </c>
      <c r="G44" s="4">
        <f>'תקציב אגף שאיפה  2021 '!G16</f>
        <v>616500</v>
      </c>
      <c r="H44" s="4">
        <f>'תקציב אגף שאיפה  2021 '!H16</f>
        <v>454074</v>
      </c>
      <c r="I44" s="4">
        <f>'תקציב אגף שאיפה  2021 '!I16</f>
        <v>0</v>
      </c>
      <c r="J44" s="4">
        <f>'תקציב אגף שאיפה  2021 '!J16</f>
        <v>70325</v>
      </c>
      <c r="K44" s="4">
        <f>'תקציב אגף שאיפה  2021 '!K16</f>
        <v>70325</v>
      </c>
      <c r="L44" s="4">
        <f>'תקציב אגף שאיפה  2021 '!L16</f>
        <v>524399</v>
      </c>
      <c r="M44" s="4">
        <f>'תקציב אגף שאיפה  2021 '!M16</f>
        <v>92101</v>
      </c>
      <c r="N44" s="4">
        <f>'תקציב אגף שאיפה  2021 '!N16</f>
        <v>0</v>
      </c>
      <c r="O44" s="4">
        <f>'תקציב אגף שאיפה  2021 '!O16</f>
        <v>0</v>
      </c>
      <c r="P44" s="4">
        <f>'תקציב אגף שאיפה  2021 '!P16</f>
        <v>92101</v>
      </c>
      <c r="Q44" s="4">
        <f>'תקציב אגף שאיפה  2021 '!Q16</f>
        <v>0</v>
      </c>
      <c r="R44" s="4">
        <f>'תקציב אגף שאיפה  2021 '!R16</f>
        <v>0</v>
      </c>
      <c r="S44" s="4">
        <f>'תקציב אגף שאיפה  2021 '!S16</f>
        <v>0</v>
      </c>
      <c r="T44" s="4">
        <f>'תקציב אגף שאיפה  2021 '!T16</f>
        <v>0</v>
      </c>
      <c r="U44" s="4">
        <f>'תקציב אגף שאיפה  2021 '!U16</f>
        <v>0</v>
      </c>
      <c r="V44" s="4">
        <f>'תקציב אגף שאיפה  2021 '!V16</f>
        <v>0</v>
      </c>
      <c r="W44" s="4">
        <f>'תקציב אגף שאיפה  2021 '!W16</f>
        <v>0</v>
      </c>
      <c r="X44" s="4">
        <f>'תקציב אגף שאיפה  2021 '!X16</f>
        <v>0</v>
      </c>
      <c r="Y44" s="4">
        <f>'תקציב אגף שאיפה  2021 '!Y16</f>
        <v>0</v>
      </c>
      <c r="Z44" s="4">
        <f>'תקציב אגף שאיפה  2021 '!Z16</f>
        <v>0</v>
      </c>
      <c r="AA44" s="4">
        <f>'תקציב אגף שאיפה  2021 '!AA16</f>
        <v>0</v>
      </c>
      <c r="AB44" s="280" t="str">
        <f>'תקציב אגף שאיפה  2021 '!AB16</f>
        <v>חינוך לקיימות. קול קורא לשנים 2018-2020. מימון מ. להגנת הסביבה.</v>
      </c>
      <c r="AC44" s="3">
        <f>'תקציב אגף שאיפה  2021 '!AC16</f>
        <v>870000</v>
      </c>
      <c r="AD44" s="22"/>
      <c r="AE44" s="23"/>
      <c r="AF44" s="23"/>
      <c r="AG44" s="23"/>
      <c r="AH44" s="23"/>
    </row>
    <row r="45" spans="1:34" s="5" customFormat="1" ht="45.65" customHeight="1">
      <c r="A45" s="3">
        <f t="shared" si="1"/>
        <v>33</v>
      </c>
      <c r="B45" s="3">
        <f>'תקציב אגף שאיפה  2021 '!B19</f>
        <v>1831</v>
      </c>
      <c r="C45" s="280" t="str">
        <f>'תקציב אגף שאיפה  2021 '!C19</f>
        <v>פרויקטים סביבתיים</v>
      </c>
      <c r="D45" s="4">
        <f>'תקציב אגף שאיפה  2021 '!D19</f>
        <v>146059</v>
      </c>
      <c r="E45" s="4">
        <f>'תקציב אגף שאיפה  2021 '!E19</f>
        <v>146059</v>
      </c>
      <c r="F45" s="4">
        <f>'תקציב אגף שאיפה  2021 '!F19</f>
        <v>0</v>
      </c>
      <c r="G45" s="4">
        <f>'תקציב אגף שאיפה  2021 '!G19</f>
        <v>146059</v>
      </c>
      <c r="H45" s="4">
        <f>'תקציב אגף שאיפה  2021 '!H19</f>
        <v>38025</v>
      </c>
      <c r="I45" s="4">
        <f>'תקציב אגף שאיפה  2021 '!I19</f>
        <v>0</v>
      </c>
      <c r="J45" s="4">
        <f>'תקציב אגף שאיפה  2021 '!J19</f>
        <v>0</v>
      </c>
      <c r="K45" s="4">
        <f>'תקציב אגף שאיפה  2021 '!K19</f>
        <v>0</v>
      </c>
      <c r="L45" s="4">
        <f>'תקציב אגף שאיפה  2021 '!L19</f>
        <v>38025</v>
      </c>
      <c r="M45" s="4">
        <f>'תקציב אגף שאיפה  2021 '!M19</f>
        <v>108034</v>
      </c>
      <c r="N45" s="4">
        <f>'תקציב אגף שאיפה  2021 '!N19</f>
        <v>0</v>
      </c>
      <c r="O45" s="4">
        <f>'תקציב אגף שאיפה  2021 '!O19</f>
        <v>0</v>
      </c>
      <c r="P45" s="4">
        <f>'תקציב אגף שאיפה  2021 '!P19</f>
        <v>108034</v>
      </c>
      <c r="Q45" s="4">
        <f>'תקציב אגף שאיפה  2021 '!Q19</f>
        <v>0</v>
      </c>
      <c r="R45" s="4">
        <f>'תקציב אגף שאיפה  2021 '!R19</f>
        <v>0</v>
      </c>
      <c r="S45" s="4">
        <f>'תקציב אגף שאיפה  2021 '!S19</f>
        <v>0</v>
      </c>
      <c r="T45" s="4">
        <f>'תקציב אגף שאיפה  2021 '!T19</f>
        <v>0</v>
      </c>
      <c r="U45" s="4">
        <f>'תקציב אגף שאיפה  2021 '!U19</f>
        <v>0</v>
      </c>
      <c r="V45" s="4">
        <f>'תקציב אגף שאיפה  2021 '!V19</f>
        <v>0</v>
      </c>
      <c r="W45" s="4">
        <f>'תקציב אגף שאיפה  2021 '!W19</f>
        <v>0</v>
      </c>
      <c r="X45" s="4">
        <f>'תקציב אגף שאיפה  2021 '!X19</f>
        <v>0</v>
      </c>
      <c r="Y45" s="4">
        <f>'תקציב אגף שאיפה  2021 '!Y19</f>
        <v>0</v>
      </c>
      <c r="Z45" s="4">
        <f>'תקציב אגף שאיפה  2021 '!Z19</f>
        <v>0</v>
      </c>
      <c r="AA45" s="4">
        <f>'תקציב אגף שאיפה  2021 '!AA19</f>
        <v>0</v>
      </c>
      <c r="AB45" s="280" t="str">
        <f>'תקציב אגף שאיפה  2021 '!AB19</f>
        <v>פרויקטים סביבתתים לשיפור איכות הסביבה. מימון מלא מ. להגנת הסביבה.</v>
      </c>
      <c r="AC45" s="3">
        <f>'תקציב אגף שאיפה  2021 '!AC19</f>
        <v>870000</v>
      </c>
      <c r="AD45" s="22"/>
      <c r="AE45" s="23"/>
      <c r="AF45" s="23"/>
      <c r="AG45" s="23"/>
      <c r="AH45" s="23"/>
    </row>
    <row r="46" spans="1:34" s="5" customFormat="1" ht="55.25" customHeight="1">
      <c r="A46" s="3">
        <f t="shared" si="1"/>
        <v>34</v>
      </c>
      <c r="B46" s="3">
        <f>'תקציב אגף שאיפה  2021 '!B20</f>
        <v>1866</v>
      </c>
      <c r="C46" s="280" t="str">
        <f>'תקציב אגף שאיפה  2021 '!C20</f>
        <v>פרויקט "הרצליה נקיה מאסבסט"</v>
      </c>
      <c r="D46" s="4">
        <f>'תקציב אגף שאיפה  2021 '!D20</f>
        <v>205000</v>
      </c>
      <c r="E46" s="4">
        <f>'תקציב אגף שאיפה  2021 '!E20</f>
        <v>300000</v>
      </c>
      <c r="F46" s="4">
        <f>'תקציב אגף שאיפה  2021 '!F20</f>
        <v>-95000</v>
      </c>
      <c r="G46" s="4">
        <f>'תקציב אגף שאיפה  2021 '!G20</f>
        <v>205000</v>
      </c>
      <c r="H46" s="4">
        <f>'תקציב אגף שאיפה  2021 '!H20</f>
        <v>191823</v>
      </c>
      <c r="I46" s="4">
        <f>'תקציב אגף שאיפה  2021 '!I20</f>
        <v>0</v>
      </c>
      <c r="J46" s="4">
        <f>'תקציב אגף שאיפה  2021 '!J20</f>
        <v>12586</v>
      </c>
      <c r="K46" s="4">
        <f>'תקציב אגף שאיפה  2021 '!K20</f>
        <v>12586</v>
      </c>
      <c r="L46" s="4">
        <f>'תקציב אגף שאיפה  2021 '!L20</f>
        <v>204409</v>
      </c>
      <c r="M46" s="4">
        <f>'תקציב אגף שאיפה  2021 '!M20</f>
        <v>591</v>
      </c>
      <c r="N46" s="4">
        <f>'תקציב אגף שאיפה  2021 '!N20</f>
        <v>0</v>
      </c>
      <c r="O46" s="4">
        <f>'תקציב אגף שאיפה  2021 '!O20</f>
        <v>0</v>
      </c>
      <c r="P46" s="4">
        <f>'תקציב אגף שאיפה  2021 '!P20</f>
        <v>591</v>
      </c>
      <c r="Q46" s="4">
        <f>'תקציב אגף שאיפה  2021 '!Q20</f>
        <v>0</v>
      </c>
      <c r="R46" s="4">
        <f>'תקציב אגף שאיפה  2021 '!R20</f>
        <v>0</v>
      </c>
      <c r="S46" s="4">
        <f>'תקציב אגף שאיפה  2021 '!S20</f>
        <v>0</v>
      </c>
      <c r="T46" s="4">
        <f>'תקציב אגף שאיפה  2021 '!T20</f>
        <v>0</v>
      </c>
      <c r="U46" s="4">
        <f>'תקציב אגף שאיפה  2021 '!U20</f>
        <v>0</v>
      </c>
      <c r="V46" s="4">
        <f>'תקציב אגף שאיפה  2021 '!V20</f>
        <v>0</v>
      </c>
      <c r="W46" s="4">
        <f>'תקציב אגף שאיפה  2021 '!W20</f>
        <v>0</v>
      </c>
      <c r="X46" s="4">
        <f>'תקציב אגף שאיפה  2021 '!X20</f>
        <v>0</v>
      </c>
      <c r="Y46" s="4">
        <f>'תקציב אגף שאיפה  2021 '!Y20</f>
        <v>0</v>
      </c>
      <c r="Z46" s="4">
        <f>'תקציב אגף שאיפה  2021 '!Z20</f>
        <v>0</v>
      </c>
      <c r="AA46" s="4">
        <f>'תקציב אגף שאיפה  2021 '!AA20</f>
        <v>0</v>
      </c>
      <c r="AB46" s="280" t="str">
        <f>'תקציב אגף שאיפה  2021 '!AB20</f>
        <v>הסרת גגות אסבסט ממבנים בעיר וסיוע לתושבים לאיסוף אסבסט בהיקפים קטנים. יהיה במסגרת תב"ר 1435.</v>
      </c>
      <c r="AC46" s="3">
        <f>'תקציב אגף שאיפה  2021 '!AC20</f>
        <v>870000</v>
      </c>
      <c r="AD46" s="22"/>
      <c r="AE46" s="23"/>
      <c r="AF46" s="23"/>
      <c r="AG46" s="23"/>
      <c r="AH46" s="23"/>
    </row>
    <row r="47" spans="1:34" s="5" customFormat="1" ht="28">
      <c r="A47" s="3">
        <f t="shared" si="1"/>
        <v>35</v>
      </c>
      <c r="B47" s="3">
        <f>'תקציב אגף שאיפה  2021 '!B21</f>
        <v>1899</v>
      </c>
      <c r="C47" s="280" t="str">
        <f>'תקציב אגף שאיפה  2021 '!C21</f>
        <v>רכישת מיכלי אצירה לפסולת ומיחזור</v>
      </c>
      <c r="D47" s="4">
        <f>'תקציב אגף שאיפה  2021 '!D21</f>
        <v>1270000</v>
      </c>
      <c r="E47" s="4">
        <f>'תקציב אגף שאיפה  2021 '!E21</f>
        <v>770000</v>
      </c>
      <c r="F47" s="4">
        <f>'תקציב אגף שאיפה  2021 '!F21</f>
        <v>500000</v>
      </c>
      <c r="G47" s="4">
        <f>'תקציב אגף שאיפה  2021 '!G21</f>
        <v>470000</v>
      </c>
      <c r="H47" s="4">
        <f>'תקציב אגף שאיפה  2021 '!H21</f>
        <v>269380</v>
      </c>
      <c r="I47" s="4">
        <f>'תקציב אגף שאיפה  2021 '!I21</f>
        <v>0</v>
      </c>
      <c r="J47" s="4">
        <f>'תקציב אגף שאיפה  2021 '!J21</f>
        <v>64263</v>
      </c>
      <c r="K47" s="4">
        <f>'תקציב אגף שאיפה  2021 '!K21</f>
        <v>64263</v>
      </c>
      <c r="L47" s="4">
        <f>'תקציב אגף שאיפה  2021 '!L21</f>
        <v>333643</v>
      </c>
      <c r="M47" s="4">
        <f>'תקציב אגף שאיפה  2021 '!M21</f>
        <v>136357</v>
      </c>
      <c r="N47" s="4">
        <f>'תקציב אגף שאיפה  2021 '!N21</f>
        <v>200000</v>
      </c>
      <c r="O47" s="4">
        <f>'תקציב אגף שאיפה  2021 '!O21</f>
        <v>600000</v>
      </c>
      <c r="P47" s="4">
        <f>'תקציב אגף שאיפה  2021 '!P21</f>
        <v>136357</v>
      </c>
      <c r="Q47" s="4">
        <f>'תקציב אגף שאיפה  2021 '!Q21</f>
        <v>0</v>
      </c>
      <c r="R47" s="4">
        <f>'תקציב אגף שאיפה  2021 '!R21</f>
        <v>0</v>
      </c>
      <c r="S47" s="4">
        <f>'תקציב אגף שאיפה  2021 '!S21</f>
        <v>0</v>
      </c>
      <c r="T47" s="4">
        <f>'תקציב אגף שאיפה  2021 '!T21</f>
        <v>0</v>
      </c>
      <c r="U47" s="4">
        <f>'תקציב אגף שאיפה  2021 '!U21</f>
        <v>200000</v>
      </c>
      <c r="V47" s="4">
        <f>'תקציב אגף שאיפה  2021 '!V21</f>
        <v>0</v>
      </c>
      <c r="W47" s="4">
        <f>'תקציב אגף שאיפה  2021 '!W21</f>
        <v>200000</v>
      </c>
      <c r="X47" s="4">
        <f>'תקציב אגף שאיפה  2021 '!X21</f>
        <v>0</v>
      </c>
      <c r="Y47" s="4">
        <f>'תקציב אגף שאיפה  2021 '!Y21</f>
        <v>0</v>
      </c>
      <c r="Z47" s="4">
        <f>'תקציב אגף שאיפה  2021 '!Z21</f>
        <v>0</v>
      </c>
      <c r="AA47" s="4">
        <f>'תקציב אגף שאיפה  2021 '!AA21</f>
        <v>0</v>
      </c>
      <c r="AB47" s="280" t="str">
        <f>'תקציב אגף שאיפה  2021 '!AB21</f>
        <v>רכישת מיכלי אצירה מפלסטיק ומתכת לפסולת ומיחזור.</v>
      </c>
      <c r="AC47" s="3">
        <f>'תקציב אגף שאיפה  2021 '!AC21</f>
        <v>870000</v>
      </c>
      <c r="AD47" s="166"/>
      <c r="AE47" s="22"/>
      <c r="AF47" s="23"/>
      <c r="AG47" s="23"/>
      <c r="AH47" s="23"/>
    </row>
    <row r="48" spans="1:34" s="5" customFormat="1" ht="28">
      <c r="A48" s="3">
        <f t="shared" si="1"/>
        <v>36</v>
      </c>
      <c r="B48" s="3">
        <f>'תקציב אגף שאיפה  2021 '!B22</f>
        <v>1922</v>
      </c>
      <c r="C48" s="280" t="str">
        <f>'תקציב אגף שאיפה  2021 '!C22</f>
        <v>תוכנית שיווק והפרדת פסולת</v>
      </c>
      <c r="D48" s="4">
        <f>'תקציב אגף שאיפה  2021 '!D22</f>
        <v>330000</v>
      </c>
      <c r="E48" s="4">
        <f>'תקציב אגף שאיפה  2021 '!E22</f>
        <v>330000</v>
      </c>
      <c r="F48" s="4">
        <f>'תקציב אגף שאיפה  2021 '!F22</f>
        <v>0</v>
      </c>
      <c r="G48" s="4">
        <f>'תקציב אגף שאיפה  2021 '!G22</f>
        <v>200000</v>
      </c>
      <c r="H48" s="4">
        <f>'תקציב אגף שאיפה  2021 '!H22</f>
        <v>54652</v>
      </c>
      <c r="I48" s="4">
        <f>'תקציב אגף שאיפה  2021 '!I22</f>
        <v>0</v>
      </c>
      <c r="J48" s="4">
        <f>'תקציב אגף שאיפה  2021 '!J22</f>
        <v>3744</v>
      </c>
      <c r="K48" s="4">
        <f>'תקציב אגף שאיפה  2021 '!K22</f>
        <v>3744</v>
      </c>
      <c r="L48" s="4">
        <f>'תקציב אגף שאיפה  2021 '!L22</f>
        <v>58396</v>
      </c>
      <c r="M48" s="4">
        <f>'תקציב אגף שאיפה  2021 '!M22</f>
        <v>41604</v>
      </c>
      <c r="N48" s="4">
        <f>'תקציב אגף שאיפה  2021 '!N22</f>
        <v>100000</v>
      </c>
      <c r="O48" s="4">
        <f>'תקציב אגף שאיפה  2021 '!O22</f>
        <v>130000</v>
      </c>
      <c r="P48" s="4">
        <f>'תקציב אגף שאיפה  2021 '!P22</f>
        <v>141604</v>
      </c>
      <c r="Q48" s="4">
        <f>'תקציב אגף שאיפה  2021 '!Q22</f>
        <v>0</v>
      </c>
      <c r="R48" s="4">
        <f>'תקציב אגף שאיפה  2021 '!R22</f>
        <v>0</v>
      </c>
      <c r="S48" s="4">
        <f>'תקציב אגף שאיפה  2021 '!S22</f>
        <v>0</v>
      </c>
      <c r="T48" s="4">
        <f>'תקציב אגף שאיפה  2021 '!T22</f>
        <v>100000</v>
      </c>
      <c r="U48" s="4">
        <f>'תקציב אגף שאיפה  2021 '!U22</f>
        <v>0</v>
      </c>
      <c r="V48" s="4">
        <f>'תקציב אגף שאיפה  2021 '!V22</f>
        <v>0</v>
      </c>
      <c r="W48" s="4">
        <f>'תקציב אגף שאיפה  2021 '!W22</f>
        <v>0</v>
      </c>
      <c r="X48" s="4">
        <f>'תקציב אגף שאיפה  2021 '!X22</f>
        <v>0</v>
      </c>
      <c r="Y48" s="4">
        <f>'תקציב אגף שאיפה  2021 '!Y22</f>
        <v>0</v>
      </c>
      <c r="Z48" s="4">
        <f>'תקציב אגף שאיפה  2021 '!Z22</f>
        <v>0</v>
      </c>
      <c r="AA48" s="4">
        <f>'תקציב אגף שאיפה  2021 '!AA22</f>
        <v>0</v>
      </c>
      <c r="AB48" s="280">
        <f>'תקציב אגף שאיפה  2021 '!AB22</f>
        <v>0</v>
      </c>
      <c r="AC48" s="3">
        <f>'תקציב אגף שאיפה  2021 '!AC22</f>
        <v>870000</v>
      </c>
      <c r="AD48" s="22"/>
      <c r="AE48" s="23"/>
      <c r="AF48" s="23"/>
      <c r="AG48" s="23"/>
      <c r="AH48" s="23"/>
    </row>
    <row r="49" spans="1:34" s="5" customFormat="1" ht="42.65" customHeight="1">
      <c r="A49" s="3">
        <f t="shared" si="1"/>
        <v>37</v>
      </c>
      <c r="B49" s="3">
        <f>'תקציב אגף שאיפה  2021 '!B27</f>
        <v>2037</v>
      </c>
      <c r="C49" s="280" t="str">
        <f>'תקציב אגף שאיפה  2021 '!C27</f>
        <v xml:space="preserve">הקמת פינות מיחזור וגזם ברחבי העיר </v>
      </c>
      <c r="D49" s="4">
        <f>'תקציב אגף שאיפה  2021 '!D27</f>
        <v>5000000</v>
      </c>
      <c r="E49" s="4">
        <f>'תקציב אגף שאיפה  2021 '!E27</f>
        <v>5000000</v>
      </c>
      <c r="F49" s="4">
        <f>'תקציב אגף שאיפה  2021 '!F27</f>
        <v>0</v>
      </c>
      <c r="G49" s="4">
        <f>'תקציב אגף שאיפה  2021 '!G27</f>
        <v>800000</v>
      </c>
      <c r="H49" s="4">
        <f>'תקציב אגף שאיפה  2021 '!H27</f>
        <v>538658</v>
      </c>
      <c r="I49" s="4">
        <f>'תקציב אגף שאיפה  2021 '!I27</f>
        <v>0</v>
      </c>
      <c r="J49" s="4">
        <f>'תקציב אגף שאיפה  2021 '!J27</f>
        <v>50310</v>
      </c>
      <c r="K49" s="4">
        <f>'תקציב אגף שאיפה  2021 '!K27</f>
        <v>50310</v>
      </c>
      <c r="L49" s="4">
        <f>'תקציב אגף שאיפה  2021 '!L27</f>
        <v>588968</v>
      </c>
      <c r="M49" s="4">
        <f>'תקציב אגף שאיפה  2021 '!M27</f>
        <v>11032</v>
      </c>
      <c r="N49" s="4">
        <f>'תקציב אגף שאיפה  2021 '!N27</f>
        <v>200000</v>
      </c>
      <c r="O49" s="4">
        <f>'תקציב אגף שאיפה  2021 '!O27</f>
        <v>4200000</v>
      </c>
      <c r="P49" s="4">
        <f>'תקציב אגף שאיפה  2021 '!P27</f>
        <v>211032</v>
      </c>
      <c r="Q49" s="4">
        <f>'תקציב אגף שאיפה  2021 '!Q27</f>
        <v>0</v>
      </c>
      <c r="R49" s="4">
        <f>'תקציב אגף שאיפה  2021 '!R27</f>
        <v>0</v>
      </c>
      <c r="S49" s="4">
        <f>'תקציב אגף שאיפה  2021 '!S27</f>
        <v>0</v>
      </c>
      <c r="T49" s="4">
        <f>'תקציב אגף שאיפה  2021 '!T27</f>
        <v>200000</v>
      </c>
      <c r="U49" s="4">
        <f>'תקציב אגף שאיפה  2021 '!U27</f>
        <v>0</v>
      </c>
      <c r="V49" s="4">
        <f>'תקציב אגף שאיפה  2021 '!V27</f>
        <v>0</v>
      </c>
      <c r="W49" s="4">
        <f>'תקציב אגף שאיפה  2021 '!W27</f>
        <v>0</v>
      </c>
      <c r="X49" s="4">
        <f>'תקציב אגף שאיפה  2021 '!X27</f>
        <v>0</v>
      </c>
      <c r="Y49" s="4">
        <f>'תקציב אגף שאיפה  2021 '!Y27</f>
        <v>0</v>
      </c>
      <c r="Z49" s="4">
        <f>'תקציב אגף שאיפה  2021 '!Z27</f>
        <v>0</v>
      </c>
      <c r="AA49" s="4">
        <f>'תקציב אגף שאיפה  2021 '!AA27</f>
        <v>0</v>
      </c>
      <c r="AB49" s="280" t="str">
        <f>'תקציב אגף שאיפה  2021 '!AB27</f>
        <v>הקמת פינות מיחזור ברחבי העיר (פינות המרכזות מיכלי אצירה לסוגים שונים של פסולת כגון: בקבוקים, זכוכית, נייר, אריזות ועוד).</v>
      </c>
      <c r="AC49" s="3">
        <f>'תקציב אגף שאיפה  2021 '!AC27</f>
        <v>870000</v>
      </c>
      <c r="AD49" s="166"/>
      <c r="AE49" s="22"/>
      <c r="AF49" s="23"/>
      <c r="AG49" s="23"/>
      <c r="AH49" s="23"/>
    </row>
    <row r="50" spans="1:34" s="70" customFormat="1" ht="42.65" customHeight="1">
      <c r="A50" s="33"/>
      <c r="B50" s="33"/>
      <c r="C50" s="412" t="s">
        <v>1486</v>
      </c>
      <c r="D50" s="73">
        <f>SUM(D42:D49)</f>
        <v>8620559</v>
      </c>
      <c r="E50" s="73">
        <f t="shared" ref="E50:AA50" si="9">SUM(E42:E49)</f>
        <v>9179559</v>
      </c>
      <c r="F50" s="73">
        <f t="shared" si="9"/>
        <v>-559000</v>
      </c>
      <c r="G50" s="73">
        <f t="shared" si="9"/>
        <v>3490559</v>
      </c>
      <c r="H50" s="73">
        <f t="shared" si="9"/>
        <v>2528104</v>
      </c>
      <c r="I50" s="73">
        <f t="shared" si="9"/>
        <v>0</v>
      </c>
      <c r="J50" s="73">
        <f t="shared" si="9"/>
        <v>215725</v>
      </c>
      <c r="K50" s="73">
        <f t="shared" si="9"/>
        <v>215725</v>
      </c>
      <c r="L50" s="73">
        <f t="shared" si="9"/>
        <v>2743829</v>
      </c>
      <c r="M50" s="73">
        <f t="shared" si="9"/>
        <v>437730</v>
      </c>
      <c r="N50" s="73">
        <f t="shared" si="9"/>
        <v>500000</v>
      </c>
      <c r="O50" s="73">
        <f t="shared" si="9"/>
        <v>4939000</v>
      </c>
      <c r="P50" s="73">
        <f t="shared" si="9"/>
        <v>746730</v>
      </c>
      <c r="Q50" s="73">
        <f t="shared" si="9"/>
        <v>0</v>
      </c>
      <c r="R50" s="73">
        <f t="shared" si="9"/>
        <v>0</v>
      </c>
      <c r="S50" s="73">
        <f t="shared" si="9"/>
        <v>0</v>
      </c>
      <c r="T50" s="73">
        <f t="shared" si="9"/>
        <v>309000</v>
      </c>
      <c r="U50" s="73">
        <f t="shared" si="9"/>
        <v>191000</v>
      </c>
      <c r="V50" s="73">
        <f t="shared" si="9"/>
        <v>-9000</v>
      </c>
      <c r="W50" s="73">
        <f t="shared" si="9"/>
        <v>200000</v>
      </c>
      <c r="X50" s="73">
        <f t="shared" si="9"/>
        <v>0</v>
      </c>
      <c r="Y50" s="73">
        <f t="shared" si="9"/>
        <v>0</v>
      </c>
      <c r="Z50" s="73">
        <f t="shared" si="9"/>
        <v>0</v>
      </c>
      <c r="AA50" s="73">
        <f t="shared" si="9"/>
        <v>0</v>
      </c>
      <c r="AB50" s="412"/>
      <c r="AC50" s="33"/>
      <c r="AD50" s="345"/>
      <c r="AE50" s="265"/>
      <c r="AF50" s="266"/>
      <c r="AG50" s="266"/>
      <c r="AH50" s="266"/>
    </row>
    <row r="51" spans="1:34" s="426" customFormat="1" ht="30" customHeight="1">
      <c r="A51" s="346">
        <f>A49</f>
        <v>37</v>
      </c>
      <c r="B51" s="346"/>
      <c r="C51" s="33" t="s">
        <v>962</v>
      </c>
      <c r="D51" s="425">
        <f>D50+D41+D39+D37+D33+D29+D27+D6+D31</f>
        <v>263941379</v>
      </c>
      <c r="E51" s="425">
        <f t="shared" ref="E51:AA51" si="10">E50+E41+E39+E37+E33+E29+E27+E6+E31</f>
        <v>232020379</v>
      </c>
      <c r="F51" s="425">
        <f t="shared" si="10"/>
        <v>31921000</v>
      </c>
      <c r="G51" s="425">
        <f t="shared" si="10"/>
        <v>203662245</v>
      </c>
      <c r="H51" s="425">
        <f t="shared" si="10"/>
        <v>185965379</v>
      </c>
      <c r="I51" s="425">
        <f t="shared" si="10"/>
        <v>0</v>
      </c>
      <c r="J51" s="425">
        <f t="shared" si="10"/>
        <v>9211704</v>
      </c>
      <c r="K51" s="425">
        <f t="shared" si="10"/>
        <v>9211704</v>
      </c>
      <c r="L51" s="425">
        <f t="shared" si="10"/>
        <v>195177083</v>
      </c>
      <c r="M51" s="425">
        <f t="shared" si="10"/>
        <v>6558162</v>
      </c>
      <c r="N51" s="425">
        <f t="shared" si="10"/>
        <v>29162000</v>
      </c>
      <c r="O51" s="425">
        <f t="shared" si="10"/>
        <v>33044134</v>
      </c>
      <c r="P51" s="425">
        <f t="shared" si="10"/>
        <v>8485162</v>
      </c>
      <c r="Q51" s="425">
        <f t="shared" si="10"/>
        <v>0</v>
      </c>
      <c r="R51" s="425">
        <f t="shared" si="10"/>
        <v>0</v>
      </c>
      <c r="S51" s="425">
        <f t="shared" si="10"/>
        <v>0</v>
      </c>
      <c r="T51" s="425">
        <f t="shared" si="10"/>
        <v>1927000</v>
      </c>
      <c r="U51" s="425">
        <f t="shared" si="10"/>
        <v>27235000</v>
      </c>
      <c r="V51" s="425">
        <f t="shared" si="10"/>
        <v>533000</v>
      </c>
      <c r="W51" s="425">
        <f t="shared" si="10"/>
        <v>7320000</v>
      </c>
      <c r="X51" s="425">
        <f t="shared" si="10"/>
        <v>0</v>
      </c>
      <c r="Y51" s="425">
        <f t="shared" si="10"/>
        <v>0</v>
      </c>
      <c r="Z51" s="425">
        <f t="shared" si="10"/>
        <v>0</v>
      </c>
      <c r="AA51" s="425">
        <f t="shared" si="10"/>
        <v>19382000</v>
      </c>
      <c r="AB51" s="425"/>
      <c r="AC51" s="346"/>
    </row>
    <row r="52" spans="1:34" hidden="1">
      <c r="L52" s="14">
        <f>K51+H51</f>
        <v>195177083</v>
      </c>
      <c r="M52" s="14">
        <f>P52+S51-T51</f>
        <v>6558162</v>
      </c>
      <c r="P52" s="14">
        <f>G51-L52</f>
        <v>8485162</v>
      </c>
    </row>
  </sheetData>
  <sheetProtection formatCells="0" formatColumns="0" formatRows="0" insertColumns="0" insertRows="0" insertHyperlinks="0" deleteColumns="0" deleteRows="0" sort="0" autoFilter="0" pivotTables="0"/>
  <sortState ref="A5:AH41">
    <sortCondition ref="AC5:AC41"/>
  </sortState>
  <printOptions horizontalCentered="1"/>
  <pageMargins left="0" right="0" top="1.3779527559055118" bottom="0.55118110236220474" header="0.9055118110236221" footer="0.31496062992125984"/>
  <pageSetup paperSize="9" scale="8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193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A5" s="232"/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7" ht="16" thickBot="1">
      <c r="A6" s="232"/>
      <c r="C6" s="232"/>
      <c r="D6" s="232"/>
      <c r="E6" s="232"/>
      <c r="F6" s="232"/>
      <c r="G6" s="232"/>
      <c r="H6" s="232"/>
      <c r="I6" s="232"/>
      <c r="J6" s="232"/>
      <c r="K6" s="232"/>
      <c r="L6" s="232"/>
    </row>
    <row r="7" spans="1:17" ht="16" thickBot="1">
      <c r="A7" s="232"/>
      <c r="B7" s="235" t="s">
        <v>187</v>
      </c>
      <c r="C7" s="232" t="s">
        <v>1181</v>
      </c>
      <c r="D7" s="232"/>
      <c r="E7" s="232"/>
      <c r="F7" s="236">
        <f>'תקציב רשות החופים 2021 '!U19</f>
        <v>1776275</v>
      </c>
      <c r="I7" s="232"/>
      <c r="J7" s="232"/>
      <c r="K7" s="232"/>
      <c r="L7" s="232"/>
    </row>
    <row r="8" spans="1:17" ht="21" thickBot="1">
      <c r="A8" s="232"/>
      <c r="C8" s="234"/>
      <c r="D8" s="232"/>
      <c r="E8" s="232"/>
      <c r="F8" s="232"/>
      <c r="H8" s="232"/>
      <c r="I8" s="232"/>
      <c r="J8" s="232"/>
      <c r="K8" s="232"/>
      <c r="L8" s="232"/>
    </row>
    <row r="9" spans="1:17" ht="16" thickBot="1">
      <c r="B9" s="235" t="s">
        <v>187</v>
      </c>
      <c r="C9" s="232" t="s">
        <v>336</v>
      </c>
      <c r="D9" s="232"/>
      <c r="F9" s="244">
        <f>'תקציב רשות החופים 2021 '!A19</f>
        <v>14</v>
      </c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B10" s="235"/>
      <c r="C10" s="232"/>
      <c r="D10" s="232"/>
      <c r="F10" s="238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B11" s="235"/>
      <c r="C11" s="232"/>
      <c r="D11" s="232"/>
      <c r="F11" s="238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B12" s="235" t="s">
        <v>187</v>
      </c>
      <c r="C12" s="232" t="s">
        <v>310</v>
      </c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7" ht="16" thickBot="1"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D14" s="245" t="s">
        <v>311</v>
      </c>
      <c r="E14" s="246" t="s">
        <v>312</v>
      </c>
      <c r="F14" s="247" t="s">
        <v>314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14</v>
      </c>
      <c r="E15" s="248">
        <f>'תקציב רשות החופים 2021 '!W19</f>
        <v>1700000</v>
      </c>
      <c r="F15" s="256">
        <f>E15/$E$17</f>
        <v>0.95705901394772774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C16" s="235"/>
      <c r="D16" s="239" t="s">
        <v>91</v>
      </c>
      <c r="E16" s="248">
        <f>'תקציב רשות החופים 2021 '!AA19</f>
        <v>76275</v>
      </c>
      <c r="F16" s="256">
        <f>E16/$E$17</f>
        <v>4.2940986052272312E-2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6" thickBot="1">
      <c r="C17" s="235"/>
      <c r="D17" s="242" t="s">
        <v>105</v>
      </c>
      <c r="E17" s="250">
        <f>SUM(E15:E16)</f>
        <v>1776275</v>
      </c>
      <c r="F17" s="148">
        <f>SUM(F15:F16)</f>
        <v>1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5.5">
      <c r="C18" s="235"/>
      <c r="D18" s="238"/>
      <c r="E18" s="259"/>
      <c r="F18" s="26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C19" s="235"/>
      <c r="D19" s="238"/>
      <c r="E19" s="259"/>
      <c r="F19" s="26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5.5">
      <c r="C20" s="235"/>
      <c r="D20" s="238"/>
      <c r="E20" s="259"/>
      <c r="F20" s="26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t="15.5">
      <c r="B21" s="235" t="s">
        <v>187</v>
      </c>
      <c r="C21" s="232" t="s">
        <v>516</v>
      </c>
      <c r="D21" s="232"/>
      <c r="F21" s="232"/>
      <c r="H21" s="241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t="15.5">
      <c r="B22" s="235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4" spans="1:17" s="338" customFormat="1" ht="15.5">
      <c r="C24" s="340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</row>
    <row r="25" spans="1:17" s="338" customFormat="1" ht="15.5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</row>
    <row r="26" spans="1:17" s="338" customFormat="1" ht="15.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</row>
    <row r="27" spans="1:17" s="338" customFormat="1"/>
    <row r="28" spans="1:17" ht="15.5">
      <c r="C28" s="232"/>
      <c r="D28" s="232"/>
      <c r="E28" s="232"/>
      <c r="F28" s="232"/>
      <c r="H28" s="232"/>
      <c r="I28" s="232"/>
      <c r="J28" s="232"/>
      <c r="K28" s="232"/>
      <c r="L28" s="232"/>
    </row>
    <row r="29" spans="1:17" ht="15.5">
      <c r="B29" s="235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ht="15.5">
      <c r="B30" s="235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3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36328125" style="29" customWidth="1"/>
    <col min="2" max="2" width="4.81640625" style="12" customWidth="1"/>
    <col min="3" max="3" width="25.36328125" style="12" customWidth="1"/>
    <col min="4" max="6" width="9.81640625" style="14" customWidth="1"/>
    <col min="7" max="11" width="9.81640625" style="14" hidden="1" customWidth="1"/>
    <col min="12" max="15" width="9.81640625" style="14" customWidth="1"/>
    <col min="16" max="19" width="9.81640625" style="14" hidden="1" customWidth="1"/>
    <col min="20" max="20" width="9.81640625" style="14" customWidth="1"/>
    <col min="21" max="21" width="9.81640625" style="12" customWidth="1"/>
    <col min="22" max="22" width="9.81640625" style="12" hidden="1" customWidth="1"/>
    <col min="23" max="23" width="9.81640625" style="12" customWidth="1"/>
    <col min="24" max="26" width="9.81640625" style="12" hidden="1" customWidth="1"/>
    <col min="27" max="27" width="9.81640625" style="12" customWidth="1"/>
    <col min="28" max="28" width="25.36328125" style="12" customWidth="1"/>
    <col min="29" max="29" width="7.90625" style="12" hidden="1" customWidth="1"/>
    <col min="30" max="30" width="7.54296875" style="24" customWidth="1"/>
    <col min="31" max="31" width="12.36328125" style="24" customWidth="1"/>
    <col min="32" max="32" width="13.08984375" style="24" customWidth="1"/>
    <col min="33" max="33" width="21.6328125" style="24" customWidth="1"/>
    <col min="34" max="35" width="9.08984375" style="17" customWidth="1"/>
    <col min="36" max="36" width="1.54296875" style="17" customWidth="1"/>
    <col min="37" max="38" width="9.08984375" style="17" customWidth="1"/>
    <col min="39" max="16384" width="9.08984375" style="12"/>
  </cols>
  <sheetData>
    <row r="1" spans="1:38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283"/>
      <c r="AD1" s="24"/>
      <c r="AE1" s="24"/>
      <c r="AF1" s="24"/>
      <c r="AG1" s="24"/>
    </row>
    <row r="2" spans="1:38" s="166" customFormat="1" ht="18">
      <c r="A2" s="282" t="s">
        <v>193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6"/>
      <c r="AC2" s="286"/>
      <c r="AD2" s="24"/>
      <c r="AE2" s="24"/>
      <c r="AF2" s="24"/>
      <c r="AG2" s="24"/>
    </row>
    <row r="3" spans="1:38" ht="20.399999999999999" customHeight="1"/>
    <row r="4" spans="1:38" s="24" customFormat="1" ht="86" customHeight="1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16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595" t="s">
        <v>344</v>
      </c>
      <c r="AC4" s="16" t="s">
        <v>16</v>
      </c>
    </row>
    <row r="5" spans="1:38" s="5" customFormat="1" ht="35.15" customHeight="1">
      <c r="A5" s="3">
        <v>1</v>
      </c>
      <c r="B5" s="3">
        <v>1700</v>
      </c>
      <c r="C5" s="3" t="s">
        <v>176</v>
      </c>
      <c r="D5" s="4">
        <v>56971</v>
      </c>
      <c r="E5" s="4">
        <v>56971</v>
      </c>
      <c r="F5" s="4">
        <f t="shared" ref="F5:F17" si="0">D5-E5</f>
        <v>0</v>
      </c>
      <c r="G5" s="4">
        <v>72000</v>
      </c>
      <c r="H5" s="4">
        <v>56971</v>
      </c>
      <c r="I5" s="4">
        <v>0</v>
      </c>
      <c r="J5" s="4">
        <v>0</v>
      </c>
      <c r="K5" s="4">
        <f t="shared" ref="K5:K17" si="1">I5+J5</f>
        <v>0</v>
      </c>
      <c r="L5" s="4">
        <f t="shared" ref="L5:L17" si="2">H5+K5</f>
        <v>56971</v>
      </c>
      <c r="M5" s="4">
        <f>P5+S5-15029</f>
        <v>0</v>
      </c>
      <c r="N5" s="4"/>
      <c r="O5" s="4">
        <f t="shared" ref="O5:O17" si="3">D5-L5-M5-N5</f>
        <v>0</v>
      </c>
      <c r="P5" s="4">
        <f t="shared" ref="P5:P17" si="4">G5-L5</f>
        <v>15029</v>
      </c>
      <c r="Q5" s="4"/>
      <c r="R5" s="4"/>
      <c r="S5" s="4">
        <f t="shared" ref="S5:S17" si="5">SUM(Q5:R5)</f>
        <v>0</v>
      </c>
      <c r="T5" s="4">
        <f t="shared" ref="T5:T17" si="6">P5-M5+S5</f>
        <v>15029</v>
      </c>
      <c r="U5" s="4">
        <f t="shared" ref="U5:U17" si="7">N5-T5</f>
        <v>-15029</v>
      </c>
      <c r="V5" s="10"/>
      <c r="W5" s="4">
        <f t="shared" ref="W5:W17" si="8">U5-V5-Z5-AA5</f>
        <v>0</v>
      </c>
      <c r="X5" s="4"/>
      <c r="Y5" s="4"/>
      <c r="Z5" s="4"/>
      <c r="AA5" s="4">
        <v>-15029</v>
      </c>
      <c r="AB5" s="3" t="s">
        <v>1388</v>
      </c>
      <c r="AC5" s="514">
        <v>747000</v>
      </c>
      <c r="AD5" s="30"/>
      <c r="AE5" s="24"/>
      <c r="AF5" s="24"/>
      <c r="AG5" s="24"/>
      <c r="AH5" s="22"/>
      <c r="AI5" s="23"/>
      <c r="AJ5" s="23"/>
      <c r="AK5" s="23"/>
      <c r="AL5" s="23"/>
    </row>
    <row r="6" spans="1:38" s="5" customFormat="1" ht="28">
      <c r="A6" s="3">
        <f>A5+1</f>
        <v>2</v>
      </c>
      <c r="B6" s="3">
        <v>1923</v>
      </c>
      <c r="C6" s="3" t="s">
        <v>149</v>
      </c>
      <c r="D6" s="4">
        <v>152000</v>
      </c>
      <c r="E6" s="4">
        <v>152000</v>
      </c>
      <c r="F6" s="4">
        <f t="shared" si="0"/>
        <v>0</v>
      </c>
      <c r="G6" s="4">
        <v>152000</v>
      </c>
      <c r="H6" s="4">
        <v>138856</v>
      </c>
      <c r="I6" s="4">
        <v>13144</v>
      </c>
      <c r="J6" s="4">
        <v>0</v>
      </c>
      <c r="K6" s="4">
        <f t="shared" si="1"/>
        <v>13144</v>
      </c>
      <c r="L6" s="4">
        <f t="shared" si="2"/>
        <v>152000</v>
      </c>
      <c r="M6" s="4">
        <f t="shared" ref="M6:M17" si="9">P6+S6</f>
        <v>0</v>
      </c>
      <c r="N6" s="4"/>
      <c r="O6" s="4">
        <f t="shared" si="3"/>
        <v>0</v>
      </c>
      <c r="P6" s="4">
        <f t="shared" si="4"/>
        <v>0</v>
      </c>
      <c r="Q6" s="4"/>
      <c r="R6" s="4"/>
      <c r="S6" s="4">
        <f t="shared" si="5"/>
        <v>0</v>
      </c>
      <c r="T6" s="4">
        <f t="shared" si="6"/>
        <v>0</v>
      </c>
      <c r="U6" s="4">
        <f t="shared" si="7"/>
        <v>0</v>
      </c>
      <c r="V6" s="10"/>
      <c r="W6" s="4">
        <f t="shared" si="8"/>
        <v>0</v>
      </c>
      <c r="X6" s="4"/>
      <c r="Y6" s="4"/>
      <c r="Z6" s="4"/>
      <c r="AA6" s="4"/>
      <c r="AB6" s="3" t="s">
        <v>765</v>
      </c>
      <c r="AC6" s="3">
        <v>747000</v>
      </c>
      <c r="AD6" s="30"/>
      <c r="AE6" s="24"/>
      <c r="AF6" s="24"/>
      <c r="AG6" s="24"/>
      <c r="AH6" s="22"/>
      <c r="AI6" s="23"/>
      <c r="AJ6" s="23"/>
      <c r="AK6" s="23"/>
      <c r="AL6" s="23"/>
    </row>
    <row r="7" spans="1:38" s="5" customFormat="1" ht="42">
      <c r="A7" s="3">
        <f t="shared" ref="A7:A18" si="10">A6+1</f>
        <v>3</v>
      </c>
      <c r="B7" s="3">
        <v>2043</v>
      </c>
      <c r="C7" s="3" t="s">
        <v>766</v>
      </c>
      <c r="D7" s="4">
        <f>7500000-150000</f>
        <v>7350000</v>
      </c>
      <c r="E7" s="4">
        <v>5200000</v>
      </c>
      <c r="F7" s="4">
        <f t="shared" si="0"/>
        <v>2150000</v>
      </c>
      <c r="G7" s="4">
        <v>5050000</v>
      </c>
      <c r="H7" s="4">
        <v>4540112</v>
      </c>
      <c r="I7" s="4">
        <v>234773</v>
      </c>
      <c r="J7" s="4">
        <v>194526</v>
      </c>
      <c r="K7" s="4">
        <f t="shared" si="1"/>
        <v>429299</v>
      </c>
      <c r="L7" s="4">
        <f t="shared" si="2"/>
        <v>4969411</v>
      </c>
      <c r="M7" s="4">
        <f t="shared" si="9"/>
        <v>80589</v>
      </c>
      <c r="N7" s="4">
        <f>2300000-600000+150000-150000</f>
        <v>1700000</v>
      </c>
      <c r="O7" s="4">
        <f t="shared" si="3"/>
        <v>600000</v>
      </c>
      <c r="P7" s="4">
        <f t="shared" si="4"/>
        <v>80589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1700000</v>
      </c>
      <c r="V7" s="10"/>
      <c r="W7" s="4">
        <f t="shared" si="8"/>
        <v>1700000</v>
      </c>
      <c r="X7" s="4"/>
      <c r="Y7" s="4"/>
      <c r="Z7" s="4"/>
      <c r="AA7" s="4"/>
      <c r="AB7" s="3" t="s">
        <v>1300</v>
      </c>
      <c r="AC7" s="3">
        <v>747000</v>
      </c>
      <c r="AD7" s="30"/>
      <c r="AE7" s="24"/>
      <c r="AF7" s="24"/>
      <c r="AG7" s="24"/>
      <c r="AH7" s="22"/>
      <c r="AI7" s="23"/>
      <c r="AJ7" s="23"/>
      <c r="AK7" s="23"/>
      <c r="AL7" s="23"/>
    </row>
    <row r="8" spans="1:38" s="5" customFormat="1" ht="42">
      <c r="A8" s="3">
        <f t="shared" si="10"/>
        <v>4</v>
      </c>
      <c r="B8" s="3">
        <v>2044</v>
      </c>
      <c r="C8" s="3" t="s">
        <v>194</v>
      </c>
      <c r="D8" s="4">
        <v>105000</v>
      </c>
      <c r="E8" s="4">
        <v>105000</v>
      </c>
      <c r="F8" s="4">
        <f t="shared" si="0"/>
        <v>0</v>
      </c>
      <c r="G8" s="4">
        <v>105000</v>
      </c>
      <c r="H8" s="4">
        <v>56160</v>
      </c>
      <c r="I8" s="4">
        <v>0</v>
      </c>
      <c r="J8" s="4">
        <v>0</v>
      </c>
      <c r="K8" s="4">
        <f t="shared" si="1"/>
        <v>0</v>
      </c>
      <c r="L8" s="4">
        <f t="shared" si="2"/>
        <v>56160</v>
      </c>
      <c r="M8" s="4">
        <f t="shared" si="9"/>
        <v>48840</v>
      </c>
      <c r="N8" s="4"/>
      <c r="O8" s="4">
        <f t="shared" si="3"/>
        <v>0</v>
      </c>
      <c r="P8" s="4">
        <f t="shared" si="4"/>
        <v>48840</v>
      </c>
      <c r="Q8" s="4"/>
      <c r="R8" s="4"/>
      <c r="S8" s="4">
        <f t="shared" si="5"/>
        <v>0</v>
      </c>
      <c r="T8" s="4">
        <f t="shared" si="6"/>
        <v>0</v>
      </c>
      <c r="U8" s="4">
        <f t="shared" si="7"/>
        <v>0</v>
      </c>
      <c r="V8" s="10"/>
      <c r="W8" s="4">
        <f t="shared" si="8"/>
        <v>0</v>
      </c>
      <c r="X8" s="4"/>
      <c r="Y8" s="4"/>
      <c r="Z8" s="4"/>
      <c r="AA8" s="4"/>
      <c r="AB8" s="3" t="s">
        <v>1558</v>
      </c>
      <c r="AC8" s="3">
        <v>747000</v>
      </c>
      <c r="AD8" s="30"/>
      <c r="AE8" s="24"/>
      <c r="AF8" s="24"/>
      <c r="AG8" s="24"/>
      <c r="AH8" s="22"/>
      <c r="AI8" s="23"/>
      <c r="AJ8" s="23"/>
      <c r="AK8" s="23"/>
      <c r="AL8" s="23"/>
    </row>
    <row r="9" spans="1:38" s="5" customFormat="1" ht="28">
      <c r="A9" s="3">
        <f t="shared" si="10"/>
        <v>5</v>
      </c>
      <c r="B9" s="3">
        <v>2045</v>
      </c>
      <c r="C9" s="3" t="s">
        <v>439</v>
      </c>
      <c r="D9" s="4">
        <v>205000</v>
      </c>
      <c r="E9" s="4">
        <v>205000</v>
      </c>
      <c r="F9" s="4">
        <f t="shared" si="0"/>
        <v>0</v>
      </c>
      <c r="G9" s="4">
        <v>205000</v>
      </c>
      <c r="H9" s="4">
        <v>0</v>
      </c>
      <c r="I9" s="4">
        <v>184044</v>
      </c>
      <c r="J9" s="4">
        <v>0</v>
      </c>
      <c r="K9" s="4">
        <f t="shared" si="1"/>
        <v>184044</v>
      </c>
      <c r="L9" s="4">
        <f t="shared" si="2"/>
        <v>184044</v>
      </c>
      <c r="M9" s="4">
        <f t="shared" si="9"/>
        <v>20956</v>
      </c>
      <c r="N9" s="4"/>
      <c r="O9" s="4">
        <f t="shared" si="3"/>
        <v>0</v>
      </c>
      <c r="P9" s="4">
        <f t="shared" si="4"/>
        <v>20956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0</v>
      </c>
      <c r="V9" s="10"/>
      <c r="W9" s="4">
        <f t="shared" si="8"/>
        <v>0</v>
      </c>
      <c r="X9" s="4"/>
      <c r="Y9" s="4"/>
      <c r="Z9" s="4"/>
      <c r="AA9" s="4"/>
      <c r="AB9" s="3" t="s">
        <v>1559</v>
      </c>
      <c r="AC9" s="3">
        <v>747000</v>
      </c>
      <c r="AD9" s="30"/>
      <c r="AE9" s="24"/>
      <c r="AF9" s="24"/>
      <c r="AG9" s="24"/>
      <c r="AH9" s="22"/>
      <c r="AI9" s="23"/>
      <c r="AJ9" s="23"/>
      <c r="AK9" s="23"/>
      <c r="AL9" s="23"/>
    </row>
    <row r="10" spans="1:38" s="5" customFormat="1" ht="43.25" customHeight="1">
      <c r="A10" s="3">
        <f t="shared" si="10"/>
        <v>6</v>
      </c>
      <c r="B10" s="3">
        <v>2047</v>
      </c>
      <c r="C10" s="3" t="s">
        <v>440</v>
      </c>
      <c r="D10" s="4">
        <v>170000</v>
      </c>
      <c r="E10" s="4">
        <v>170000</v>
      </c>
      <c r="F10" s="4">
        <f t="shared" si="0"/>
        <v>0</v>
      </c>
      <c r="G10" s="4">
        <v>170000</v>
      </c>
      <c r="H10" s="4">
        <v>117000</v>
      </c>
      <c r="I10" s="4">
        <v>53000</v>
      </c>
      <c r="J10" s="4">
        <v>0</v>
      </c>
      <c r="K10" s="4">
        <f t="shared" si="1"/>
        <v>53000</v>
      </c>
      <c r="L10" s="4">
        <f t="shared" si="2"/>
        <v>170000</v>
      </c>
      <c r="M10" s="4">
        <f t="shared" si="9"/>
        <v>0</v>
      </c>
      <c r="N10" s="4"/>
      <c r="O10" s="4">
        <f t="shared" si="3"/>
        <v>0</v>
      </c>
      <c r="P10" s="4">
        <f t="shared" si="4"/>
        <v>0</v>
      </c>
      <c r="Q10" s="4"/>
      <c r="R10" s="4"/>
      <c r="S10" s="4">
        <f t="shared" si="5"/>
        <v>0</v>
      </c>
      <c r="T10" s="4">
        <f t="shared" si="6"/>
        <v>0</v>
      </c>
      <c r="U10" s="4">
        <f t="shared" si="7"/>
        <v>0</v>
      </c>
      <c r="V10" s="10"/>
      <c r="W10" s="4">
        <f t="shared" si="8"/>
        <v>0</v>
      </c>
      <c r="X10" s="4"/>
      <c r="Y10" s="4"/>
      <c r="Z10" s="4"/>
      <c r="AA10" s="4"/>
      <c r="AB10" s="3" t="s">
        <v>1717</v>
      </c>
      <c r="AC10" s="3">
        <v>747000</v>
      </c>
      <c r="AD10" s="30"/>
      <c r="AE10" s="24"/>
      <c r="AF10" s="24"/>
      <c r="AG10" s="24"/>
      <c r="AH10" s="22"/>
      <c r="AI10" s="23"/>
      <c r="AJ10" s="23"/>
      <c r="AK10" s="23"/>
      <c r="AL10" s="23"/>
    </row>
    <row r="11" spans="1:38" s="5" customFormat="1" ht="30" customHeight="1">
      <c r="A11" s="3">
        <f t="shared" si="10"/>
        <v>7</v>
      </c>
      <c r="B11" s="3">
        <v>2048</v>
      </c>
      <c r="C11" s="3" t="s">
        <v>195</v>
      </c>
      <c r="D11" s="4">
        <v>45000</v>
      </c>
      <c r="E11" s="4">
        <v>45000</v>
      </c>
      <c r="F11" s="4">
        <f t="shared" si="0"/>
        <v>0</v>
      </c>
      <c r="G11" s="4">
        <v>45000</v>
      </c>
      <c r="H11" s="4">
        <v>45000</v>
      </c>
      <c r="I11" s="4">
        <v>0</v>
      </c>
      <c r="J11" s="4">
        <v>0</v>
      </c>
      <c r="K11" s="4">
        <f t="shared" si="1"/>
        <v>0</v>
      </c>
      <c r="L11" s="4">
        <f t="shared" si="2"/>
        <v>45000</v>
      </c>
      <c r="M11" s="4">
        <f t="shared" si="9"/>
        <v>0</v>
      </c>
      <c r="N11" s="4"/>
      <c r="O11" s="4">
        <f t="shared" si="3"/>
        <v>0</v>
      </c>
      <c r="P11" s="4">
        <f t="shared" si="4"/>
        <v>0</v>
      </c>
      <c r="Q11" s="4"/>
      <c r="R11" s="4"/>
      <c r="S11" s="4">
        <f t="shared" si="5"/>
        <v>0</v>
      </c>
      <c r="T11" s="4">
        <f t="shared" si="6"/>
        <v>0</v>
      </c>
      <c r="U11" s="4">
        <f t="shared" si="7"/>
        <v>0</v>
      </c>
      <c r="V11" s="10"/>
      <c r="W11" s="4">
        <f t="shared" si="8"/>
        <v>0</v>
      </c>
      <c r="X11" s="4"/>
      <c r="Y11" s="4"/>
      <c r="Z11" s="4"/>
      <c r="AA11" s="4"/>
      <c r="AB11" s="391" t="s">
        <v>934</v>
      </c>
      <c r="AC11" s="3">
        <v>747000</v>
      </c>
      <c r="AD11" s="30"/>
      <c r="AE11" s="24"/>
      <c r="AF11" s="24"/>
      <c r="AG11" s="24"/>
      <c r="AH11" s="22"/>
      <c r="AI11" s="23"/>
      <c r="AJ11" s="23"/>
      <c r="AK11" s="23"/>
      <c r="AL11" s="23"/>
    </row>
    <row r="12" spans="1:38" s="5" customFormat="1" ht="30" customHeight="1">
      <c r="A12" s="3">
        <f t="shared" si="10"/>
        <v>8</v>
      </c>
      <c r="B12" s="31">
        <v>2084</v>
      </c>
      <c r="C12" s="3" t="s">
        <v>441</v>
      </c>
      <c r="D12" s="4">
        <v>85000</v>
      </c>
      <c r="E12" s="4">
        <v>85000</v>
      </c>
      <c r="F12" s="4">
        <f t="shared" si="0"/>
        <v>0</v>
      </c>
      <c r="G12" s="4">
        <v>85000</v>
      </c>
      <c r="H12" s="4">
        <v>85000</v>
      </c>
      <c r="I12" s="4">
        <v>0</v>
      </c>
      <c r="J12" s="4">
        <v>0</v>
      </c>
      <c r="K12" s="4">
        <f t="shared" si="1"/>
        <v>0</v>
      </c>
      <c r="L12" s="4">
        <f t="shared" si="2"/>
        <v>85000</v>
      </c>
      <c r="M12" s="4">
        <f t="shared" si="9"/>
        <v>0</v>
      </c>
      <c r="N12" s="4"/>
      <c r="O12" s="4">
        <f t="shared" si="3"/>
        <v>0</v>
      </c>
      <c r="P12" s="4">
        <f t="shared" si="4"/>
        <v>0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0</v>
      </c>
      <c r="V12" s="10"/>
      <c r="W12" s="4">
        <f t="shared" si="8"/>
        <v>0</v>
      </c>
      <c r="X12" s="4"/>
      <c r="Y12" s="4"/>
      <c r="Z12" s="4"/>
      <c r="AA12" s="4"/>
      <c r="AB12" s="391" t="s">
        <v>934</v>
      </c>
      <c r="AC12" s="3">
        <v>747000</v>
      </c>
      <c r="AD12" s="24"/>
      <c r="AE12" s="24"/>
      <c r="AF12" s="24"/>
      <c r="AG12" s="24"/>
      <c r="AH12" s="22"/>
      <c r="AI12" s="22"/>
      <c r="AJ12" s="23"/>
      <c r="AK12" s="23"/>
      <c r="AL12" s="23"/>
    </row>
    <row r="13" spans="1:38" s="5" customFormat="1" ht="30" customHeight="1">
      <c r="A13" s="3">
        <f t="shared" si="10"/>
        <v>9</v>
      </c>
      <c r="B13" s="31">
        <v>2085</v>
      </c>
      <c r="C13" s="3" t="s">
        <v>442</v>
      </c>
      <c r="D13" s="4">
        <v>85000</v>
      </c>
      <c r="E13" s="4">
        <v>85000</v>
      </c>
      <c r="F13" s="4">
        <f t="shared" si="0"/>
        <v>0</v>
      </c>
      <c r="G13" s="4">
        <v>85000</v>
      </c>
      <c r="H13" s="4">
        <v>73851</v>
      </c>
      <c r="I13" s="4">
        <v>0</v>
      </c>
      <c r="J13" s="4">
        <v>0</v>
      </c>
      <c r="K13" s="4">
        <f t="shared" si="1"/>
        <v>0</v>
      </c>
      <c r="L13" s="4">
        <f t="shared" si="2"/>
        <v>73851</v>
      </c>
      <c r="M13" s="4">
        <f t="shared" si="9"/>
        <v>11149</v>
      </c>
      <c r="N13" s="4"/>
      <c r="O13" s="4">
        <f t="shared" si="3"/>
        <v>0</v>
      </c>
      <c r="P13" s="4">
        <f t="shared" si="4"/>
        <v>11149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0</v>
      </c>
      <c r="V13" s="10"/>
      <c r="W13" s="4">
        <f t="shared" si="8"/>
        <v>0</v>
      </c>
      <c r="X13" s="4"/>
      <c r="Y13" s="4"/>
      <c r="Z13" s="4"/>
      <c r="AA13" s="4"/>
      <c r="AB13" s="3" t="s">
        <v>1560</v>
      </c>
      <c r="AC13" s="3">
        <v>747000</v>
      </c>
      <c r="AD13" s="24"/>
      <c r="AE13" s="24"/>
      <c r="AF13" s="24"/>
      <c r="AG13" s="24"/>
      <c r="AH13" s="22"/>
      <c r="AI13" s="22"/>
      <c r="AJ13" s="23"/>
      <c r="AK13" s="23"/>
      <c r="AL13" s="23"/>
    </row>
    <row r="14" spans="1:38" s="5" customFormat="1" ht="30" customHeight="1">
      <c r="A14" s="3">
        <f t="shared" si="10"/>
        <v>10</v>
      </c>
      <c r="B14" s="31">
        <v>2125</v>
      </c>
      <c r="C14" s="3" t="s">
        <v>443</v>
      </c>
      <c r="D14" s="4">
        <v>146923</v>
      </c>
      <c r="E14" s="4">
        <v>146923</v>
      </c>
      <c r="F14" s="4">
        <f t="shared" si="0"/>
        <v>0</v>
      </c>
      <c r="G14" s="4">
        <v>146923</v>
      </c>
      <c r="H14" s="4">
        <v>68754</v>
      </c>
      <c r="I14" s="4">
        <v>0</v>
      </c>
      <c r="J14" s="4">
        <v>0</v>
      </c>
      <c r="K14" s="4">
        <f t="shared" si="1"/>
        <v>0</v>
      </c>
      <c r="L14" s="4">
        <f t="shared" si="2"/>
        <v>68754</v>
      </c>
      <c r="M14" s="4">
        <f t="shared" si="9"/>
        <v>78169</v>
      </c>
      <c r="N14" s="4"/>
      <c r="O14" s="4">
        <f t="shared" si="3"/>
        <v>0</v>
      </c>
      <c r="P14" s="4">
        <f t="shared" si="4"/>
        <v>78169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0</v>
      </c>
      <c r="V14" s="10"/>
      <c r="W14" s="4">
        <f t="shared" si="8"/>
        <v>0</v>
      </c>
      <c r="X14" s="4"/>
      <c r="Y14" s="4"/>
      <c r="Z14" s="4"/>
      <c r="AA14" s="4"/>
      <c r="AB14" s="3" t="s">
        <v>1561</v>
      </c>
      <c r="AC14" s="3">
        <v>747000</v>
      </c>
      <c r="AD14" s="24"/>
      <c r="AE14" s="24"/>
      <c r="AF14" s="24"/>
      <c r="AG14" s="24"/>
      <c r="AH14" s="22"/>
      <c r="AI14" s="22"/>
      <c r="AJ14" s="23"/>
      <c r="AK14" s="23"/>
      <c r="AL14" s="23"/>
    </row>
    <row r="15" spans="1:38" s="5" customFormat="1" ht="30" customHeight="1">
      <c r="A15" s="3">
        <f t="shared" si="10"/>
        <v>11</v>
      </c>
      <c r="B15" s="31">
        <v>2136</v>
      </c>
      <c r="C15" s="3" t="s">
        <v>659</v>
      </c>
      <c r="D15" s="4">
        <v>55226</v>
      </c>
      <c r="E15" s="4">
        <v>55226</v>
      </c>
      <c r="F15" s="4">
        <f t="shared" si="0"/>
        <v>0</v>
      </c>
      <c r="G15" s="4">
        <v>55226</v>
      </c>
      <c r="H15" s="4">
        <v>55226</v>
      </c>
      <c r="I15" s="4">
        <v>0</v>
      </c>
      <c r="J15" s="4">
        <v>0</v>
      </c>
      <c r="K15" s="4">
        <f t="shared" si="1"/>
        <v>0</v>
      </c>
      <c r="L15" s="4">
        <f t="shared" si="2"/>
        <v>55226</v>
      </c>
      <c r="M15" s="4">
        <f t="shared" si="9"/>
        <v>0</v>
      </c>
      <c r="N15" s="4"/>
      <c r="O15" s="4">
        <f t="shared" si="3"/>
        <v>0</v>
      </c>
      <c r="P15" s="4">
        <f t="shared" si="4"/>
        <v>0</v>
      </c>
      <c r="Q15" s="4"/>
      <c r="R15" s="4"/>
      <c r="S15" s="4">
        <f t="shared" si="5"/>
        <v>0</v>
      </c>
      <c r="T15" s="4">
        <f t="shared" si="6"/>
        <v>0</v>
      </c>
      <c r="U15" s="4">
        <f t="shared" si="7"/>
        <v>0</v>
      </c>
      <c r="V15" s="10"/>
      <c r="W15" s="4">
        <f t="shared" si="8"/>
        <v>0</v>
      </c>
      <c r="X15" s="4"/>
      <c r="Y15" s="4"/>
      <c r="Z15" s="4"/>
      <c r="AA15" s="4"/>
      <c r="AB15" s="3" t="s">
        <v>1562</v>
      </c>
      <c r="AC15" s="3">
        <v>747000</v>
      </c>
      <c r="AD15" s="24"/>
      <c r="AE15" s="24"/>
      <c r="AF15" s="24"/>
      <c r="AG15" s="24"/>
      <c r="AH15" s="22"/>
      <c r="AI15" s="22"/>
      <c r="AJ15" s="23"/>
      <c r="AK15" s="23"/>
      <c r="AL15" s="23"/>
    </row>
    <row r="16" spans="1:38" s="5" customFormat="1" ht="30" customHeight="1">
      <c r="A16" s="3">
        <f t="shared" si="10"/>
        <v>12</v>
      </c>
      <c r="B16" s="31">
        <v>2137</v>
      </c>
      <c r="C16" s="3" t="s">
        <v>660</v>
      </c>
      <c r="D16" s="4">
        <v>50000</v>
      </c>
      <c r="E16" s="4">
        <v>50000</v>
      </c>
      <c r="F16" s="4">
        <f t="shared" si="0"/>
        <v>0</v>
      </c>
      <c r="G16" s="4">
        <v>50000</v>
      </c>
      <c r="H16" s="4">
        <v>0</v>
      </c>
      <c r="I16" s="4">
        <v>0</v>
      </c>
      <c r="J16" s="4">
        <v>0</v>
      </c>
      <c r="K16" s="4">
        <f t="shared" si="1"/>
        <v>0</v>
      </c>
      <c r="L16" s="4">
        <f t="shared" si="2"/>
        <v>0</v>
      </c>
      <c r="M16" s="4">
        <f t="shared" si="9"/>
        <v>50000</v>
      </c>
      <c r="N16" s="4"/>
      <c r="O16" s="4">
        <f t="shared" si="3"/>
        <v>0</v>
      </c>
      <c r="P16" s="4">
        <f t="shared" si="4"/>
        <v>50000</v>
      </c>
      <c r="Q16" s="4"/>
      <c r="R16" s="4"/>
      <c r="S16" s="4">
        <f t="shared" si="5"/>
        <v>0</v>
      </c>
      <c r="T16" s="4">
        <f t="shared" si="6"/>
        <v>0</v>
      </c>
      <c r="U16" s="4">
        <f t="shared" si="7"/>
        <v>0</v>
      </c>
      <c r="V16" s="10"/>
      <c r="W16" s="4">
        <f t="shared" si="8"/>
        <v>0</v>
      </c>
      <c r="X16" s="4"/>
      <c r="Y16" s="4"/>
      <c r="Z16" s="4"/>
      <c r="AA16" s="4"/>
      <c r="AB16" s="3" t="s">
        <v>1563</v>
      </c>
      <c r="AC16" s="3">
        <v>747000</v>
      </c>
      <c r="AD16" s="24"/>
      <c r="AE16" s="24"/>
      <c r="AF16" s="24"/>
      <c r="AG16" s="24"/>
      <c r="AH16" s="22"/>
      <c r="AI16" s="22"/>
      <c r="AJ16" s="23"/>
      <c r="AK16" s="23"/>
      <c r="AL16" s="23"/>
    </row>
    <row r="17" spans="1:38" s="5" customFormat="1" ht="30" customHeight="1">
      <c r="A17" s="3">
        <f t="shared" si="10"/>
        <v>13</v>
      </c>
      <c r="B17" s="31">
        <v>2138</v>
      </c>
      <c r="C17" s="3" t="s">
        <v>661</v>
      </c>
      <c r="D17" s="4">
        <v>80000</v>
      </c>
      <c r="E17" s="4">
        <v>80000</v>
      </c>
      <c r="F17" s="4">
        <f t="shared" si="0"/>
        <v>0</v>
      </c>
      <c r="G17" s="4">
        <v>80000</v>
      </c>
      <c r="H17" s="4">
        <v>0</v>
      </c>
      <c r="I17" s="4">
        <v>0</v>
      </c>
      <c r="J17" s="4">
        <v>0</v>
      </c>
      <c r="K17" s="4">
        <f t="shared" si="1"/>
        <v>0</v>
      </c>
      <c r="L17" s="4">
        <f t="shared" si="2"/>
        <v>0</v>
      </c>
      <c r="M17" s="4">
        <f t="shared" si="9"/>
        <v>80000</v>
      </c>
      <c r="N17" s="4"/>
      <c r="O17" s="4">
        <f t="shared" si="3"/>
        <v>0</v>
      </c>
      <c r="P17" s="4">
        <f t="shared" si="4"/>
        <v>80000</v>
      </c>
      <c r="Q17" s="4"/>
      <c r="R17" s="4"/>
      <c r="S17" s="4">
        <f t="shared" si="5"/>
        <v>0</v>
      </c>
      <c r="T17" s="4">
        <f t="shared" si="6"/>
        <v>0</v>
      </c>
      <c r="U17" s="4">
        <f t="shared" si="7"/>
        <v>0</v>
      </c>
      <c r="V17" s="10"/>
      <c r="W17" s="4">
        <f t="shared" si="8"/>
        <v>0</v>
      </c>
      <c r="X17" s="4"/>
      <c r="Y17" s="4"/>
      <c r="Z17" s="4"/>
      <c r="AA17" s="4"/>
      <c r="AB17" s="3" t="s">
        <v>1563</v>
      </c>
      <c r="AC17" s="3">
        <v>747000</v>
      </c>
      <c r="AD17" s="24"/>
      <c r="AE17" s="24"/>
      <c r="AF17" s="24"/>
      <c r="AG17" s="24"/>
      <c r="AH17" s="22"/>
      <c r="AI17" s="22"/>
      <c r="AJ17" s="23"/>
      <c r="AK17" s="23"/>
      <c r="AL17" s="23"/>
    </row>
    <row r="18" spans="1:38" s="5" customFormat="1" ht="30" customHeight="1">
      <c r="A18" s="3">
        <f t="shared" si="10"/>
        <v>14</v>
      </c>
      <c r="B18" s="31">
        <v>2221</v>
      </c>
      <c r="C18" s="3" t="s">
        <v>1301</v>
      </c>
      <c r="D18" s="4">
        <v>91304</v>
      </c>
      <c r="E18" s="4"/>
      <c r="F18" s="4">
        <f>D18-E18</f>
        <v>91304</v>
      </c>
      <c r="G18" s="4">
        <v>0</v>
      </c>
      <c r="H18" s="4">
        <v>0</v>
      </c>
      <c r="I18" s="4">
        <v>0</v>
      </c>
      <c r="J18" s="4">
        <v>0</v>
      </c>
      <c r="K18" s="4">
        <f>SUM(I18:J18)</f>
        <v>0</v>
      </c>
      <c r="L18" s="4">
        <f>H18+K18</f>
        <v>0</v>
      </c>
      <c r="M18" s="4">
        <f>P18+S18</f>
        <v>0</v>
      </c>
      <c r="N18" s="4">
        <v>91304</v>
      </c>
      <c r="O18" s="4">
        <f>D18-L18-M18-N18</f>
        <v>0</v>
      </c>
      <c r="P18" s="4">
        <f>G18-L18</f>
        <v>0</v>
      </c>
      <c r="Q18" s="4"/>
      <c r="R18" s="4"/>
      <c r="S18" s="4">
        <f>SUM(Q18:R18)</f>
        <v>0</v>
      </c>
      <c r="T18" s="4">
        <f>P18-M18+S18</f>
        <v>0</v>
      </c>
      <c r="U18" s="4">
        <f>N18-T18</f>
        <v>91304</v>
      </c>
      <c r="V18" s="4">
        <f>U18-AA18-W18-Z18</f>
        <v>0</v>
      </c>
      <c r="W18" s="4"/>
      <c r="X18" s="4"/>
      <c r="Y18" s="4"/>
      <c r="Z18" s="4"/>
      <c r="AA18" s="4">
        <v>91304</v>
      </c>
      <c r="AB18" s="3" t="s">
        <v>1302</v>
      </c>
      <c r="AC18" s="3">
        <v>747000</v>
      </c>
      <c r="AD18" s="6"/>
    </row>
    <row r="19" spans="1:38" s="426" customFormat="1" ht="30" customHeight="1">
      <c r="A19" s="346">
        <f>A18</f>
        <v>14</v>
      </c>
      <c r="B19" s="346"/>
      <c r="C19" s="33" t="s">
        <v>467</v>
      </c>
      <c r="D19" s="425">
        <f>SUM(D5:D18)</f>
        <v>8677424</v>
      </c>
      <c r="E19" s="425">
        <f t="shared" ref="E19:AA19" si="11">SUM(E5:E18)</f>
        <v>6436120</v>
      </c>
      <c r="F19" s="425">
        <f t="shared" si="11"/>
        <v>2241304</v>
      </c>
      <c r="G19" s="425">
        <f t="shared" si="11"/>
        <v>6301149</v>
      </c>
      <c r="H19" s="425">
        <f t="shared" si="11"/>
        <v>5236930</v>
      </c>
      <c r="I19" s="425">
        <f t="shared" si="11"/>
        <v>484961</v>
      </c>
      <c r="J19" s="425">
        <f t="shared" si="11"/>
        <v>194526</v>
      </c>
      <c r="K19" s="425">
        <f t="shared" si="11"/>
        <v>679487</v>
      </c>
      <c r="L19" s="425">
        <f t="shared" si="11"/>
        <v>5916417</v>
      </c>
      <c r="M19" s="425">
        <f t="shared" si="11"/>
        <v>369703</v>
      </c>
      <c r="N19" s="425">
        <f t="shared" si="11"/>
        <v>1791304</v>
      </c>
      <c r="O19" s="425">
        <f t="shared" si="11"/>
        <v>600000</v>
      </c>
      <c r="P19" s="425">
        <f t="shared" si="11"/>
        <v>384732</v>
      </c>
      <c r="Q19" s="425">
        <f t="shared" si="11"/>
        <v>0</v>
      </c>
      <c r="R19" s="425">
        <f t="shared" si="11"/>
        <v>0</v>
      </c>
      <c r="S19" s="425">
        <f t="shared" si="11"/>
        <v>0</v>
      </c>
      <c r="T19" s="425">
        <f t="shared" si="11"/>
        <v>15029</v>
      </c>
      <c r="U19" s="425">
        <f t="shared" si="11"/>
        <v>1776275</v>
      </c>
      <c r="V19" s="425">
        <f t="shared" si="11"/>
        <v>0</v>
      </c>
      <c r="W19" s="425">
        <f t="shared" si="11"/>
        <v>1700000</v>
      </c>
      <c r="X19" s="425">
        <f t="shared" si="11"/>
        <v>0</v>
      </c>
      <c r="Y19" s="425">
        <f t="shared" si="11"/>
        <v>0</v>
      </c>
      <c r="Z19" s="425">
        <f t="shared" si="11"/>
        <v>0</v>
      </c>
      <c r="AA19" s="425">
        <f t="shared" si="11"/>
        <v>76275</v>
      </c>
      <c r="AB19" s="425"/>
      <c r="AC19" s="346"/>
    </row>
    <row r="20" spans="1:38" hidden="1">
      <c r="L20" s="14">
        <f>K19+H19</f>
        <v>5916417</v>
      </c>
      <c r="M20" s="14">
        <f>P20+S19-T19</f>
        <v>369703</v>
      </c>
      <c r="P20" s="14">
        <f>G19-L20</f>
        <v>384732</v>
      </c>
    </row>
    <row r="21" spans="1:38">
      <c r="A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38">
      <c r="A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38">
      <c r="A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 s="12"/>
      <c r="T23" s="12"/>
    </row>
  </sheetData>
  <sheetProtection formatCells="0" formatColumns="0" formatRows="0" insertColumns="0" insertRows="0" insertHyperlinks="0" deleteColumns="0" deleteRows="0" sort="0" autoFilter="0" pivotTables="0"/>
  <conditionalFormatting sqref="AB4 AD18:AD19">
    <cfRule type="cellIs" dxfId="21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3"/>
  <sheetViews>
    <sheetView showZeros="0" rightToLeft="1" zoomScaleNormal="100" workbookViewId="0">
      <pane xSplit="3" ySplit="4" topLeftCell="D13" activePane="bottomRight" state="frozen"/>
      <selection activeCell="C44" sqref="C44"/>
      <selection pane="topRight" activeCell="C44" sqref="C44"/>
      <selection pane="bottomLeft" activeCell="C44" sqref="C44"/>
      <selection pane="bottomRight" activeCell="AB17" sqref="AB17"/>
    </sheetView>
  </sheetViews>
  <sheetFormatPr defaultColWidth="9.08984375" defaultRowHeight="14"/>
  <cols>
    <col min="1" max="1" width="3.36328125" style="29" customWidth="1"/>
    <col min="2" max="2" width="4.81640625" style="12" customWidth="1"/>
    <col min="3" max="3" width="25.36328125" style="12" customWidth="1"/>
    <col min="4" max="4" width="9.453125" style="14" customWidth="1"/>
    <col min="5" max="11" width="9.08984375" style="14" hidden="1" customWidth="1"/>
    <col min="12" max="15" width="9.08984375" style="14" customWidth="1"/>
    <col min="16" max="19" width="9.08984375" style="14" hidden="1" customWidth="1"/>
    <col min="20" max="20" width="9.08984375" style="14" customWidth="1"/>
    <col min="21" max="23" width="9.08984375" style="12" customWidth="1"/>
    <col min="24" max="26" width="9.08984375" style="12" hidden="1" customWidth="1"/>
    <col min="27" max="27" width="9.08984375" style="12" customWidth="1"/>
    <col min="28" max="28" width="25.36328125" style="12" customWidth="1"/>
    <col min="29" max="29" width="7.90625" style="12" hidden="1" customWidth="1"/>
    <col min="30" max="30" width="7.54296875" style="24" customWidth="1"/>
    <col min="31" max="31" width="12.36328125" style="24" customWidth="1"/>
    <col min="32" max="32" width="13.08984375" style="24" customWidth="1"/>
    <col min="33" max="33" width="21.6328125" style="24" customWidth="1"/>
    <col min="34" max="35" width="9.08984375" style="17" customWidth="1"/>
    <col min="36" max="36" width="1.54296875" style="17" customWidth="1"/>
    <col min="37" max="38" width="9.08984375" style="17" customWidth="1"/>
    <col min="39" max="16384" width="9.08984375" style="12"/>
  </cols>
  <sheetData>
    <row r="1" spans="1:38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283"/>
      <c r="AD1" s="24"/>
      <c r="AE1" s="24"/>
      <c r="AF1" s="24"/>
      <c r="AG1" s="24"/>
    </row>
    <row r="2" spans="1:38" s="166" customFormat="1" ht="18">
      <c r="A2" s="282" t="s">
        <v>193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6"/>
      <c r="AC2" s="286"/>
      <c r="AD2" s="24"/>
      <c r="AE2" s="24"/>
      <c r="AF2" s="24"/>
      <c r="AG2" s="24"/>
    </row>
    <row r="3" spans="1:38" ht="20.399999999999999" customHeight="1"/>
    <row r="4" spans="1:38" s="24" customFormat="1" ht="86" customHeight="1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178</v>
      </c>
      <c r="K4" s="16" t="s">
        <v>10</v>
      </c>
      <c r="L4" s="16" t="s">
        <v>11</v>
      </c>
      <c r="M4" s="9" t="s">
        <v>936</v>
      </c>
      <c r="N4" s="16" t="s">
        <v>937</v>
      </c>
      <c r="O4" s="16" t="s">
        <v>938</v>
      </c>
      <c r="P4" s="16" t="s">
        <v>12</v>
      </c>
      <c r="Q4" s="16" t="s">
        <v>939</v>
      </c>
      <c r="R4" s="16" t="s">
        <v>940</v>
      </c>
      <c r="S4" s="16" t="s">
        <v>941</v>
      </c>
      <c r="T4" s="16" t="s">
        <v>942</v>
      </c>
      <c r="U4" s="559" t="s">
        <v>943</v>
      </c>
      <c r="V4" s="16" t="s">
        <v>13</v>
      </c>
      <c r="W4" s="16" t="s">
        <v>14</v>
      </c>
      <c r="X4" s="16" t="s">
        <v>15</v>
      </c>
      <c r="Y4" s="16" t="s">
        <v>301</v>
      </c>
      <c r="Z4" s="16" t="s">
        <v>1391</v>
      </c>
      <c r="AA4" s="16" t="s">
        <v>91</v>
      </c>
      <c r="AB4" s="595" t="s">
        <v>344</v>
      </c>
      <c r="AC4" s="16" t="s">
        <v>16</v>
      </c>
    </row>
    <row r="5" spans="1:38" s="5" customFormat="1" ht="35.15" customHeight="1">
      <c r="A5" s="3">
        <v>1</v>
      </c>
      <c r="B5" s="3">
        <f>'תקציב רשות החופים 2021 '!B5</f>
        <v>1700</v>
      </c>
      <c r="C5" s="280" t="str">
        <f>'תקציב רשות החופים 2021 '!C5</f>
        <v xml:space="preserve">רכישת ציוד טיפול זיהום חוף ים </v>
      </c>
      <c r="D5" s="4">
        <f>'תקציב רשות החופים 2021 '!D5</f>
        <v>56971</v>
      </c>
      <c r="E5" s="3">
        <f>'תקציב רשות החופים 2021 '!E5</f>
        <v>56971</v>
      </c>
      <c r="F5" s="3">
        <f>'תקציב רשות החופים 2021 '!F5</f>
        <v>0</v>
      </c>
      <c r="G5" s="3">
        <f>'תקציב רשות החופים 2021 '!G5</f>
        <v>72000</v>
      </c>
      <c r="H5" s="3">
        <f>'תקציב רשות החופים 2021 '!H5</f>
        <v>56971</v>
      </c>
      <c r="I5" s="3">
        <f>'תקציב רשות החופים 2021 '!I5</f>
        <v>0</v>
      </c>
      <c r="J5" s="3">
        <f>'תקציב רשות החופים 2021 '!J5</f>
        <v>0</v>
      </c>
      <c r="K5" s="3">
        <f>'תקציב רשות החופים 2021 '!K5</f>
        <v>0</v>
      </c>
      <c r="L5" s="4">
        <f>'תקציב רשות החופים 2021 '!L5</f>
        <v>56971</v>
      </c>
      <c r="M5" s="4">
        <f>'תקציב רשות החופים 2021 '!M5</f>
        <v>0</v>
      </c>
      <c r="N5" s="4">
        <f>'תקציב רשות החופים 2021 '!N5</f>
        <v>0</v>
      </c>
      <c r="O5" s="4">
        <f>'תקציב רשות החופים 2021 '!O5</f>
        <v>0</v>
      </c>
      <c r="P5" s="4">
        <f>'תקציב רשות החופים 2021 '!P5</f>
        <v>15029</v>
      </c>
      <c r="Q5" s="4">
        <f>'תקציב רשות החופים 2021 '!Q5</f>
        <v>0</v>
      </c>
      <c r="R5" s="4">
        <f>'תקציב רשות החופים 2021 '!R5</f>
        <v>0</v>
      </c>
      <c r="S5" s="4">
        <f>'תקציב רשות החופים 2021 '!S5</f>
        <v>0</v>
      </c>
      <c r="T5" s="4">
        <f>'תקציב רשות החופים 2021 '!T5</f>
        <v>15029</v>
      </c>
      <c r="U5" s="4">
        <f>'תקציב רשות החופים 2021 '!U5</f>
        <v>-15029</v>
      </c>
      <c r="V5" s="4">
        <f>'תקציב רשות החופים 2021 '!V5</f>
        <v>0</v>
      </c>
      <c r="W5" s="4">
        <f>'תקציב רשות החופים 2021 '!W5</f>
        <v>0</v>
      </c>
      <c r="X5" s="4">
        <f>'תקציב רשות החופים 2021 '!X5</f>
        <v>0</v>
      </c>
      <c r="Y5" s="4">
        <f>'תקציב רשות החופים 2021 '!Y5</f>
        <v>0</v>
      </c>
      <c r="Z5" s="4">
        <f>'תקציב רשות החופים 2021 '!Z5</f>
        <v>0</v>
      </c>
      <c r="AA5" s="4">
        <f>'תקציב רשות החופים 2021 '!AA5</f>
        <v>-15029</v>
      </c>
      <c r="AB5" s="280" t="str">
        <f>'תקציב רשות החופים 2021 '!AB5</f>
        <v>הקטנת תקציב. ייסגר עם קבלת תקבול  מ. להגנת הסביבה.</v>
      </c>
      <c r="AC5" s="3">
        <f>'תקציב רשות החופים 2021 '!AC5</f>
        <v>747000</v>
      </c>
      <c r="AD5" s="30"/>
      <c r="AE5" s="24"/>
      <c r="AF5" s="24"/>
      <c r="AG5" s="24"/>
      <c r="AH5" s="22"/>
      <c r="AI5" s="23"/>
      <c r="AJ5" s="23"/>
      <c r="AK5" s="23"/>
      <c r="AL5" s="23"/>
    </row>
    <row r="6" spans="1:38" s="5" customFormat="1" ht="28">
      <c r="A6" s="3">
        <f>A5+1</f>
        <v>2</v>
      </c>
      <c r="B6" s="3">
        <f>'תקציב רשות החופים 2021 '!B6</f>
        <v>1923</v>
      </c>
      <c r="C6" s="280" t="str">
        <f>'תקציב רשות החופים 2021 '!C6</f>
        <v>פיתוח חוף רחצה "חוף הכוכבים"</v>
      </c>
      <c r="D6" s="4">
        <f>'תקציב רשות החופים 2021 '!D6</f>
        <v>152000</v>
      </c>
      <c r="E6" s="3">
        <f>'תקציב רשות החופים 2021 '!E6</f>
        <v>152000</v>
      </c>
      <c r="F6" s="3">
        <f>'תקציב רשות החופים 2021 '!F6</f>
        <v>0</v>
      </c>
      <c r="G6" s="3">
        <f>'תקציב רשות החופים 2021 '!G6</f>
        <v>152000</v>
      </c>
      <c r="H6" s="3">
        <f>'תקציב רשות החופים 2021 '!H6</f>
        <v>138856</v>
      </c>
      <c r="I6" s="3">
        <f>'תקציב רשות החופים 2021 '!I6</f>
        <v>13144</v>
      </c>
      <c r="J6" s="3">
        <f>'תקציב רשות החופים 2021 '!J6</f>
        <v>0</v>
      </c>
      <c r="K6" s="3">
        <f>'תקציב רשות החופים 2021 '!K6</f>
        <v>13144</v>
      </c>
      <c r="L6" s="4">
        <f>'תקציב רשות החופים 2021 '!L6</f>
        <v>152000</v>
      </c>
      <c r="M6" s="4">
        <f>'תקציב רשות החופים 2021 '!M6</f>
        <v>0</v>
      </c>
      <c r="N6" s="4">
        <f>'תקציב רשות החופים 2021 '!N6</f>
        <v>0</v>
      </c>
      <c r="O6" s="4">
        <f>'תקציב רשות החופים 2021 '!O6</f>
        <v>0</v>
      </c>
      <c r="P6" s="4">
        <f>'תקציב רשות החופים 2021 '!P6</f>
        <v>0</v>
      </c>
      <c r="Q6" s="4">
        <f>'תקציב רשות החופים 2021 '!Q6</f>
        <v>0</v>
      </c>
      <c r="R6" s="4">
        <f>'תקציב רשות החופים 2021 '!R6</f>
        <v>0</v>
      </c>
      <c r="S6" s="4">
        <f>'תקציב רשות החופים 2021 '!S6</f>
        <v>0</v>
      </c>
      <c r="T6" s="4">
        <f>'תקציב רשות החופים 2021 '!T6</f>
        <v>0</v>
      </c>
      <c r="U6" s="4">
        <f>'תקציב רשות החופים 2021 '!U6</f>
        <v>0</v>
      </c>
      <c r="V6" s="4">
        <f>'תקציב רשות החופים 2021 '!V6</f>
        <v>0</v>
      </c>
      <c r="W6" s="4">
        <f>'תקציב רשות החופים 2021 '!W6</f>
        <v>0</v>
      </c>
      <c r="X6" s="4">
        <f>'תקציב רשות החופים 2021 '!X6</f>
        <v>0</v>
      </c>
      <c r="Y6" s="4">
        <f>'תקציב רשות החופים 2021 '!Y6</f>
        <v>0</v>
      </c>
      <c r="Z6" s="4">
        <f>'תקציב רשות החופים 2021 '!Z6</f>
        <v>0</v>
      </c>
      <c r="AA6" s="4">
        <f>'תקציב רשות החופים 2021 '!AA6</f>
        <v>0</v>
      </c>
      <c r="AB6" s="280" t="str">
        <f>'תקציב רשות החופים 2021 '!AB6</f>
        <v>טרם הסתיימה עבודה בתחנת הצלה חוף הכוכבים .</v>
      </c>
      <c r="AC6" s="3">
        <f>'תקציב רשות החופים 2021 '!AC6</f>
        <v>747000</v>
      </c>
      <c r="AD6" s="30"/>
      <c r="AE6" s="24"/>
      <c r="AF6" s="24"/>
      <c r="AG6" s="24"/>
      <c r="AH6" s="22"/>
      <c r="AI6" s="23"/>
      <c r="AJ6" s="23"/>
      <c r="AK6" s="23"/>
      <c r="AL6" s="23"/>
    </row>
    <row r="7" spans="1:38" s="5" customFormat="1" ht="42">
      <c r="A7" s="3">
        <f t="shared" ref="A7:A18" si="0">A6+1</f>
        <v>3</v>
      </c>
      <c r="B7" s="3">
        <f>'תקציב רשות החופים 2021 '!B7</f>
        <v>2043</v>
      </c>
      <c r="C7" s="280" t="str">
        <f>'תקציב רשות החופים 2021 '!C7</f>
        <v>פיתוח חופי רחצה</v>
      </c>
      <c r="D7" s="4">
        <f>'תקציב רשות החופים 2021 '!D7</f>
        <v>7350000</v>
      </c>
      <c r="E7" s="3">
        <f>'תקציב רשות החופים 2021 '!E7</f>
        <v>5200000</v>
      </c>
      <c r="F7" s="3">
        <f>'תקציב רשות החופים 2021 '!F7</f>
        <v>2150000</v>
      </c>
      <c r="G7" s="3">
        <f>'תקציב רשות החופים 2021 '!G7</f>
        <v>5050000</v>
      </c>
      <c r="H7" s="3">
        <f>'תקציב רשות החופים 2021 '!H7</f>
        <v>4540112</v>
      </c>
      <c r="I7" s="3">
        <f>'תקציב רשות החופים 2021 '!I7</f>
        <v>234773</v>
      </c>
      <c r="J7" s="3">
        <f>'תקציב רשות החופים 2021 '!J7</f>
        <v>194526</v>
      </c>
      <c r="K7" s="3">
        <f>'תקציב רשות החופים 2021 '!K7</f>
        <v>429299</v>
      </c>
      <c r="L7" s="4">
        <f>'תקציב רשות החופים 2021 '!L7</f>
        <v>4969411</v>
      </c>
      <c r="M7" s="4">
        <f>'תקציב רשות החופים 2021 '!M7</f>
        <v>80589</v>
      </c>
      <c r="N7" s="4">
        <f>'תקציב רשות החופים 2021 '!N7</f>
        <v>1700000</v>
      </c>
      <c r="O7" s="4">
        <f>'תקציב רשות החופים 2021 '!O7</f>
        <v>600000</v>
      </c>
      <c r="P7" s="4">
        <f>'תקציב רשות החופים 2021 '!P7</f>
        <v>80589</v>
      </c>
      <c r="Q7" s="4">
        <f>'תקציב רשות החופים 2021 '!Q7</f>
        <v>0</v>
      </c>
      <c r="R7" s="4">
        <f>'תקציב רשות החופים 2021 '!R7</f>
        <v>0</v>
      </c>
      <c r="S7" s="4">
        <f>'תקציב רשות החופים 2021 '!S7</f>
        <v>0</v>
      </c>
      <c r="T7" s="4">
        <f>'תקציב רשות החופים 2021 '!T7</f>
        <v>0</v>
      </c>
      <c r="U7" s="4">
        <f>'תקציב רשות החופים 2021 '!U7</f>
        <v>1700000</v>
      </c>
      <c r="V7" s="4">
        <f>'תקציב רשות החופים 2021 '!V7</f>
        <v>0</v>
      </c>
      <c r="W7" s="4">
        <f>'תקציב רשות החופים 2021 '!W7</f>
        <v>1700000</v>
      </c>
      <c r="X7" s="4">
        <f>'תקציב רשות החופים 2021 '!X7</f>
        <v>0</v>
      </c>
      <c r="Y7" s="4">
        <f>'תקציב רשות החופים 2021 '!Y7</f>
        <v>0</v>
      </c>
      <c r="Z7" s="4">
        <f>'תקציב רשות החופים 2021 '!Z7</f>
        <v>0</v>
      </c>
      <c r="AA7" s="4">
        <f>'תקציב רשות החופים 2021 '!AA7</f>
        <v>0</v>
      </c>
      <c r="AB7" s="280" t="str">
        <f>'תקציב רשות החופים 2021 '!AB7</f>
        <v xml:space="preserve">סל עבודות פיתוח גידור והיערכות לקראת פתיחת עונת הרחצה ובמהלכה. </v>
      </c>
      <c r="AC7" s="3">
        <f>'תקציב רשות החופים 2021 '!AC7</f>
        <v>747000</v>
      </c>
      <c r="AD7" s="30"/>
      <c r="AE7" s="24"/>
      <c r="AF7" s="24"/>
      <c r="AG7" s="24"/>
      <c r="AH7" s="22"/>
      <c r="AI7" s="23"/>
      <c r="AJ7" s="23"/>
      <c r="AK7" s="23"/>
      <c r="AL7" s="23"/>
    </row>
    <row r="8" spans="1:38" s="5" customFormat="1" ht="42">
      <c r="A8" s="3">
        <f t="shared" si="0"/>
        <v>4</v>
      </c>
      <c r="B8" s="3">
        <f>'תקציב רשות החופים 2021 '!B8</f>
        <v>2044</v>
      </c>
      <c r="C8" s="280" t="str">
        <f>'תקציב רשות החופים 2021 '!C8</f>
        <v>סככות צל חוף הכוכבים 2017</v>
      </c>
      <c r="D8" s="4">
        <f>'תקציב רשות החופים 2021 '!D8</f>
        <v>105000</v>
      </c>
      <c r="E8" s="3">
        <f>'תקציב רשות החופים 2021 '!E8</f>
        <v>105000</v>
      </c>
      <c r="F8" s="3">
        <f>'תקציב רשות החופים 2021 '!F8</f>
        <v>0</v>
      </c>
      <c r="G8" s="3">
        <f>'תקציב רשות החופים 2021 '!G8</f>
        <v>105000</v>
      </c>
      <c r="H8" s="3">
        <f>'תקציב רשות החופים 2021 '!H8</f>
        <v>56160</v>
      </c>
      <c r="I8" s="3">
        <f>'תקציב רשות החופים 2021 '!I8</f>
        <v>0</v>
      </c>
      <c r="J8" s="3">
        <f>'תקציב רשות החופים 2021 '!J8</f>
        <v>0</v>
      </c>
      <c r="K8" s="3">
        <f>'תקציב רשות החופים 2021 '!K8</f>
        <v>0</v>
      </c>
      <c r="L8" s="4">
        <f>'תקציב רשות החופים 2021 '!L8</f>
        <v>56160</v>
      </c>
      <c r="M8" s="4">
        <f>'תקציב רשות החופים 2021 '!M8</f>
        <v>48840</v>
      </c>
      <c r="N8" s="4">
        <f>'תקציב רשות החופים 2021 '!N8</f>
        <v>0</v>
      </c>
      <c r="O8" s="4">
        <f>'תקציב רשות החופים 2021 '!O8</f>
        <v>0</v>
      </c>
      <c r="P8" s="4">
        <f>'תקציב רשות החופים 2021 '!P8</f>
        <v>48840</v>
      </c>
      <c r="Q8" s="4">
        <f>'תקציב רשות החופים 2021 '!Q8</f>
        <v>0</v>
      </c>
      <c r="R8" s="4">
        <f>'תקציב רשות החופים 2021 '!R8</f>
        <v>0</v>
      </c>
      <c r="S8" s="4">
        <f>'תקציב רשות החופים 2021 '!S8</f>
        <v>0</v>
      </c>
      <c r="T8" s="4">
        <f>'תקציב רשות החופים 2021 '!T8</f>
        <v>0</v>
      </c>
      <c r="U8" s="4">
        <f>'תקציב רשות החופים 2021 '!U8</f>
        <v>0</v>
      </c>
      <c r="V8" s="4">
        <f>'תקציב רשות החופים 2021 '!V8</f>
        <v>0</v>
      </c>
      <c r="W8" s="4">
        <f>'תקציב רשות החופים 2021 '!W8</f>
        <v>0</v>
      </c>
      <c r="X8" s="4">
        <f>'תקציב רשות החופים 2021 '!X8</f>
        <v>0</v>
      </c>
      <c r="Y8" s="4">
        <f>'תקציב רשות החופים 2021 '!Y8</f>
        <v>0</v>
      </c>
      <c r="Z8" s="4">
        <f>'תקציב רשות החופים 2021 '!Z8</f>
        <v>0</v>
      </c>
      <c r="AA8" s="4">
        <f>'תקציב רשות החופים 2021 '!AA8</f>
        <v>0</v>
      </c>
      <c r="AB8" s="280" t="str">
        <f>'תקציב רשות החופים 2021 '!AB8</f>
        <v>מימון מ. הפנים. עבור רכישת 2 סככות נוספות הצללה לחוף הכוכבים.</v>
      </c>
      <c r="AC8" s="3">
        <f>'תקציב רשות החופים 2021 '!AC8</f>
        <v>747000</v>
      </c>
      <c r="AD8" s="30"/>
      <c r="AE8" s="24"/>
      <c r="AF8" s="24"/>
      <c r="AG8" s="24"/>
      <c r="AH8" s="22"/>
      <c r="AI8" s="23"/>
      <c r="AJ8" s="23"/>
      <c r="AK8" s="23"/>
      <c r="AL8" s="23"/>
    </row>
    <row r="9" spans="1:38" s="5" customFormat="1" ht="28">
      <c r="A9" s="3">
        <f t="shared" si="0"/>
        <v>5</v>
      </c>
      <c r="B9" s="3">
        <f>'תקציב רשות החופים 2021 '!B9</f>
        <v>2045</v>
      </c>
      <c r="C9" s="280" t="str">
        <f>'תקציב רשות החופים 2021 '!C9</f>
        <v>הסדרת החוף הנפרד</v>
      </c>
      <c r="D9" s="4">
        <f>'תקציב רשות החופים 2021 '!D9</f>
        <v>205000</v>
      </c>
      <c r="E9" s="3">
        <f>'תקציב רשות החופים 2021 '!E9</f>
        <v>205000</v>
      </c>
      <c r="F9" s="3">
        <f>'תקציב רשות החופים 2021 '!F9</f>
        <v>0</v>
      </c>
      <c r="G9" s="3">
        <f>'תקציב רשות החופים 2021 '!G9</f>
        <v>205000</v>
      </c>
      <c r="H9" s="3">
        <f>'תקציב רשות החופים 2021 '!H9</f>
        <v>0</v>
      </c>
      <c r="I9" s="3">
        <f>'תקציב רשות החופים 2021 '!I9</f>
        <v>184044</v>
      </c>
      <c r="J9" s="3">
        <f>'תקציב רשות החופים 2021 '!J9</f>
        <v>0</v>
      </c>
      <c r="K9" s="3">
        <f>'תקציב רשות החופים 2021 '!K9</f>
        <v>184044</v>
      </c>
      <c r="L9" s="4">
        <f>'תקציב רשות החופים 2021 '!L9</f>
        <v>184044</v>
      </c>
      <c r="M9" s="4">
        <f>'תקציב רשות החופים 2021 '!M9</f>
        <v>20956</v>
      </c>
      <c r="N9" s="4">
        <f>'תקציב רשות החופים 2021 '!N9</f>
        <v>0</v>
      </c>
      <c r="O9" s="4">
        <f>'תקציב רשות החופים 2021 '!O9</f>
        <v>0</v>
      </c>
      <c r="P9" s="4">
        <f>'תקציב רשות החופים 2021 '!P9</f>
        <v>20956</v>
      </c>
      <c r="Q9" s="4">
        <f>'תקציב רשות החופים 2021 '!Q9</f>
        <v>0</v>
      </c>
      <c r="R9" s="4">
        <f>'תקציב רשות החופים 2021 '!R9</f>
        <v>0</v>
      </c>
      <c r="S9" s="4">
        <f>'תקציב רשות החופים 2021 '!S9</f>
        <v>0</v>
      </c>
      <c r="T9" s="4">
        <f>'תקציב רשות החופים 2021 '!T9</f>
        <v>0</v>
      </c>
      <c r="U9" s="4">
        <f>'תקציב רשות החופים 2021 '!U9</f>
        <v>0</v>
      </c>
      <c r="V9" s="4">
        <f>'תקציב רשות החופים 2021 '!V9</f>
        <v>0</v>
      </c>
      <c r="W9" s="4">
        <f>'תקציב רשות החופים 2021 '!W9</f>
        <v>0</v>
      </c>
      <c r="X9" s="4">
        <f>'תקציב רשות החופים 2021 '!X9</f>
        <v>0</v>
      </c>
      <c r="Y9" s="4">
        <f>'תקציב רשות החופים 2021 '!Y9</f>
        <v>0</v>
      </c>
      <c r="Z9" s="4">
        <f>'תקציב רשות החופים 2021 '!Z9</f>
        <v>0</v>
      </c>
      <c r="AA9" s="4">
        <f>'תקציב רשות החופים 2021 '!AA9</f>
        <v>0</v>
      </c>
      <c r="AB9" s="280" t="str">
        <f>'תקציב רשות החופים 2021 '!AB9</f>
        <v>מימון מ. הפנים. יבוצעו עבודות נוספות בחוף הנפרד.</v>
      </c>
      <c r="AC9" s="3">
        <f>'תקציב רשות החופים 2021 '!AC9</f>
        <v>747000</v>
      </c>
      <c r="AD9" s="30"/>
      <c r="AE9" s="24"/>
      <c r="AF9" s="24"/>
      <c r="AG9" s="24"/>
      <c r="AH9" s="22"/>
      <c r="AI9" s="23"/>
      <c r="AJ9" s="23"/>
      <c r="AK9" s="23"/>
      <c r="AL9" s="23"/>
    </row>
    <row r="10" spans="1:38" s="5" customFormat="1" ht="43.25" customHeight="1">
      <c r="A10" s="3">
        <f t="shared" si="0"/>
        <v>6</v>
      </c>
      <c r="B10" s="3">
        <f>'תקציב רשות החופים 2021 '!B10</f>
        <v>2047</v>
      </c>
      <c r="C10" s="280" t="str">
        <f>'תקציב רשות החופים 2021 '!C10</f>
        <v>תחנת הצלה חוף הכוכבים 2017</v>
      </c>
      <c r="D10" s="4">
        <f>'תקציב רשות החופים 2021 '!D10</f>
        <v>170000</v>
      </c>
      <c r="E10" s="3">
        <f>'תקציב רשות החופים 2021 '!E10</f>
        <v>170000</v>
      </c>
      <c r="F10" s="3">
        <f>'תקציב רשות החופים 2021 '!F10</f>
        <v>0</v>
      </c>
      <c r="G10" s="3">
        <f>'תקציב רשות החופים 2021 '!G10</f>
        <v>170000</v>
      </c>
      <c r="H10" s="3">
        <f>'תקציב רשות החופים 2021 '!H10</f>
        <v>117000</v>
      </c>
      <c r="I10" s="3">
        <f>'תקציב רשות החופים 2021 '!I10</f>
        <v>53000</v>
      </c>
      <c r="J10" s="3">
        <f>'תקציב רשות החופים 2021 '!J10</f>
        <v>0</v>
      </c>
      <c r="K10" s="3">
        <f>'תקציב רשות החופים 2021 '!K10</f>
        <v>53000</v>
      </c>
      <c r="L10" s="4">
        <f>'תקציב רשות החופים 2021 '!L10</f>
        <v>170000</v>
      </c>
      <c r="M10" s="4">
        <f>'תקציב רשות החופים 2021 '!M10</f>
        <v>0</v>
      </c>
      <c r="N10" s="4">
        <f>'תקציב רשות החופים 2021 '!N10</f>
        <v>0</v>
      </c>
      <c r="O10" s="4">
        <f>'תקציב רשות החופים 2021 '!O10</f>
        <v>0</v>
      </c>
      <c r="P10" s="4">
        <f>'תקציב רשות החופים 2021 '!P10</f>
        <v>0</v>
      </c>
      <c r="Q10" s="4">
        <f>'תקציב רשות החופים 2021 '!Q10</f>
        <v>0</v>
      </c>
      <c r="R10" s="4">
        <f>'תקציב רשות החופים 2021 '!R10</f>
        <v>0</v>
      </c>
      <c r="S10" s="4">
        <f>'תקציב רשות החופים 2021 '!S10</f>
        <v>0</v>
      </c>
      <c r="T10" s="4">
        <f>'תקציב רשות החופים 2021 '!T10</f>
        <v>0</v>
      </c>
      <c r="U10" s="4">
        <f>'תקציב רשות החופים 2021 '!U10</f>
        <v>0</v>
      </c>
      <c r="V10" s="4">
        <f>'תקציב רשות החופים 2021 '!V10</f>
        <v>0</v>
      </c>
      <c r="W10" s="4">
        <f>'תקציב רשות החופים 2021 '!W10</f>
        <v>0</v>
      </c>
      <c r="X10" s="4">
        <f>'תקציב רשות החופים 2021 '!X10</f>
        <v>0</v>
      </c>
      <c r="Y10" s="4">
        <f>'תקציב רשות החופים 2021 '!Y10</f>
        <v>0</v>
      </c>
      <c r="Z10" s="4">
        <f>'תקציב רשות החופים 2021 '!Z10</f>
        <v>0</v>
      </c>
      <c r="AA10" s="4">
        <f>'תקציב רשות החופים 2021 '!AA10</f>
        <v>0</v>
      </c>
      <c r="AB10" s="280" t="str">
        <f>'תקציב רשות החופים 2021 '!AB10</f>
        <v xml:space="preserve">מימון מ. הפנים.בניית התחנה טרם הסתיימה. </v>
      </c>
      <c r="AC10" s="3">
        <f>'תקציב רשות החופים 2021 '!AC10</f>
        <v>747000</v>
      </c>
      <c r="AD10" s="30"/>
      <c r="AE10" s="24"/>
      <c r="AF10" s="24"/>
      <c r="AG10" s="24"/>
      <c r="AH10" s="22"/>
      <c r="AI10" s="23"/>
      <c r="AJ10" s="23"/>
      <c r="AK10" s="23"/>
      <c r="AL10" s="23"/>
    </row>
    <row r="11" spans="1:38" s="5" customFormat="1" ht="28">
      <c r="A11" s="3">
        <f t="shared" si="0"/>
        <v>7</v>
      </c>
      <c r="B11" s="3">
        <f>'תקציב רשות החופים 2021 '!B11</f>
        <v>2048</v>
      </c>
      <c r="C11" s="280" t="str">
        <f>'תקציב רשות החופים 2021 '!C11</f>
        <v>משקפות למצילים 2017</v>
      </c>
      <c r="D11" s="4">
        <f>'תקציב רשות החופים 2021 '!D11</f>
        <v>45000</v>
      </c>
      <c r="E11" s="3">
        <f>'תקציב רשות החופים 2021 '!E11</f>
        <v>45000</v>
      </c>
      <c r="F11" s="3">
        <f>'תקציב רשות החופים 2021 '!F11</f>
        <v>0</v>
      </c>
      <c r="G11" s="3">
        <f>'תקציב רשות החופים 2021 '!G11</f>
        <v>45000</v>
      </c>
      <c r="H11" s="3">
        <f>'תקציב רשות החופים 2021 '!H11</f>
        <v>45000</v>
      </c>
      <c r="I11" s="3">
        <f>'תקציב רשות החופים 2021 '!I11</f>
        <v>0</v>
      </c>
      <c r="J11" s="3">
        <f>'תקציב רשות החופים 2021 '!J11</f>
        <v>0</v>
      </c>
      <c r="K11" s="3">
        <f>'תקציב רשות החופים 2021 '!K11</f>
        <v>0</v>
      </c>
      <c r="L11" s="4">
        <f>'תקציב רשות החופים 2021 '!L11</f>
        <v>45000</v>
      </c>
      <c r="M11" s="4">
        <f>'תקציב רשות החופים 2021 '!M11</f>
        <v>0</v>
      </c>
      <c r="N11" s="4">
        <f>'תקציב רשות החופים 2021 '!N11</f>
        <v>0</v>
      </c>
      <c r="O11" s="4">
        <f>'תקציב רשות החופים 2021 '!O11</f>
        <v>0</v>
      </c>
      <c r="P11" s="4">
        <f>'תקציב רשות החופים 2021 '!P11</f>
        <v>0</v>
      </c>
      <c r="Q11" s="4">
        <f>'תקציב רשות החופים 2021 '!Q11</f>
        <v>0</v>
      </c>
      <c r="R11" s="4">
        <f>'תקציב רשות החופים 2021 '!R11</f>
        <v>0</v>
      </c>
      <c r="S11" s="4">
        <f>'תקציב רשות החופים 2021 '!S11</f>
        <v>0</v>
      </c>
      <c r="T11" s="4">
        <f>'תקציב רשות החופים 2021 '!T11</f>
        <v>0</v>
      </c>
      <c r="U11" s="4">
        <f>'תקציב רשות החופים 2021 '!U11</f>
        <v>0</v>
      </c>
      <c r="V11" s="4">
        <f>'תקציב רשות החופים 2021 '!V11</f>
        <v>0</v>
      </c>
      <c r="W11" s="4">
        <f>'תקציב רשות החופים 2021 '!W11</f>
        <v>0</v>
      </c>
      <c r="X11" s="4">
        <f>'תקציב רשות החופים 2021 '!X11</f>
        <v>0</v>
      </c>
      <c r="Y11" s="4">
        <f>'תקציב רשות החופים 2021 '!Y11</f>
        <v>0</v>
      </c>
      <c r="Z11" s="4">
        <f>'תקציב רשות החופים 2021 '!Z11</f>
        <v>0</v>
      </c>
      <c r="AA11" s="4">
        <f>'תקציב רשות החופים 2021 '!AA11</f>
        <v>0</v>
      </c>
      <c r="AB11" s="280" t="str">
        <f>'תקציב רשות החופים 2021 '!AB11</f>
        <v>מימון מ. הפנים. ממתין לתקבול סופי.</v>
      </c>
      <c r="AC11" s="3">
        <f>'תקציב רשות החופים 2021 '!AC11</f>
        <v>747000</v>
      </c>
      <c r="AD11" s="30"/>
      <c r="AE11" s="24"/>
      <c r="AF11" s="24"/>
      <c r="AG11" s="24"/>
      <c r="AH11" s="22"/>
      <c r="AI11" s="23"/>
      <c r="AJ11" s="23"/>
      <c r="AK11" s="23"/>
      <c r="AL11" s="23"/>
    </row>
    <row r="12" spans="1:38" s="5" customFormat="1" ht="28">
      <c r="A12" s="3">
        <f t="shared" si="0"/>
        <v>8</v>
      </c>
      <c r="B12" s="3">
        <f>'תקציב רשות החופים 2021 '!B12</f>
        <v>2084</v>
      </c>
      <c r="C12" s="280" t="str">
        <f>'תקציב רשות החופים 2021 '!C12</f>
        <v>מיול לפיקוח והצלה 2018</v>
      </c>
      <c r="D12" s="4">
        <f>'תקציב רשות החופים 2021 '!D12</f>
        <v>85000</v>
      </c>
      <c r="E12" s="3">
        <f>'תקציב רשות החופים 2021 '!E12</f>
        <v>85000</v>
      </c>
      <c r="F12" s="3">
        <f>'תקציב רשות החופים 2021 '!F12</f>
        <v>0</v>
      </c>
      <c r="G12" s="3">
        <f>'תקציב רשות החופים 2021 '!G12</f>
        <v>85000</v>
      </c>
      <c r="H12" s="3">
        <f>'תקציב רשות החופים 2021 '!H12</f>
        <v>85000</v>
      </c>
      <c r="I12" s="3">
        <f>'תקציב רשות החופים 2021 '!I12</f>
        <v>0</v>
      </c>
      <c r="J12" s="3">
        <f>'תקציב רשות החופים 2021 '!J12</f>
        <v>0</v>
      </c>
      <c r="K12" s="3">
        <f>'תקציב רשות החופים 2021 '!K12</f>
        <v>0</v>
      </c>
      <c r="L12" s="4">
        <f>'תקציב רשות החופים 2021 '!L12</f>
        <v>85000</v>
      </c>
      <c r="M12" s="4">
        <f>'תקציב רשות החופים 2021 '!M12</f>
        <v>0</v>
      </c>
      <c r="N12" s="4">
        <f>'תקציב רשות החופים 2021 '!N12</f>
        <v>0</v>
      </c>
      <c r="O12" s="4">
        <f>'תקציב רשות החופים 2021 '!O12</f>
        <v>0</v>
      </c>
      <c r="P12" s="4">
        <f>'תקציב רשות החופים 2021 '!P12</f>
        <v>0</v>
      </c>
      <c r="Q12" s="4">
        <f>'תקציב רשות החופים 2021 '!Q12</f>
        <v>0</v>
      </c>
      <c r="R12" s="4">
        <f>'תקציב רשות החופים 2021 '!R12</f>
        <v>0</v>
      </c>
      <c r="S12" s="4">
        <f>'תקציב רשות החופים 2021 '!S12</f>
        <v>0</v>
      </c>
      <c r="T12" s="4">
        <f>'תקציב רשות החופים 2021 '!T12</f>
        <v>0</v>
      </c>
      <c r="U12" s="4">
        <f>'תקציב רשות החופים 2021 '!U12</f>
        <v>0</v>
      </c>
      <c r="V12" s="4">
        <f>'תקציב רשות החופים 2021 '!V12</f>
        <v>0</v>
      </c>
      <c r="W12" s="4">
        <f>'תקציב רשות החופים 2021 '!W12</f>
        <v>0</v>
      </c>
      <c r="X12" s="4">
        <f>'תקציב רשות החופים 2021 '!X12</f>
        <v>0</v>
      </c>
      <c r="Y12" s="4">
        <f>'תקציב רשות החופים 2021 '!Y12</f>
        <v>0</v>
      </c>
      <c r="Z12" s="4">
        <f>'תקציב רשות החופים 2021 '!Z12</f>
        <v>0</v>
      </c>
      <c r="AA12" s="4">
        <f>'תקציב רשות החופים 2021 '!AA12</f>
        <v>0</v>
      </c>
      <c r="AB12" s="280" t="str">
        <f>'תקציב רשות החופים 2021 '!AB12</f>
        <v>מימון מ. הפנים. ממתין לתקבול סופי.</v>
      </c>
      <c r="AC12" s="3">
        <f>'תקציב רשות החופים 2021 '!AC12</f>
        <v>747000</v>
      </c>
      <c r="AD12" s="24"/>
      <c r="AE12" s="24"/>
      <c r="AF12" s="24"/>
      <c r="AG12" s="24"/>
      <c r="AH12" s="22"/>
      <c r="AI12" s="22"/>
      <c r="AJ12" s="23"/>
      <c r="AK12" s="23"/>
      <c r="AL12" s="23"/>
    </row>
    <row r="13" spans="1:38" s="5" customFormat="1" ht="20" customHeight="1">
      <c r="A13" s="3">
        <f t="shared" si="0"/>
        <v>9</v>
      </c>
      <c r="B13" s="3">
        <f>'תקציב רשות החופים 2021 '!B13</f>
        <v>2085</v>
      </c>
      <c r="C13" s="280" t="str">
        <f>'תקציב רשות החופים 2021 '!C13</f>
        <v>אופנוע ים כולל זיווד 2018</v>
      </c>
      <c r="D13" s="4">
        <f>'תקציב רשות החופים 2021 '!D13</f>
        <v>85000</v>
      </c>
      <c r="E13" s="3">
        <f>'תקציב רשות החופים 2021 '!E13</f>
        <v>85000</v>
      </c>
      <c r="F13" s="3">
        <f>'תקציב רשות החופים 2021 '!F13</f>
        <v>0</v>
      </c>
      <c r="G13" s="3">
        <f>'תקציב רשות החופים 2021 '!G13</f>
        <v>85000</v>
      </c>
      <c r="H13" s="3">
        <f>'תקציב רשות החופים 2021 '!H13</f>
        <v>73851</v>
      </c>
      <c r="I13" s="3">
        <f>'תקציב רשות החופים 2021 '!I13</f>
        <v>0</v>
      </c>
      <c r="J13" s="3">
        <f>'תקציב רשות החופים 2021 '!J13</f>
        <v>0</v>
      </c>
      <c r="K13" s="3">
        <f>'תקציב רשות החופים 2021 '!K13</f>
        <v>0</v>
      </c>
      <c r="L13" s="4">
        <f>'תקציב רשות החופים 2021 '!L13</f>
        <v>73851</v>
      </c>
      <c r="M13" s="4">
        <f>'תקציב רשות החופים 2021 '!M13</f>
        <v>11149</v>
      </c>
      <c r="N13" s="4">
        <f>'תקציב רשות החופים 2021 '!N13</f>
        <v>0</v>
      </c>
      <c r="O13" s="4">
        <f>'תקציב רשות החופים 2021 '!O13</f>
        <v>0</v>
      </c>
      <c r="P13" s="4">
        <f>'תקציב רשות החופים 2021 '!P13</f>
        <v>11149</v>
      </c>
      <c r="Q13" s="4">
        <f>'תקציב רשות החופים 2021 '!Q13</f>
        <v>0</v>
      </c>
      <c r="R13" s="4">
        <f>'תקציב רשות החופים 2021 '!R13</f>
        <v>0</v>
      </c>
      <c r="S13" s="4">
        <f>'תקציב רשות החופים 2021 '!S13</f>
        <v>0</v>
      </c>
      <c r="T13" s="4">
        <f>'תקציב רשות החופים 2021 '!T13</f>
        <v>0</v>
      </c>
      <c r="U13" s="4">
        <f>'תקציב רשות החופים 2021 '!U13</f>
        <v>0</v>
      </c>
      <c r="V13" s="4">
        <f>'תקציב רשות החופים 2021 '!V13</f>
        <v>0</v>
      </c>
      <c r="W13" s="4">
        <f>'תקציב רשות החופים 2021 '!W13</f>
        <v>0</v>
      </c>
      <c r="X13" s="4">
        <f>'תקציב רשות החופים 2021 '!X13</f>
        <v>0</v>
      </c>
      <c r="Y13" s="4">
        <f>'תקציב רשות החופים 2021 '!Y13</f>
        <v>0</v>
      </c>
      <c r="Z13" s="4">
        <f>'תקציב רשות החופים 2021 '!Z13</f>
        <v>0</v>
      </c>
      <c r="AA13" s="4">
        <f>'תקציב רשות החופים 2021 '!AA13</f>
        <v>0</v>
      </c>
      <c r="AB13" s="280" t="str">
        <f>'תקציב רשות החופים 2021 '!AB13</f>
        <v xml:space="preserve">מימון מ. הפנים. </v>
      </c>
      <c r="AC13" s="3">
        <f>'תקציב רשות החופים 2021 '!AC13</f>
        <v>747000</v>
      </c>
      <c r="AD13" s="24"/>
      <c r="AE13" s="24"/>
      <c r="AF13" s="24"/>
      <c r="AG13" s="24"/>
      <c r="AH13" s="22"/>
      <c r="AI13" s="22"/>
      <c r="AJ13" s="23"/>
      <c r="AK13" s="23"/>
      <c r="AL13" s="23"/>
    </row>
    <row r="14" spans="1:38" s="5" customFormat="1" ht="35.15" customHeight="1">
      <c r="A14" s="3">
        <f t="shared" si="0"/>
        <v>10</v>
      </c>
      <c r="B14" s="3">
        <f>'תקציב רשות החופים 2021 '!B14</f>
        <v>2125</v>
      </c>
      <c r="C14" s="280" t="str">
        <f>'תקציב רשות החופים 2021 '!C14</f>
        <v>ציוד הצלה ובטיחות 2018</v>
      </c>
      <c r="D14" s="4">
        <f>'תקציב רשות החופים 2021 '!D14</f>
        <v>146923</v>
      </c>
      <c r="E14" s="3">
        <f>'תקציב רשות החופים 2021 '!E14</f>
        <v>146923</v>
      </c>
      <c r="F14" s="3">
        <f>'תקציב רשות החופים 2021 '!F14</f>
        <v>0</v>
      </c>
      <c r="G14" s="3">
        <f>'תקציב רשות החופים 2021 '!G14</f>
        <v>146923</v>
      </c>
      <c r="H14" s="3">
        <f>'תקציב רשות החופים 2021 '!H14</f>
        <v>68754</v>
      </c>
      <c r="I14" s="3">
        <f>'תקציב רשות החופים 2021 '!I14</f>
        <v>0</v>
      </c>
      <c r="J14" s="3">
        <f>'תקציב רשות החופים 2021 '!J14</f>
        <v>0</v>
      </c>
      <c r="K14" s="3">
        <f>'תקציב רשות החופים 2021 '!K14</f>
        <v>0</v>
      </c>
      <c r="L14" s="4">
        <f>'תקציב רשות החופים 2021 '!L14</f>
        <v>68754</v>
      </c>
      <c r="M14" s="4">
        <f>'תקציב רשות החופים 2021 '!M14</f>
        <v>78169</v>
      </c>
      <c r="N14" s="4">
        <f>'תקציב רשות החופים 2021 '!N14</f>
        <v>0</v>
      </c>
      <c r="O14" s="4">
        <f>'תקציב רשות החופים 2021 '!O14</f>
        <v>0</v>
      </c>
      <c r="P14" s="4">
        <f>'תקציב רשות החופים 2021 '!P14</f>
        <v>78169</v>
      </c>
      <c r="Q14" s="4">
        <f>'תקציב רשות החופים 2021 '!Q14</f>
        <v>0</v>
      </c>
      <c r="R14" s="4">
        <f>'תקציב רשות החופים 2021 '!R14</f>
        <v>0</v>
      </c>
      <c r="S14" s="4">
        <f>'תקציב רשות החופים 2021 '!S14</f>
        <v>0</v>
      </c>
      <c r="T14" s="4">
        <f>'תקציב רשות החופים 2021 '!T14</f>
        <v>0</v>
      </c>
      <c r="U14" s="4">
        <f>'תקציב רשות החופים 2021 '!U14</f>
        <v>0</v>
      </c>
      <c r="V14" s="4">
        <f>'תקציב רשות החופים 2021 '!V14</f>
        <v>0</v>
      </c>
      <c r="W14" s="4">
        <f>'תקציב רשות החופים 2021 '!W14</f>
        <v>0</v>
      </c>
      <c r="X14" s="4">
        <f>'תקציב רשות החופים 2021 '!X14</f>
        <v>0</v>
      </c>
      <c r="Y14" s="4">
        <f>'תקציב רשות החופים 2021 '!Y14</f>
        <v>0</v>
      </c>
      <c r="Z14" s="4">
        <f>'תקציב רשות החופים 2021 '!Z14</f>
        <v>0</v>
      </c>
      <c r="AA14" s="4">
        <f>'תקציב רשות החופים 2021 '!AA14</f>
        <v>0</v>
      </c>
      <c r="AB14" s="280" t="str">
        <f>'תקציב רשות החופים 2021 '!AB14</f>
        <v>החלפה והוספת ציוד הצלה ובטיחות. מימון מ. הפנים.</v>
      </c>
      <c r="AC14" s="3">
        <f>'תקציב רשות החופים 2021 '!AC14</f>
        <v>747000</v>
      </c>
      <c r="AD14" s="24"/>
      <c r="AE14" s="24"/>
      <c r="AF14" s="24"/>
      <c r="AG14" s="24"/>
      <c r="AH14" s="22"/>
      <c r="AI14" s="22"/>
      <c r="AJ14" s="23"/>
      <c r="AK14" s="23"/>
      <c r="AL14" s="23"/>
    </row>
    <row r="15" spans="1:38" s="5" customFormat="1" ht="35.15" customHeight="1">
      <c r="A15" s="3">
        <f t="shared" si="0"/>
        <v>11</v>
      </c>
      <c r="B15" s="3">
        <f>'תקציב רשות החופים 2021 '!B15</f>
        <v>2136</v>
      </c>
      <c r="C15" s="280" t="str">
        <f>'תקציב רשות החופים 2021 '!C15</f>
        <v>שילוט חופים 2019</v>
      </c>
      <c r="D15" s="4">
        <f>'תקציב רשות החופים 2021 '!D15</f>
        <v>55226</v>
      </c>
      <c r="E15" s="3">
        <f>'תקציב רשות החופים 2021 '!E15</f>
        <v>55226</v>
      </c>
      <c r="F15" s="3">
        <f>'תקציב רשות החופים 2021 '!F15</f>
        <v>0</v>
      </c>
      <c r="G15" s="3">
        <f>'תקציב רשות החופים 2021 '!G15</f>
        <v>55226</v>
      </c>
      <c r="H15" s="3">
        <f>'תקציב רשות החופים 2021 '!H15</f>
        <v>55226</v>
      </c>
      <c r="I15" s="3">
        <f>'תקציב רשות החופים 2021 '!I15</f>
        <v>0</v>
      </c>
      <c r="J15" s="3">
        <f>'תקציב רשות החופים 2021 '!J15</f>
        <v>0</v>
      </c>
      <c r="K15" s="3">
        <f>'תקציב רשות החופים 2021 '!K15</f>
        <v>0</v>
      </c>
      <c r="L15" s="4">
        <f>'תקציב רשות החופים 2021 '!L15</f>
        <v>55226</v>
      </c>
      <c r="M15" s="4">
        <f>'תקציב רשות החופים 2021 '!M15</f>
        <v>0</v>
      </c>
      <c r="N15" s="4">
        <f>'תקציב רשות החופים 2021 '!N15</f>
        <v>0</v>
      </c>
      <c r="O15" s="4">
        <f>'תקציב רשות החופים 2021 '!O15</f>
        <v>0</v>
      </c>
      <c r="P15" s="4">
        <f>'תקציב רשות החופים 2021 '!P15</f>
        <v>0</v>
      </c>
      <c r="Q15" s="4">
        <f>'תקציב רשות החופים 2021 '!Q15</f>
        <v>0</v>
      </c>
      <c r="R15" s="4">
        <f>'תקציב רשות החופים 2021 '!R15</f>
        <v>0</v>
      </c>
      <c r="S15" s="4">
        <f>'תקציב רשות החופים 2021 '!S15</f>
        <v>0</v>
      </c>
      <c r="T15" s="4">
        <f>'תקציב רשות החופים 2021 '!T15</f>
        <v>0</v>
      </c>
      <c r="U15" s="4">
        <f>'תקציב רשות החופים 2021 '!U15</f>
        <v>0</v>
      </c>
      <c r="V15" s="4">
        <f>'תקציב רשות החופים 2021 '!V15</f>
        <v>0</v>
      </c>
      <c r="W15" s="4">
        <f>'תקציב רשות החופים 2021 '!W15</f>
        <v>0</v>
      </c>
      <c r="X15" s="4">
        <f>'תקציב רשות החופים 2021 '!X15</f>
        <v>0</v>
      </c>
      <c r="Y15" s="4">
        <f>'תקציב רשות החופים 2021 '!Y15</f>
        <v>0</v>
      </c>
      <c r="Z15" s="4">
        <f>'תקציב רשות החופים 2021 '!Z15</f>
        <v>0</v>
      </c>
      <c r="AA15" s="4">
        <f>'תקציב רשות החופים 2021 '!AA15</f>
        <v>0</v>
      </c>
      <c r="AB15" s="280" t="str">
        <f>'תקציב רשות החופים 2021 '!AB15</f>
        <v xml:space="preserve">רכישת אופנוע ים כולל זיווד. מימון מ. הפנים. </v>
      </c>
      <c r="AC15" s="3">
        <f>'תקציב רשות החופים 2021 '!AC15</f>
        <v>747000</v>
      </c>
      <c r="AD15" s="24"/>
      <c r="AE15" s="24"/>
      <c r="AF15" s="24"/>
      <c r="AG15" s="24"/>
      <c r="AH15" s="22"/>
      <c r="AI15" s="22"/>
      <c r="AJ15" s="23"/>
      <c r="AK15" s="23"/>
      <c r="AL15" s="23"/>
    </row>
    <row r="16" spans="1:38" s="5" customFormat="1" ht="35.15" customHeight="1">
      <c r="A16" s="3">
        <f t="shared" si="0"/>
        <v>12</v>
      </c>
      <c r="B16" s="3">
        <f>'תקציב רשות החופים 2021 '!B16</f>
        <v>2137</v>
      </c>
      <c r="C16" s="280" t="str">
        <f>'תקציב רשות החופים 2021 '!C16</f>
        <v>ציוד הצלה ובטיחות 2019</v>
      </c>
      <c r="D16" s="4">
        <f>'תקציב רשות החופים 2021 '!D16</f>
        <v>50000</v>
      </c>
      <c r="E16" s="3">
        <f>'תקציב רשות החופים 2021 '!E16</f>
        <v>50000</v>
      </c>
      <c r="F16" s="3">
        <f>'תקציב רשות החופים 2021 '!F16</f>
        <v>0</v>
      </c>
      <c r="G16" s="3">
        <f>'תקציב רשות החופים 2021 '!G16</f>
        <v>50000</v>
      </c>
      <c r="H16" s="3">
        <f>'תקציב רשות החופים 2021 '!H16</f>
        <v>0</v>
      </c>
      <c r="I16" s="3">
        <f>'תקציב רשות החופים 2021 '!I16</f>
        <v>0</v>
      </c>
      <c r="J16" s="3">
        <f>'תקציב רשות החופים 2021 '!J16</f>
        <v>0</v>
      </c>
      <c r="K16" s="3">
        <f>'תקציב רשות החופים 2021 '!K16</f>
        <v>0</v>
      </c>
      <c r="L16" s="4">
        <f>'תקציב רשות החופים 2021 '!L16</f>
        <v>0</v>
      </c>
      <c r="M16" s="4">
        <f>'תקציב רשות החופים 2021 '!M16</f>
        <v>50000</v>
      </c>
      <c r="N16" s="4">
        <f>'תקציב רשות החופים 2021 '!N16</f>
        <v>0</v>
      </c>
      <c r="O16" s="4">
        <f>'תקציב רשות החופים 2021 '!O16</f>
        <v>0</v>
      </c>
      <c r="P16" s="4">
        <f>'תקציב רשות החופים 2021 '!P16</f>
        <v>50000</v>
      </c>
      <c r="Q16" s="4">
        <f>'תקציב רשות החופים 2021 '!Q16</f>
        <v>0</v>
      </c>
      <c r="R16" s="4">
        <f>'תקציב רשות החופים 2021 '!R16</f>
        <v>0</v>
      </c>
      <c r="S16" s="4">
        <f>'תקציב רשות החופים 2021 '!S16</f>
        <v>0</v>
      </c>
      <c r="T16" s="4">
        <f>'תקציב רשות החופים 2021 '!T16</f>
        <v>0</v>
      </c>
      <c r="U16" s="4">
        <f>'תקציב רשות החופים 2021 '!U16</f>
        <v>0</v>
      </c>
      <c r="V16" s="4">
        <f>'תקציב רשות החופים 2021 '!V16</f>
        <v>0</v>
      </c>
      <c r="W16" s="4">
        <f>'תקציב רשות החופים 2021 '!W16</f>
        <v>0</v>
      </c>
      <c r="X16" s="4">
        <f>'תקציב רשות החופים 2021 '!X16</f>
        <v>0</v>
      </c>
      <c r="Y16" s="4">
        <f>'תקציב רשות החופים 2021 '!Y16</f>
        <v>0</v>
      </c>
      <c r="Z16" s="4">
        <f>'תקציב רשות החופים 2021 '!Z16</f>
        <v>0</v>
      </c>
      <c r="AA16" s="4">
        <f>'תקציב רשות החופים 2021 '!AA16</f>
        <v>0</v>
      </c>
      <c r="AB16" s="280" t="str">
        <f>'תקציב רשות החופים 2021 '!AB16</f>
        <v xml:space="preserve">החלפה והוספת ציוד הצלה ובטיחות. מימון מ. הפנים. </v>
      </c>
      <c r="AC16" s="3">
        <f>'תקציב רשות החופים 2021 '!AC16</f>
        <v>747000</v>
      </c>
      <c r="AD16" s="24"/>
      <c r="AE16" s="24"/>
      <c r="AF16" s="24"/>
      <c r="AG16" s="24"/>
      <c r="AH16" s="22"/>
      <c r="AI16" s="22"/>
      <c r="AJ16" s="23"/>
      <c r="AK16" s="23"/>
      <c r="AL16" s="23"/>
    </row>
    <row r="17" spans="1:38" s="5" customFormat="1" ht="35.15" customHeight="1">
      <c r="A17" s="3">
        <f t="shared" si="0"/>
        <v>13</v>
      </c>
      <c r="B17" s="3">
        <f>'תקציב רשות החופים 2021 '!B17</f>
        <v>2138</v>
      </c>
      <c r="C17" s="280" t="str">
        <f>'תקציב רשות החופים 2021 '!C17</f>
        <v>אופנוע ים 2019</v>
      </c>
      <c r="D17" s="4">
        <f>'תקציב רשות החופים 2021 '!D17</f>
        <v>80000</v>
      </c>
      <c r="E17" s="3">
        <f>'תקציב רשות החופים 2021 '!E17</f>
        <v>80000</v>
      </c>
      <c r="F17" s="3">
        <f>'תקציב רשות החופים 2021 '!F17</f>
        <v>0</v>
      </c>
      <c r="G17" s="3">
        <f>'תקציב רשות החופים 2021 '!G17</f>
        <v>80000</v>
      </c>
      <c r="H17" s="3">
        <f>'תקציב רשות החופים 2021 '!H17</f>
        <v>0</v>
      </c>
      <c r="I17" s="3">
        <f>'תקציב רשות החופים 2021 '!I17</f>
        <v>0</v>
      </c>
      <c r="J17" s="3">
        <f>'תקציב רשות החופים 2021 '!J17</f>
        <v>0</v>
      </c>
      <c r="K17" s="3">
        <f>'תקציב רשות החופים 2021 '!K17</f>
        <v>0</v>
      </c>
      <c r="L17" s="4">
        <f>'תקציב רשות החופים 2021 '!L17</f>
        <v>0</v>
      </c>
      <c r="M17" s="4">
        <f>'תקציב רשות החופים 2021 '!M17</f>
        <v>80000</v>
      </c>
      <c r="N17" s="4">
        <f>'תקציב רשות החופים 2021 '!N17</f>
        <v>0</v>
      </c>
      <c r="O17" s="4">
        <f>'תקציב רשות החופים 2021 '!O17</f>
        <v>0</v>
      </c>
      <c r="P17" s="4">
        <f>'תקציב רשות החופים 2021 '!P17</f>
        <v>80000</v>
      </c>
      <c r="Q17" s="4">
        <f>'תקציב רשות החופים 2021 '!Q17</f>
        <v>0</v>
      </c>
      <c r="R17" s="4">
        <f>'תקציב רשות החופים 2021 '!R17</f>
        <v>0</v>
      </c>
      <c r="S17" s="4">
        <f>'תקציב רשות החופים 2021 '!S17</f>
        <v>0</v>
      </c>
      <c r="T17" s="4">
        <f>'תקציב רשות החופים 2021 '!T17</f>
        <v>0</v>
      </c>
      <c r="U17" s="4">
        <f>'תקציב רשות החופים 2021 '!U17</f>
        <v>0</v>
      </c>
      <c r="V17" s="4">
        <f>'תקציב רשות החופים 2021 '!V17</f>
        <v>0</v>
      </c>
      <c r="W17" s="4">
        <f>'תקציב רשות החופים 2021 '!W17</f>
        <v>0</v>
      </c>
      <c r="X17" s="4">
        <f>'תקציב רשות החופים 2021 '!X17</f>
        <v>0</v>
      </c>
      <c r="Y17" s="4">
        <f>'תקציב רשות החופים 2021 '!Y17</f>
        <v>0</v>
      </c>
      <c r="Z17" s="4">
        <f>'תקציב רשות החופים 2021 '!Z17</f>
        <v>0</v>
      </c>
      <c r="AA17" s="4">
        <f>'תקציב רשות החופים 2021 '!AA17</f>
        <v>0</v>
      </c>
      <c r="AB17" s="280" t="str">
        <f>'תקציב רשות החופים 2021 '!AB17</f>
        <v xml:space="preserve">החלפה והוספת ציוד הצלה ובטיחות. מימון מ. הפנים. </v>
      </c>
      <c r="AC17" s="3">
        <f>'תקציב רשות החופים 2021 '!AC17</f>
        <v>747000</v>
      </c>
      <c r="AD17" s="24"/>
      <c r="AE17" s="24"/>
      <c r="AF17" s="24"/>
      <c r="AG17" s="24"/>
      <c r="AH17" s="22"/>
      <c r="AI17" s="22"/>
      <c r="AJ17" s="23"/>
      <c r="AK17" s="23"/>
      <c r="AL17" s="23"/>
    </row>
    <row r="18" spans="1:38" s="5" customFormat="1" ht="30" customHeight="1">
      <c r="A18" s="3">
        <f t="shared" si="0"/>
        <v>14</v>
      </c>
      <c r="B18" s="3">
        <f>'תקציב רשות החופים 2021 '!B18</f>
        <v>2221</v>
      </c>
      <c r="C18" s="280" t="str">
        <f>'תקציב רשות החופים 2021 '!C18</f>
        <v>ציוד הצלה ובטיחות 2020</v>
      </c>
      <c r="D18" s="4">
        <f>'תקציב רשות החופים 2021 '!D18</f>
        <v>91304</v>
      </c>
      <c r="E18" s="3">
        <f>'תקציב רשות החופים 2021 '!E18</f>
        <v>0</v>
      </c>
      <c r="F18" s="3">
        <f>'תקציב רשות החופים 2021 '!F18</f>
        <v>91304</v>
      </c>
      <c r="G18" s="3">
        <f>'תקציב רשות החופים 2021 '!G18</f>
        <v>0</v>
      </c>
      <c r="H18" s="3">
        <f>'תקציב רשות החופים 2021 '!H18</f>
        <v>0</v>
      </c>
      <c r="I18" s="3">
        <f>'תקציב רשות החופים 2021 '!I18</f>
        <v>0</v>
      </c>
      <c r="J18" s="3">
        <f>'תקציב רשות החופים 2021 '!J18</f>
        <v>0</v>
      </c>
      <c r="K18" s="3">
        <f>'תקציב רשות החופים 2021 '!K18</f>
        <v>0</v>
      </c>
      <c r="L18" s="4">
        <f>'תקציב רשות החופים 2021 '!L18</f>
        <v>0</v>
      </c>
      <c r="M18" s="4">
        <f>'תקציב רשות החופים 2021 '!M18</f>
        <v>0</v>
      </c>
      <c r="N18" s="4">
        <f>'תקציב רשות החופים 2021 '!N18</f>
        <v>91304</v>
      </c>
      <c r="O18" s="4">
        <f>'תקציב רשות החופים 2021 '!O18</f>
        <v>0</v>
      </c>
      <c r="P18" s="4">
        <f>'תקציב רשות החופים 2021 '!P18</f>
        <v>0</v>
      </c>
      <c r="Q18" s="4">
        <f>'תקציב רשות החופים 2021 '!Q18</f>
        <v>0</v>
      </c>
      <c r="R18" s="4">
        <f>'תקציב רשות החופים 2021 '!R18</f>
        <v>0</v>
      </c>
      <c r="S18" s="4">
        <f>'תקציב רשות החופים 2021 '!S18</f>
        <v>0</v>
      </c>
      <c r="T18" s="4">
        <f>'תקציב רשות החופים 2021 '!T18</f>
        <v>0</v>
      </c>
      <c r="U18" s="4">
        <f>'תקציב רשות החופים 2021 '!U18</f>
        <v>91304</v>
      </c>
      <c r="V18" s="4">
        <f>'תקציב רשות החופים 2021 '!V18</f>
        <v>0</v>
      </c>
      <c r="W18" s="4">
        <f>'תקציב רשות החופים 2021 '!W18</f>
        <v>0</v>
      </c>
      <c r="X18" s="4">
        <f>'תקציב רשות החופים 2021 '!X18</f>
        <v>0</v>
      </c>
      <c r="Y18" s="4">
        <f>'תקציב רשות החופים 2021 '!Y18</f>
        <v>0</v>
      </c>
      <c r="Z18" s="4">
        <f>'תקציב רשות החופים 2021 '!Z18</f>
        <v>0</v>
      </c>
      <c r="AA18" s="4">
        <f>'תקציב רשות החופים 2021 '!AA18</f>
        <v>91304</v>
      </c>
      <c r="AB18" s="280" t="str">
        <f>'תקציב רשות החופים 2021 '!AB18</f>
        <v>מימון מ. הפנים.</v>
      </c>
      <c r="AC18" s="3">
        <f>'תקציב רשות החופים 2021 '!AC18</f>
        <v>747000</v>
      </c>
      <c r="AD18" s="6"/>
    </row>
    <row r="19" spans="1:38" s="426" customFormat="1" ht="30" customHeight="1">
      <c r="A19" s="346">
        <f>A18</f>
        <v>14</v>
      </c>
      <c r="B19" s="346"/>
      <c r="C19" s="33" t="s">
        <v>1479</v>
      </c>
      <c r="D19" s="425">
        <f>SUM(D5:D18)</f>
        <v>8677424</v>
      </c>
      <c r="E19" s="425">
        <f t="shared" ref="E19:AA19" si="1">SUM(E5:E18)</f>
        <v>6436120</v>
      </c>
      <c r="F19" s="425">
        <f t="shared" si="1"/>
        <v>2241304</v>
      </c>
      <c r="G19" s="425">
        <f t="shared" si="1"/>
        <v>6301149</v>
      </c>
      <c r="H19" s="425">
        <f t="shared" si="1"/>
        <v>5236930</v>
      </c>
      <c r="I19" s="425">
        <f t="shared" si="1"/>
        <v>484961</v>
      </c>
      <c r="J19" s="425">
        <f t="shared" si="1"/>
        <v>194526</v>
      </c>
      <c r="K19" s="425">
        <f t="shared" si="1"/>
        <v>679487</v>
      </c>
      <c r="L19" s="425">
        <f t="shared" si="1"/>
        <v>5916417</v>
      </c>
      <c r="M19" s="425">
        <f t="shared" si="1"/>
        <v>369703</v>
      </c>
      <c r="N19" s="425">
        <f t="shared" si="1"/>
        <v>1791304</v>
      </c>
      <c r="O19" s="425">
        <f t="shared" si="1"/>
        <v>600000</v>
      </c>
      <c r="P19" s="425">
        <f t="shared" si="1"/>
        <v>384732</v>
      </c>
      <c r="Q19" s="425">
        <f t="shared" si="1"/>
        <v>0</v>
      </c>
      <c r="R19" s="425">
        <f t="shared" si="1"/>
        <v>0</v>
      </c>
      <c r="S19" s="425">
        <f t="shared" si="1"/>
        <v>0</v>
      </c>
      <c r="T19" s="425">
        <f t="shared" si="1"/>
        <v>15029</v>
      </c>
      <c r="U19" s="425">
        <f t="shared" si="1"/>
        <v>1776275</v>
      </c>
      <c r="V19" s="425">
        <f t="shared" si="1"/>
        <v>0</v>
      </c>
      <c r="W19" s="425">
        <f t="shared" si="1"/>
        <v>1700000</v>
      </c>
      <c r="X19" s="425">
        <f t="shared" si="1"/>
        <v>0</v>
      </c>
      <c r="Y19" s="425">
        <f t="shared" si="1"/>
        <v>0</v>
      </c>
      <c r="Z19" s="425">
        <f t="shared" si="1"/>
        <v>0</v>
      </c>
      <c r="AA19" s="425">
        <f t="shared" si="1"/>
        <v>76275</v>
      </c>
      <c r="AB19" s="425"/>
      <c r="AC19" s="346"/>
    </row>
    <row r="20" spans="1:38" hidden="1">
      <c r="L20" s="14">
        <f>K19+H19</f>
        <v>5916417</v>
      </c>
      <c r="M20" s="14">
        <f>P20+S19-T19</f>
        <v>369703</v>
      </c>
      <c r="P20" s="14">
        <f>G19-L20</f>
        <v>384732</v>
      </c>
    </row>
    <row r="21" spans="1:38">
      <c r="A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38">
      <c r="A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38">
      <c r="A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 s="12"/>
      <c r="T23" s="12"/>
    </row>
  </sheetData>
  <sheetProtection formatCells="0" formatColumns="0" formatRows="0" insertColumns="0" insertRows="0" insertHyperlinks="0" deleteColumns="0" deleteRows="0" sort="0" autoFilter="0" pivotTables="0"/>
  <conditionalFormatting sqref="AB4 AD18:AD19">
    <cfRule type="cellIs" dxfId="21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325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20.5">
      <c r="A5" s="232"/>
      <c r="C5" s="234"/>
      <c r="D5" s="232"/>
      <c r="E5" s="232"/>
      <c r="F5" s="232"/>
      <c r="G5" s="232"/>
      <c r="H5" s="232"/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G6" s="232"/>
      <c r="H6" s="232"/>
      <c r="I6" s="232"/>
      <c r="J6" s="232"/>
      <c r="K6" s="232"/>
      <c r="L6" s="232"/>
    </row>
    <row r="7" spans="1:17" ht="16" thickBot="1">
      <c r="A7" s="232"/>
      <c r="B7" s="235" t="s">
        <v>187</v>
      </c>
      <c r="C7" s="232" t="s">
        <v>1182</v>
      </c>
      <c r="D7" s="232"/>
      <c r="E7" s="232"/>
      <c r="F7" s="236">
        <f>'תקציב החברה לתירות 2021 '!U11</f>
        <v>1000000</v>
      </c>
      <c r="I7" s="232"/>
      <c r="J7" s="232"/>
      <c r="K7" s="232"/>
      <c r="L7" s="232"/>
    </row>
    <row r="8" spans="1:17" ht="21" thickBot="1">
      <c r="A8" s="232"/>
      <c r="C8" s="234"/>
      <c r="D8" s="232"/>
      <c r="E8" s="232"/>
      <c r="F8" s="232"/>
      <c r="H8" s="232"/>
      <c r="I8" s="232"/>
      <c r="J8" s="232"/>
      <c r="K8" s="232"/>
      <c r="L8" s="232"/>
    </row>
    <row r="9" spans="1:17" ht="16" thickBot="1">
      <c r="B9" s="235" t="s">
        <v>187</v>
      </c>
      <c r="C9" s="232" t="s">
        <v>336</v>
      </c>
      <c r="D9" s="232"/>
      <c r="F9" s="244">
        <f>'תקציב החברה לתירות 2021 '!A11</f>
        <v>6</v>
      </c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B10" s="235"/>
      <c r="C10" s="232"/>
      <c r="D10" s="232"/>
      <c r="F10" s="238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B11" s="235"/>
      <c r="C11" s="232"/>
      <c r="D11" s="232"/>
      <c r="F11" s="238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B12" s="235" t="s">
        <v>187</v>
      </c>
      <c r="C12" s="232" t="s">
        <v>310</v>
      </c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7" ht="16" thickBot="1"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D14" s="245" t="s">
        <v>311</v>
      </c>
      <c r="E14" s="246" t="s">
        <v>312</v>
      </c>
      <c r="F14" s="247" t="s">
        <v>314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13</v>
      </c>
      <c r="E15" s="248">
        <f>'תקציב החברה לתירות 2021 '!V11</f>
        <v>771068</v>
      </c>
      <c r="F15" s="256">
        <f>E15/$E$17</f>
        <v>0.77106799999999998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C16" s="235"/>
      <c r="D16" s="239" t="s">
        <v>91</v>
      </c>
      <c r="E16" s="248">
        <f>'תקציב החברה לתירות 2021 '!AA11</f>
        <v>228932</v>
      </c>
      <c r="F16" s="256">
        <f>E16/$E$17</f>
        <v>0.228932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ht="16" thickBot="1">
      <c r="C17" s="235"/>
      <c r="D17" s="242" t="s">
        <v>105</v>
      </c>
      <c r="E17" s="250">
        <f>SUM(E15:E16)</f>
        <v>1000000</v>
      </c>
      <c r="F17" s="148">
        <f>SUM(F15:F16)</f>
        <v>1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ht="15.5">
      <c r="C18" s="235"/>
      <c r="D18" s="238"/>
      <c r="E18" s="259"/>
      <c r="F18" s="26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ht="15.5">
      <c r="C19" s="235"/>
      <c r="D19" s="238"/>
      <c r="E19" s="259"/>
      <c r="F19" s="26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ht="15.5">
      <c r="B20" s="23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ht="15.5">
      <c r="B21" s="235" t="s">
        <v>187</v>
      </c>
      <c r="C21" s="232" t="s">
        <v>1178</v>
      </c>
      <c r="D21" s="232"/>
      <c r="F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ht="15.5">
      <c r="C22" s="232"/>
      <c r="D22" s="232" t="s">
        <v>1502</v>
      </c>
      <c r="E22" s="232"/>
      <c r="F22" s="232"/>
      <c r="H22" s="232"/>
      <c r="I22" s="232"/>
      <c r="J22" s="232"/>
      <c r="K22" s="232"/>
      <c r="L22" s="232"/>
    </row>
    <row r="23" spans="2:17" ht="15.5">
      <c r="B23" s="235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3"/>
  <sheetViews>
    <sheetView showZeros="0" rightToLeft="1" topLeftCell="A10" workbookViewId="0">
      <selection activeCell="U40" sqref="U40"/>
    </sheetView>
  </sheetViews>
  <sheetFormatPr defaultColWidth="9.08984375" defaultRowHeight="14"/>
  <cols>
    <col min="1" max="3" width="4.08984375" style="96" customWidth="1"/>
    <col min="4" max="4" width="33" style="96" customWidth="1"/>
    <col min="5" max="9" width="12.08984375" style="96" customWidth="1"/>
    <col min="10" max="10" width="7.90625" style="96" customWidth="1"/>
    <col min="11" max="16384" width="9.08984375" style="96"/>
  </cols>
  <sheetData>
    <row r="3" spans="1:17" ht="20.5">
      <c r="E3" s="97"/>
    </row>
    <row r="4" spans="1:17" s="108" customFormat="1" ht="18">
      <c r="A4" s="106" t="s">
        <v>240</v>
      </c>
      <c r="C4" s="107" t="s">
        <v>1240</v>
      </c>
    </row>
    <row r="5" spans="1:17" ht="15.5">
      <c r="A5" s="98"/>
      <c r="C5" s="99"/>
      <c r="G5" s="99" t="s">
        <v>227</v>
      </c>
    </row>
    <row r="6" spans="1:17" ht="16" thickBot="1">
      <c r="A6" s="98"/>
      <c r="C6" s="99"/>
    </row>
    <row r="7" spans="1:17" ht="16" thickBot="1">
      <c r="A7" s="98">
        <v>3.1</v>
      </c>
      <c r="C7" s="98" t="s">
        <v>239</v>
      </c>
      <c r="D7" s="98"/>
      <c r="E7" s="98"/>
      <c r="F7" s="98"/>
      <c r="G7" s="118">
        <f>מבוא!E27</f>
        <v>455886.071</v>
      </c>
    </row>
    <row r="8" spans="1:17" ht="16" thickBot="1">
      <c r="A8" s="98"/>
      <c r="C8" s="98"/>
      <c r="D8" s="98"/>
      <c r="E8" s="98"/>
      <c r="F8" s="98"/>
      <c r="G8" s="103"/>
    </row>
    <row r="9" spans="1:17" ht="16" thickBot="1">
      <c r="A9" s="98"/>
      <c r="C9" s="98" t="s">
        <v>1242</v>
      </c>
      <c r="D9" s="98"/>
      <c r="E9" s="98"/>
      <c r="F9" s="98"/>
      <c r="G9" s="118">
        <f>מבוא!E29</f>
        <v>533765.64300000004</v>
      </c>
      <c r="I9" s="98"/>
      <c r="J9" s="98"/>
      <c r="K9" s="98"/>
      <c r="L9" s="98"/>
    </row>
    <row r="10" spans="1:17" ht="16" thickBot="1">
      <c r="A10" s="98"/>
      <c r="C10" s="98"/>
      <c r="D10" s="98"/>
      <c r="E10" s="98"/>
      <c r="F10" s="98"/>
      <c r="G10" s="103"/>
      <c r="I10" s="98"/>
      <c r="J10" s="98"/>
      <c r="K10" s="98"/>
      <c r="L10" s="98"/>
    </row>
    <row r="11" spans="1:17" ht="16" thickBot="1">
      <c r="A11" s="98"/>
      <c r="C11" s="98" t="s">
        <v>228</v>
      </c>
      <c r="D11" s="98"/>
      <c r="E11" s="98"/>
      <c r="F11" s="98"/>
      <c r="G11" s="118">
        <f>מבוא!E31</f>
        <v>4758575.0460000001</v>
      </c>
      <c r="I11" s="98"/>
      <c r="J11" s="98"/>
      <c r="K11" s="98"/>
      <c r="L11" s="98"/>
      <c r="O11" s="98"/>
      <c r="P11" s="98"/>
      <c r="Q11" s="98"/>
    </row>
    <row r="12" spans="1:17" ht="15.5">
      <c r="A12" s="98"/>
      <c r="C12" s="98"/>
      <c r="D12" s="98"/>
      <c r="E12" s="98"/>
      <c r="F12" s="98"/>
      <c r="G12" s="117"/>
      <c r="I12" s="98"/>
      <c r="J12" s="98"/>
      <c r="K12" s="98"/>
      <c r="L12" s="98"/>
      <c r="O12" s="98"/>
      <c r="P12" s="98"/>
      <c r="Q12" s="98"/>
    </row>
    <row r="13" spans="1:17" ht="15.5">
      <c r="A13" s="98"/>
      <c r="C13" s="98"/>
      <c r="D13" s="98"/>
      <c r="E13" s="98"/>
      <c r="F13" s="98"/>
      <c r="G13" s="117"/>
      <c r="I13" s="98"/>
      <c r="J13" s="98"/>
      <c r="K13" s="98"/>
      <c r="L13" s="98"/>
      <c r="O13" s="98"/>
      <c r="P13" s="98"/>
      <c r="Q13" s="98"/>
    </row>
    <row r="14" spans="1:17" ht="15.5">
      <c r="A14" s="98"/>
      <c r="C14" s="98"/>
      <c r="D14" s="213"/>
      <c r="E14" s="98"/>
      <c r="F14" s="98"/>
      <c r="G14" s="98"/>
      <c r="H14" s="98"/>
      <c r="I14" s="98"/>
      <c r="J14" s="98"/>
      <c r="K14" s="98"/>
      <c r="L14" s="98"/>
      <c r="O14" s="98"/>
      <c r="P14" s="98"/>
      <c r="Q14" s="98"/>
    </row>
    <row r="15" spans="1:17" ht="15.5">
      <c r="A15" s="98">
        <v>3.2</v>
      </c>
      <c r="C15" s="98" t="s">
        <v>1243</v>
      </c>
      <c r="D15" s="98"/>
      <c r="E15" s="98"/>
      <c r="F15" s="98"/>
      <c r="G15" s="98"/>
      <c r="H15" s="98"/>
      <c r="I15" s="98"/>
      <c r="J15" s="98"/>
      <c r="K15" s="98"/>
      <c r="L15" s="98"/>
      <c r="O15" s="98"/>
      <c r="P15" s="98"/>
      <c r="Q15" s="98"/>
    </row>
    <row r="16" spans="1:17" ht="15.5">
      <c r="A16" s="98"/>
      <c r="B16" s="101" t="s">
        <v>187</v>
      </c>
      <c r="C16" s="98" t="s">
        <v>238</v>
      </c>
      <c r="D16" s="98"/>
      <c r="E16" s="98"/>
      <c r="F16" s="98"/>
      <c r="G16" s="98"/>
      <c r="H16" s="98"/>
      <c r="I16" s="98"/>
      <c r="J16" s="98"/>
      <c r="K16" s="98"/>
      <c r="L16" s="98"/>
      <c r="O16" s="98"/>
      <c r="P16" s="98"/>
      <c r="Q16" s="98"/>
    </row>
    <row r="17" spans="1:17" ht="15.5">
      <c r="A17" s="98"/>
      <c r="B17" s="101" t="s">
        <v>187</v>
      </c>
      <c r="C17" s="98" t="s">
        <v>916</v>
      </c>
      <c r="D17" s="98"/>
      <c r="E17" s="98"/>
      <c r="F17" s="98"/>
      <c r="G17" s="98"/>
      <c r="H17" s="98"/>
      <c r="I17" s="98"/>
      <c r="J17" s="98"/>
      <c r="K17" s="98"/>
      <c r="L17" s="98"/>
      <c r="O17" s="98"/>
      <c r="P17" s="98"/>
      <c r="Q17" s="98"/>
    </row>
    <row r="18" spans="1:17" ht="15.5">
      <c r="A18" s="98"/>
      <c r="B18" s="101" t="s">
        <v>187</v>
      </c>
      <c r="C18" s="98" t="s">
        <v>1508</v>
      </c>
      <c r="D18" s="98"/>
      <c r="E18" s="98"/>
      <c r="F18" s="98"/>
      <c r="G18" s="98"/>
      <c r="H18" s="98"/>
      <c r="I18" s="98"/>
      <c r="J18" s="98"/>
      <c r="K18" s="98"/>
      <c r="L18" s="98"/>
      <c r="O18" s="98"/>
      <c r="P18" s="98"/>
      <c r="Q18" s="98"/>
    </row>
    <row r="19" spans="1:17" ht="15.5">
      <c r="A19" s="98"/>
      <c r="B19" s="101" t="s">
        <v>187</v>
      </c>
      <c r="C19" s="98" t="s">
        <v>1674</v>
      </c>
      <c r="D19" s="98"/>
      <c r="E19" s="98"/>
      <c r="F19" s="98"/>
      <c r="G19" s="98"/>
      <c r="H19" s="98"/>
      <c r="I19" s="98"/>
      <c r="J19" s="98"/>
      <c r="K19" s="98"/>
      <c r="L19" s="98"/>
      <c r="O19" s="98"/>
      <c r="P19" s="98"/>
      <c r="Q19" s="98"/>
    </row>
    <row r="20" spans="1:17" ht="15.5">
      <c r="A20" s="98"/>
      <c r="B20" s="101" t="s">
        <v>187</v>
      </c>
      <c r="C20" s="98" t="s">
        <v>1675</v>
      </c>
      <c r="D20" s="98"/>
      <c r="E20" s="98"/>
      <c r="F20" s="98"/>
      <c r="G20" s="98"/>
      <c r="H20" s="98"/>
      <c r="I20" s="98"/>
      <c r="J20" s="98"/>
      <c r="K20" s="98"/>
      <c r="L20" s="98"/>
      <c r="O20" s="98"/>
      <c r="P20" s="98"/>
      <c r="Q20" s="98"/>
    </row>
    <row r="21" spans="1:17" ht="15.5">
      <c r="B21" s="101" t="s">
        <v>187</v>
      </c>
      <c r="C21" s="98" t="s">
        <v>917</v>
      </c>
    </row>
    <row r="22" spans="1:17" ht="15.5">
      <c r="A22" s="98"/>
      <c r="B22" s="101" t="s">
        <v>187</v>
      </c>
      <c r="C22" s="98" t="s">
        <v>918</v>
      </c>
      <c r="D22" s="98"/>
      <c r="E22" s="98"/>
      <c r="F22" s="98"/>
      <c r="G22" s="98"/>
      <c r="H22" s="98"/>
      <c r="I22" s="98"/>
      <c r="J22" s="98"/>
      <c r="K22" s="98"/>
      <c r="L22" s="98"/>
      <c r="O22" s="98"/>
      <c r="P22" s="98"/>
      <c r="Q22" s="98"/>
    </row>
    <row r="23" spans="1:17" ht="15.5">
      <c r="A23" s="98"/>
      <c r="B23" s="101" t="s">
        <v>187</v>
      </c>
      <c r="C23" s="98" t="s">
        <v>919</v>
      </c>
      <c r="D23" s="98"/>
      <c r="E23" s="98"/>
      <c r="F23" s="98"/>
      <c r="G23" s="98"/>
      <c r="H23" s="98"/>
      <c r="I23" s="98"/>
      <c r="J23" s="98"/>
      <c r="K23" s="98"/>
      <c r="L23" s="98"/>
      <c r="O23" s="98"/>
      <c r="P23" s="98"/>
      <c r="Q23" s="98"/>
    </row>
    <row r="24" spans="1:17" ht="15.5">
      <c r="A24" s="98"/>
      <c r="B24" s="101" t="s">
        <v>187</v>
      </c>
      <c r="C24" s="98" t="s">
        <v>920</v>
      </c>
      <c r="D24" s="98"/>
      <c r="E24" s="98"/>
      <c r="F24" s="98"/>
      <c r="G24" s="98"/>
      <c r="H24" s="98"/>
      <c r="I24" s="98"/>
      <c r="J24" s="98"/>
      <c r="K24" s="98"/>
      <c r="L24" s="98"/>
      <c r="O24" s="98"/>
      <c r="P24" s="98"/>
      <c r="Q24" s="98"/>
    </row>
    <row r="25" spans="1:17" ht="15.5">
      <c r="A25" s="98"/>
      <c r="B25" s="101" t="s">
        <v>187</v>
      </c>
      <c r="C25" s="98" t="s">
        <v>921</v>
      </c>
      <c r="D25" s="98"/>
      <c r="E25" s="98"/>
      <c r="F25" s="98"/>
      <c r="G25" s="98"/>
      <c r="H25" s="98"/>
      <c r="I25" s="98"/>
      <c r="J25" s="98"/>
      <c r="K25" s="98"/>
      <c r="L25" s="98"/>
      <c r="O25" s="98"/>
      <c r="P25" s="98"/>
      <c r="Q25" s="98"/>
    </row>
    <row r="26" spans="1:17" ht="15.5">
      <c r="A26" s="98"/>
      <c r="B26" s="101" t="s">
        <v>187</v>
      </c>
      <c r="C26" s="98" t="s">
        <v>237</v>
      </c>
      <c r="D26" s="98"/>
      <c r="E26" s="98"/>
      <c r="F26" s="98"/>
      <c r="G26" s="98"/>
      <c r="H26" s="98"/>
      <c r="I26" s="98"/>
      <c r="J26" s="98"/>
      <c r="K26" s="98"/>
      <c r="L26" s="98"/>
      <c r="O26" s="98"/>
      <c r="P26" s="98"/>
      <c r="Q26" s="98"/>
    </row>
    <row r="27" spans="1:17" ht="15.5">
      <c r="A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O27" s="98"/>
      <c r="P27" s="98"/>
      <c r="Q27" s="98"/>
    </row>
    <row r="28" spans="1:17" ht="15.5">
      <c r="A28" s="98"/>
      <c r="N28" s="98"/>
      <c r="O28" s="98"/>
      <c r="P28" s="98"/>
      <c r="Q28" s="98"/>
    </row>
    <row r="29" spans="1:17" ht="15.5">
      <c r="A29" s="98"/>
      <c r="N29" s="98"/>
      <c r="O29" s="98"/>
      <c r="P29" s="98"/>
      <c r="Q29" s="98"/>
    </row>
    <row r="30" spans="1:17" ht="23">
      <c r="A30" s="98"/>
      <c r="B30" s="105"/>
      <c r="C30" s="105"/>
      <c r="D30" s="31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ht="15.5">
      <c r="A31" s="105"/>
      <c r="B31" s="105"/>
      <c r="C31" s="105"/>
      <c r="D31" s="105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ht="15.5"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5:17" ht="15.5"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2"/>
  <sheetViews>
    <sheetView showZeros="0" rightToLeft="1" zoomScaleNormal="100" workbookViewId="0">
      <pane xSplit="3" ySplit="4" topLeftCell="D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86" customWidth="1"/>
    <col min="2" max="2" width="4.6328125" style="166" customWidth="1"/>
    <col min="3" max="3" width="21.81640625" style="166" customWidth="1"/>
    <col min="4" max="6" width="9.81640625" style="167" customWidth="1"/>
    <col min="7" max="11" width="9.81640625" style="167" hidden="1" customWidth="1"/>
    <col min="12" max="15" width="9.81640625" style="167" customWidth="1"/>
    <col min="16" max="19" width="9.81640625" style="167" hidden="1" customWidth="1"/>
    <col min="20" max="20" width="9.81640625" style="167" customWidth="1"/>
    <col min="21" max="22" width="9.81640625" style="166" customWidth="1"/>
    <col min="23" max="26" width="9.81640625" style="166" hidden="1" customWidth="1"/>
    <col min="27" max="27" width="9.81640625" style="166" customWidth="1"/>
    <col min="28" max="28" width="34" style="166" customWidth="1"/>
    <col min="29" max="29" width="9.81640625" style="166" hidden="1" customWidth="1"/>
    <col min="30" max="32" width="24.36328125" style="284" customWidth="1"/>
    <col min="33" max="16384" width="9.08984375" style="166"/>
  </cols>
  <sheetData>
    <row r="1" spans="1:35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312"/>
      <c r="Y1" s="312"/>
      <c r="Z1" s="312"/>
    </row>
    <row r="2" spans="1:35">
      <c r="A2" s="282" t="s">
        <v>115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3" spans="1:35" ht="24" customHeight="1"/>
    <row r="4" spans="1:35" s="288" customFormat="1" ht="86.25" customHeight="1">
      <c r="A4" s="169" t="s">
        <v>0</v>
      </c>
      <c r="B4" s="169" t="s">
        <v>1</v>
      </c>
      <c r="C4" s="169" t="s">
        <v>2</v>
      </c>
      <c r="D4" s="169" t="s">
        <v>3</v>
      </c>
      <c r="E4" s="169" t="s">
        <v>4</v>
      </c>
      <c r="F4" s="169" t="s">
        <v>5</v>
      </c>
      <c r="G4" s="169" t="s">
        <v>6</v>
      </c>
      <c r="H4" s="169" t="s">
        <v>7</v>
      </c>
      <c r="I4" s="169" t="s">
        <v>9</v>
      </c>
      <c r="J4" s="169" t="s">
        <v>178</v>
      </c>
      <c r="K4" s="169" t="s">
        <v>10</v>
      </c>
      <c r="L4" s="169" t="s">
        <v>11</v>
      </c>
      <c r="M4" s="9" t="s">
        <v>936</v>
      </c>
      <c r="N4" s="169" t="s">
        <v>937</v>
      </c>
      <c r="O4" s="169" t="s">
        <v>938</v>
      </c>
      <c r="P4" s="169" t="s">
        <v>12</v>
      </c>
      <c r="Q4" s="169" t="s">
        <v>939</v>
      </c>
      <c r="R4" s="169" t="s">
        <v>940</v>
      </c>
      <c r="S4" s="169" t="s">
        <v>941</v>
      </c>
      <c r="T4" s="169" t="s">
        <v>942</v>
      </c>
      <c r="U4" s="169" t="s">
        <v>943</v>
      </c>
      <c r="V4" s="169" t="s">
        <v>13</v>
      </c>
      <c r="W4" s="169" t="s">
        <v>14</v>
      </c>
      <c r="X4" s="169" t="s">
        <v>15</v>
      </c>
      <c r="Y4" s="169" t="s">
        <v>301</v>
      </c>
      <c r="Z4" s="169" t="s">
        <v>1391</v>
      </c>
      <c r="AA4" s="169" t="s">
        <v>91</v>
      </c>
      <c r="AB4" s="16" t="s">
        <v>344</v>
      </c>
      <c r="AC4" s="169" t="s">
        <v>16</v>
      </c>
      <c r="AD4" s="284"/>
      <c r="AE4" s="284"/>
      <c r="AF4" s="284"/>
    </row>
    <row r="5" spans="1:35" s="177" customFormat="1" ht="30" customHeight="1">
      <c r="A5" s="172">
        <v>1</v>
      </c>
      <c r="B5" s="172">
        <v>1519</v>
      </c>
      <c r="C5" s="172" t="s">
        <v>89</v>
      </c>
      <c r="D5" s="173">
        <v>8493000</v>
      </c>
      <c r="E5" s="173">
        <v>8493000</v>
      </c>
      <c r="F5" s="173">
        <f t="shared" ref="F5:F10" si="0">D5-E5</f>
        <v>0</v>
      </c>
      <c r="G5" s="173">
        <v>2680000</v>
      </c>
      <c r="H5" s="173">
        <v>2106927</v>
      </c>
      <c r="I5" s="173">
        <v>0</v>
      </c>
      <c r="J5" s="173">
        <v>0</v>
      </c>
      <c r="K5" s="173">
        <f t="shared" ref="K5:K10" si="1">SUM(I5:J5)</f>
        <v>0</v>
      </c>
      <c r="L5" s="173">
        <f t="shared" ref="L5:L10" si="2">H5+K5</f>
        <v>2106927</v>
      </c>
      <c r="M5" s="173">
        <f>P5+S5-550000</f>
        <v>23073</v>
      </c>
      <c r="N5" s="173">
        <f>1900000-350000</f>
        <v>1550000</v>
      </c>
      <c r="O5" s="173">
        <f t="shared" ref="O5:O10" si="3">D5-L5-M5-N5</f>
        <v>4813000</v>
      </c>
      <c r="P5" s="173">
        <f t="shared" ref="P5:P10" si="4">G5-L5</f>
        <v>573073</v>
      </c>
      <c r="Q5" s="173"/>
      <c r="R5" s="173"/>
      <c r="S5" s="173">
        <f t="shared" ref="S5:S10" si="5">SUM(Q5:R5)</f>
        <v>0</v>
      </c>
      <c r="T5" s="173">
        <f t="shared" ref="T5:T10" si="6">P5-M5+S5</f>
        <v>550000</v>
      </c>
      <c r="U5" s="582">
        <f t="shared" ref="U5:U10" si="7">N5-T5</f>
        <v>1000000</v>
      </c>
      <c r="V5" s="173">
        <f>U5-AA5</f>
        <v>771068</v>
      </c>
      <c r="W5" s="173"/>
      <c r="X5" s="173"/>
      <c r="Y5" s="173"/>
      <c r="Z5" s="173"/>
      <c r="AA5" s="173">
        <f>987865/2-265000-0.5</f>
        <v>228932</v>
      </c>
      <c r="AB5" s="172" t="s">
        <v>774</v>
      </c>
      <c r="AC5" s="172">
        <v>732000</v>
      </c>
      <c r="AD5" s="284"/>
      <c r="AE5" s="284"/>
      <c r="AF5" s="284"/>
    </row>
    <row r="6" spans="1:35" s="176" customFormat="1" ht="30" customHeight="1">
      <c r="A6" s="172">
        <f>A5+1</f>
        <v>2</v>
      </c>
      <c r="B6" s="172">
        <v>1867</v>
      </c>
      <c r="C6" s="172" t="s">
        <v>145</v>
      </c>
      <c r="D6" s="173">
        <v>1520000</v>
      </c>
      <c r="E6" s="173">
        <v>1520000</v>
      </c>
      <c r="F6" s="173">
        <f t="shared" si="0"/>
        <v>0</v>
      </c>
      <c r="G6" s="173">
        <v>570000</v>
      </c>
      <c r="H6" s="173">
        <v>369131</v>
      </c>
      <c r="I6" s="173">
        <v>0</v>
      </c>
      <c r="J6" s="173">
        <v>0</v>
      </c>
      <c r="K6" s="173">
        <f t="shared" si="1"/>
        <v>0</v>
      </c>
      <c r="L6" s="173">
        <f t="shared" si="2"/>
        <v>369131</v>
      </c>
      <c r="M6" s="173">
        <f>P6+S6-200000</f>
        <v>869</v>
      </c>
      <c r="N6" s="173">
        <v>200000</v>
      </c>
      <c r="O6" s="173">
        <f t="shared" si="3"/>
        <v>950000</v>
      </c>
      <c r="P6" s="173">
        <f t="shared" si="4"/>
        <v>200869</v>
      </c>
      <c r="Q6" s="173"/>
      <c r="R6" s="173"/>
      <c r="S6" s="173">
        <f t="shared" si="5"/>
        <v>0</v>
      </c>
      <c r="T6" s="173">
        <f t="shared" si="6"/>
        <v>200000</v>
      </c>
      <c r="U6" s="582">
        <f t="shared" si="7"/>
        <v>0</v>
      </c>
      <c r="V6" s="173">
        <f>U6</f>
        <v>0</v>
      </c>
      <c r="W6" s="173"/>
      <c r="X6" s="173"/>
      <c r="Y6" s="173"/>
      <c r="Z6" s="173"/>
      <c r="AA6" s="173">
        <f>987864-987864</f>
        <v>0</v>
      </c>
      <c r="AB6" s="172" t="s">
        <v>566</v>
      </c>
      <c r="AC6" s="172">
        <v>732000</v>
      </c>
      <c r="AD6" s="284"/>
      <c r="AE6" s="284"/>
      <c r="AF6" s="284"/>
    </row>
    <row r="7" spans="1:35" s="176" customFormat="1" ht="30" customHeight="1">
      <c r="A7" s="172">
        <f>A6+1</f>
        <v>3</v>
      </c>
      <c r="B7" s="172">
        <v>1869</v>
      </c>
      <c r="C7" s="172" t="s">
        <v>146</v>
      </c>
      <c r="D7" s="173">
        <v>8200000</v>
      </c>
      <c r="E7" s="173">
        <v>8200000</v>
      </c>
      <c r="F7" s="173">
        <f t="shared" si="0"/>
        <v>0</v>
      </c>
      <c r="G7" s="173">
        <v>200000</v>
      </c>
      <c r="H7" s="173">
        <v>94426</v>
      </c>
      <c r="I7" s="173">
        <v>0</v>
      </c>
      <c r="J7" s="173">
        <v>0</v>
      </c>
      <c r="K7" s="173">
        <f t="shared" si="1"/>
        <v>0</v>
      </c>
      <c r="L7" s="173">
        <f t="shared" si="2"/>
        <v>94426</v>
      </c>
      <c r="M7" s="173">
        <f>P7+S7-100000</f>
        <v>5574</v>
      </c>
      <c r="N7" s="173">
        <f>400000-300000</f>
        <v>100000</v>
      </c>
      <c r="O7" s="173">
        <f t="shared" si="3"/>
        <v>8000000</v>
      </c>
      <c r="P7" s="173">
        <f t="shared" si="4"/>
        <v>105574</v>
      </c>
      <c r="Q7" s="173"/>
      <c r="R7" s="173"/>
      <c r="S7" s="173">
        <f t="shared" si="5"/>
        <v>0</v>
      </c>
      <c r="T7" s="173">
        <f t="shared" si="6"/>
        <v>100000</v>
      </c>
      <c r="U7" s="582">
        <f t="shared" si="7"/>
        <v>0</v>
      </c>
      <c r="V7" s="173">
        <f>U7</f>
        <v>0</v>
      </c>
      <c r="W7" s="173"/>
      <c r="X7" s="173"/>
      <c r="Y7" s="173"/>
      <c r="Z7" s="173"/>
      <c r="AA7" s="173">
        <f>987864-987864</f>
        <v>0</v>
      </c>
      <c r="AB7" s="172" t="s">
        <v>1285</v>
      </c>
      <c r="AC7" s="172">
        <v>742000</v>
      </c>
      <c r="AD7" s="284"/>
      <c r="AE7" s="284"/>
      <c r="AF7" s="284"/>
    </row>
    <row r="8" spans="1:35" s="176" customFormat="1" ht="30" customHeight="1">
      <c r="A8" s="172">
        <f>A7+1</f>
        <v>4</v>
      </c>
      <c r="B8" s="172">
        <v>1979</v>
      </c>
      <c r="C8" s="172" t="s">
        <v>167</v>
      </c>
      <c r="D8" s="191">
        <v>195000</v>
      </c>
      <c r="E8" s="191">
        <v>195000</v>
      </c>
      <c r="F8" s="173">
        <f t="shared" si="0"/>
        <v>0</v>
      </c>
      <c r="G8" s="173">
        <v>195000</v>
      </c>
      <c r="H8" s="173">
        <v>64729</v>
      </c>
      <c r="I8" s="173">
        <v>0</v>
      </c>
      <c r="J8" s="173">
        <v>0</v>
      </c>
      <c r="K8" s="173">
        <f t="shared" si="1"/>
        <v>0</v>
      </c>
      <c r="L8" s="173">
        <f t="shared" si="2"/>
        <v>64729</v>
      </c>
      <c r="M8" s="173">
        <f>P8+S8-100000</f>
        <v>30271</v>
      </c>
      <c r="N8" s="173">
        <v>100000</v>
      </c>
      <c r="O8" s="173">
        <f t="shared" si="3"/>
        <v>0</v>
      </c>
      <c r="P8" s="173">
        <f t="shared" si="4"/>
        <v>130271</v>
      </c>
      <c r="Q8" s="173"/>
      <c r="R8" s="173"/>
      <c r="S8" s="173">
        <f t="shared" si="5"/>
        <v>0</v>
      </c>
      <c r="T8" s="173">
        <f t="shared" si="6"/>
        <v>100000</v>
      </c>
      <c r="U8" s="582">
        <f t="shared" si="7"/>
        <v>0</v>
      </c>
      <c r="V8" s="173">
        <f>U8</f>
        <v>0</v>
      </c>
      <c r="W8" s="173"/>
      <c r="X8" s="173"/>
      <c r="Y8" s="173"/>
      <c r="Z8" s="173"/>
      <c r="AA8" s="173">
        <f>987864-987864</f>
        <v>0</v>
      </c>
      <c r="AB8" s="172" t="s">
        <v>566</v>
      </c>
      <c r="AC8" s="172">
        <v>732000</v>
      </c>
      <c r="AD8" s="284"/>
      <c r="AE8" s="284"/>
      <c r="AF8" s="284"/>
      <c r="AI8" s="179"/>
    </row>
    <row r="9" spans="1:35" s="176" customFormat="1" ht="42">
      <c r="A9" s="172">
        <f>A8+1</f>
        <v>5</v>
      </c>
      <c r="B9" s="172">
        <v>1980</v>
      </c>
      <c r="C9" s="172" t="s">
        <v>185</v>
      </c>
      <c r="D9" s="191">
        <v>1150000</v>
      </c>
      <c r="E9" s="191">
        <v>1150000</v>
      </c>
      <c r="F9" s="173">
        <f t="shared" si="0"/>
        <v>0</v>
      </c>
      <c r="G9" s="173">
        <v>1150000</v>
      </c>
      <c r="H9" s="173">
        <v>618607</v>
      </c>
      <c r="I9" s="173">
        <v>0</v>
      </c>
      <c r="J9" s="173">
        <v>0</v>
      </c>
      <c r="K9" s="173">
        <f t="shared" si="1"/>
        <v>0</v>
      </c>
      <c r="L9" s="173">
        <f t="shared" si="2"/>
        <v>618607</v>
      </c>
      <c r="M9" s="173">
        <f>P9+S9-500000</f>
        <v>31393</v>
      </c>
      <c r="N9" s="173">
        <v>500000</v>
      </c>
      <c r="O9" s="173">
        <f t="shared" si="3"/>
        <v>0</v>
      </c>
      <c r="P9" s="173">
        <f t="shared" si="4"/>
        <v>531393</v>
      </c>
      <c r="Q9" s="173"/>
      <c r="R9" s="173"/>
      <c r="S9" s="173">
        <f t="shared" si="5"/>
        <v>0</v>
      </c>
      <c r="T9" s="173">
        <f t="shared" si="6"/>
        <v>500000</v>
      </c>
      <c r="U9" s="582">
        <f t="shared" si="7"/>
        <v>0</v>
      </c>
      <c r="V9" s="173">
        <f>U9</f>
        <v>0</v>
      </c>
      <c r="W9" s="173"/>
      <c r="X9" s="173"/>
      <c r="Y9" s="173"/>
      <c r="Z9" s="173"/>
      <c r="AA9" s="173">
        <f>987864-987864</f>
        <v>0</v>
      </c>
      <c r="AB9" s="172" t="s">
        <v>1286</v>
      </c>
      <c r="AC9" s="172">
        <v>732000</v>
      </c>
      <c r="AD9" s="284"/>
      <c r="AE9" s="284"/>
      <c r="AF9" s="284"/>
      <c r="AI9" s="179"/>
    </row>
    <row r="10" spans="1:35" s="176" customFormat="1" ht="30" customHeight="1">
      <c r="A10" s="172">
        <f>A9+1</f>
        <v>6</v>
      </c>
      <c r="B10" s="172">
        <v>1981</v>
      </c>
      <c r="C10" s="172" t="s">
        <v>168</v>
      </c>
      <c r="D10" s="191">
        <v>1100000</v>
      </c>
      <c r="E10" s="191">
        <v>1100000</v>
      </c>
      <c r="F10" s="173">
        <f t="shared" si="0"/>
        <v>0</v>
      </c>
      <c r="G10" s="173">
        <v>1100000</v>
      </c>
      <c r="H10" s="173">
        <v>826984</v>
      </c>
      <c r="I10" s="173">
        <v>0</v>
      </c>
      <c r="J10" s="173">
        <v>0</v>
      </c>
      <c r="K10" s="173">
        <f t="shared" si="1"/>
        <v>0</v>
      </c>
      <c r="L10" s="173">
        <f t="shared" si="2"/>
        <v>826984</v>
      </c>
      <c r="M10" s="173">
        <f>P10+S10-250000</f>
        <v>23016</v>
      </c>
      <c r="N10" s="173">
        <v>250000</v>
      </c>
      <c r="O10" s="173">
        <f t="shared" si="3"/>
        <v>0</v>
      </c>
      <c r="P10" s="173">
        <f t="shared" si="4"/>
        <v>273016</v>
      </c>
      <c r="Q10" s="173"/>
      <c r="R10" s="173"/>
      <c r="S10" s="173">
        <f t="shared" si="5"/>
        <v>0</v>
      </c>
      <c r="T10" s="173">
        <f t="shared" si="6"/>
        <v>250000</v>
      </c>
      <c r="U10" s="582">
        <f t="shared" si="7"/>
        <v>0</v>
      </c>
      <c r="V10" s="173">
        <f>U10</f>
        <v>0</v>
      </c>
      <c r="W10" s="173"/>
      <c r="X10" s="173"/>
      <c r="Y10" s="173"/>
      <c r="Z10" s="173"/>
      <c r="AA10" s="173">
        <f>987864-987864</f>
        <v>0</v>
      </c>
      <c r="AB10" s="172" t="s">
        <v>566</v>
      </c>
      <c r="AC10" s="172">
        <v>732000</v>
      </c>
      <c r="AD10" s="284"/>
      <c r="AE10" s="284"/>
      <c r="AF10" s="284"/>
      <c r="AI10" s="179"/>
    </row>
    <row r="11" spans="1:35" s="426" customFormat="1" ht="30" customHeight="1">
      <c r="A11" s="346">
        <f>A10</f>
        <v>6</v>
      </c>
      <c r="B11" s="346"/>
      <c r="C11" s="33" t="s">
        <v>299</v>
      </c>
      <c r="D11" s="425">
        <f>SUM(D5:D10)</f>
        <v>20658000</v>
      </c>
      <c r="E11" s="425">
        <f t="shared" ref="E11:AA11" si="8">SUM(E5:E10)</f>
        <v>20658000</v>
      </c>
      <c r="F11" s="425">
        <f t="shared" si="8"/>
        <v>0</v>
      </c>
      <c r="G11" s="425">
        <f t="shared" si="8"/>
        <v>5895000</v>
      </c>
      <c r="H11" s="425">
        <f t="shared" si="8"/>
        <v>4080804</v>
      </c>
      <c r="I11" s="425">
        <f t="shared" si="8"/>
        <v>0</v>
      </c>
      <c r="J11" s="425">
        <f t="shared" si="8"/>
        <v>0</v>
      </c>
      <c r="K11" s="425">
        <f t="shared" si="8"/>
        <v>0</v>
      </c>
      <c r="L11" s="425">
        <f t="shared" si="8"/>
        <v>4080804</v>
      </c>
      <c r="M11" s="425">
        <f t="shared" si="8"/>
        <v>114196</v>
      </c>
      <c r="N11" s="425">
        <f t="shared" si="8"/>
        <v>2700000</v>
      </c>
      <c r="O11" s="425">
        <f t="shared" si="8"/>
        <v>13763000</v>
      </c>
      <c r="P11" s="425">
        <f t="shared" si="8"/>
        <v>1814196</v>
      </c>
      <c r="Q11" s="425">
        <f t="shared" si="8"/>
        <v>0</v>
      </c>
      <c r="R11" s="425">
        <f t="shared" si="8"/>
        <v>0</v>
      </c>
      <c r="S11" s="425">
        <f t="shared" si="8"/>
        <v>0</v>
      </c>
      <c r="T11" s="425">
        <f t="shared" si="8"/>
        <v>1700000</v>
      </c>
      <c r="U11" s="425">
        <f t="shared" si="8"/>
        <v>1000000</v>
      </c>
      <c r="V11" s="425">
        <f t="shared" si="8"/>
        <v>771068</v>
      </c>
      <c r="W11" s="425">
        <f t="shared" si="8"/>
        <v>0</v>
      </c>
      <c r="X11" s="425">
        <f t="shared" si="8"/>
        <v>0</v>
      </c>
      <c r="Y11" s="425">
        <f t="shared" si="8"/>
        <v>0</v>
      </c>
      <c r="Z11" s="425">
        <f t="shared" si="8"/>
        <v>0</v>
      </c>
      <c r="AA11" s="425">
        <f t="shared" si="8"/>
        <v>228932</v>
      </c>
      <c r="AB11" s="425"/>
      <c r="AC11" s="346"/>
    </row>
    <row r="12" spans="1:35" hidden="1">
      <c r="M12" s="167">
        <f>P11-T11</f>
        <v>114196</v>
      </c>
      <c r="P12" s="167">
        <f>G11-L11</f>
        <v>1814196</v>
      </c>
    </row>
  </sheetData>
  <sheetProtection formatCells="0" formatColumns="0" formatRows="0" insertColumns="0" insertRows="0" insertHyperlinks="0" deleteColumns="0" deleteRows="0" sort="0" autoFilter="0" pivotTables="0"/>
  <conditionalFormatting sqref="AD11">
    <cfRule type="cellIs" dxfId="214" priority="3" operator="equal">
      <formula>0</formula>
    </cfRule>
  </conditionalFormatting>
  <conditionalFormatting sqref="U5:U10">
    <cfRule type="cellIs" dxfId="21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6" max="16383" man="1"/>
  </rowBreaks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4"/>
  <sheetViews>
    <sheetView showZeros="0" rightToLeft="1" zoomScaleNormal="100" workbookViewId="0">
      <pane xSplit="3" ySplit="4" topLeftCell="D5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08984375" defaultRowHeight="18"/>
  <cols>
    <col min="1" max="1" width="3.36328125" style="286" customWidth="1"/>
    <col min="2" max="2" width="4.6328125" style="166" customWidth="1"/>
    <col min="3" max="3" width="29.54296875" style="166" customWidth="1"/>
    <col min="4" max="4" width="9.36328125" style="167" customWidth="1"/>
    <col min="5" max="5" width="9" style="167" hidden="1" customWidth="1"/>
    <col min="6" max="6" width="9.36328125" style="167" hidden="1" customWidth="1"/>
    <col min="7" max="10" width="9.08984375" style="167" hidden="1" customWidth="1"/>
    <col min="11" max="11" width="9" style="167" hidden="1" customWidth="1"/>
    <col min="12" max="12" width="8.36328125" style="167" customWidth="1"/>
    <col min="13" max="13" width="6.90625" style="167" customWidth="1"/>
    <col min="14" max="14" width="8.453125" style="167" customWidth="1"/>
    <col min="15" max="15" width="9" style="167" customWidth="1"/>
    <col min="16" max="19" width="9.08984375" style="167" hidden="1" customWidth="1"/>
    <col min="20" max="20" width="8.36328125" style="167" customWidth="1"/>
    <col min="21" max="21" width="8.54296875" style="166" customWidth="1"/>
    <col min="22" max="22" width="8.1796875" style="166" customWidth="1"/>
    <col min="23" max="26" width="9.08984375" style="166" hidden="1" customWidth="1"/>
    <col min="27" max="27" width="6.81640625" style="166" customWidth="1"/>
    <col min="28" max="28" width="34" style="166" customWidth="1"/>
    <col min="29" max="29" width="9.81640625" style="166" hidden="1" customWidth="1"/>
    <col min="30" max="32" width="24.36328125" style="284" customWidth="1"/>
    <col min="33" max="16384" width="9.08984375" style="166"/>
  </cols>
  <sheetData>
    <row r="1" spans="1:35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312"/>
      <c r="Y1" s="312"/>
      <c r="Z1" s="312"/>
    </row>
    <row r="2" spans="1:35">
      <c r="A2" s="282" t="s">
        <v>115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3" spans="1:35" ht="24" customHeight="1"/>
    <row r="4" spans="1:35" s="288" customFormat="1" ht="86.25" customHeight="1">
      <c r="A4" s="169" t="s">
        <v>0</v>
      </c>
      <c r="B4" s="169" t="s">
        <v>1</v>
      </c>
      <c r="C4" s="169" t="s">
        <v>2</v>
      </c>
      <c r="D4" s="169" t="s">
        <v>3</v>
      </c>
      <c r="E4" s="169" t="s">
        <v>4</v>
      </c>
      <c r="F4" s="169" t="s">
        <v>5</v>
      </c>
      <c r="G4" s="169" t="s">
        <v>6</v>
      </c>
      <c r="H4" s="169" t="s">
        <v>7</v>
      </c>
      <c r="I4" s="169" t="s">
        <v>9</v>
      </c>
      <c r="J4" s="169" t="s">
        <v>178</v>
      </c>
      <c r="K4" s="169" t="s">
        <v>10</v>
      </c>
      <c r="L4" s="169" t="s">
        <v>11</v>
      </c>
      <c r="M4" s="9" t="s">
        <v>936</v>
      </c>
      <c r="N4" s="169" t="s">
        <v>937</v>
      </c>
      <c r="O4" s="169" t="s">
        <v>938</v>
      </c>
      <c r="P4" s="169" t="s">
        <v>12</v>
      </c>
      <c r="Q4" s="169" t="s">
        <v>939</v>
      </c>
      <c r="R4" s="169" t="s">
        <v>940</v>
      </c>
      <c r="S4" s="169" t="s">
        <v>941</v>
      </c>
      <c r="T4" s="169" t="s">
        <v>942</v>
      </c>
      <c r="U4" s="591" t="s">
        <v>943</v>
      </c>
      <c r="V4" s="169" t="s">
        <v>13</v>
      </c>
      <c r="W4" s="169" t="s">
        <v>14</v>
      </c>
      <c r="X4" s="169" t="s">
        <v>15</v>
      </c>
      <c r="Y4" s="169" t="s">
        <v>301</v>
      </c>
      <c r="Z4" s="169" t="s">
        <v>1391</v>
      </c>
      <c r="AA4" s="169" t="s">
        <v>91</v>
      </c>
      <c r="AB4" s="16" t="s">
        <v>344</v>
      </c>
      <c r="AC4" s="169" t="s">
        <v>16</v>
      </c>
      <c r="AD4" s="284"/>
      <c r="AE4" s="284"/>
      <c r="AF4" s="284"/>
    </row>
    <row r="5" spans="1:35" s="177" customFormat="1">
      <c r="A5" s="172">
        <v>1</v>
      </c>
      <c r="B5" s="172">
        <f>'תקציב החברה לתירות 2021 '!B5</f>
        <v>1519</v>
      </c>
      <c r="C5" s="326" t="str">
        <f>'תקציב החברה לתירות 2021 '!C5</f>
        <v>תב"ע חוף הים</v>
      </c>
      <c r="D5" s="173">
        <f>'תקציב החברה לתירות 2021 '!D5</f>
        <v>8493000</v>
      </c>
      <c r="E5" s="173">
        <f>'תקציב החברה לתירות 2021 '!E5</f>
        <v>8493000</v>
      </c>
      <c r="F5" s="173">
        <f>'תקציב החברה לתירות 2021 '!F5</f>
        <v>0</v>
      </c>
      <c r="G5" s="173">
        <f>'תקציב החברה לתירות 2021 '!G5</f>
        <v>2680000</v>
      </c>
      <c r="H5" s="173">
        <f>'תקציב החברה לתירות 2021 '!H5</f>
        <v>2106927</v>
      </c>
      <c r="I5" s="173">
        <f>'תקציב החברה לתירות 2021 '!I5</f>
        <v>0</v>
      </c>
      <c r="J5" s="173">
        <f>'תקציב החברה לתירות 2021 '!J5</f>
        <v>0</v>
      </c>
      <c r="K5" s="173">
        <f>'תקציב החברה לתירות 2021 '!K5</f>
        <v>0</v>
      </c>
      <c r="L5" s="173">
        <f>'תקציב החברה לתירות 2021 '!L5</f>
        <v>2106927</v>
      </c>
      <c r="M5" s="173">
        <f>'תקציב החברה לתירות 2021 '!M5</f>
        <v>23073</v>
      </c>
      <c r="N5" s="173">
        <f>'תקציב החברה לתירות 2021 '!N5</f>
        <v>1550000</v>
      </c>
      <c r="O5" s="173">
        <f>'תקציב החברה לתירות 2021 '!O5</f>
        <v>4813000</v>
      </c>
      <c r="P5" s="173">
        <f>'תקציב החברה לתירות 2021 '!P5</f>
        <v>573073</v>
      </c>
      <c r="Q5" s="173">
        <f>'תקציב החברה לתירות 2021 '!Q5</f>
        <v>0</v>
      </c>
      <c r="R5" s="173">
        <f>'תקציב החברה לתירות 2021 '!R5</f>
        <v>0</v>
      </c>
      <c r="S5" s="173">
        <f>'תקציב החברה לתירות 2021 '!S5</f>
        <v>0</v>
      </c>
      <c r="T5" s="173">
        <f>'תקציב החברה לתירות 2021 '!T5</f>
        <v>550000</v>
      </c>
      <c r="U5" s="173">
        <f>'תקציב החברה לתירות 2021 '!U5</f>
        <v>1000000</v>
      </c>
      <c r="V5" s="173">
        <f>'תקציב החברה לתירות 2021 '!V5</f>
        <v>771068</v>
      </c>
      <c r="W5" s="173">
        <f>'תקציב החברה לתירות 2021 '!W5</f>
        <v>0</v>
      </c>
      <c r="X5" s="173">
        <f>'תקציב החברה לתירות 2021 '!X5</f>
        <v>0</v>
      </c>
      <c r="Y5" s="173">
        <f>'תקציב החברה לתירות 2021 '!Y5</f>
        <v>0</v>
      </c>
      <c r="Z5" s="173">
        <f>'תקציב החברה לתירות 2021 '!Z5</f>
        <v>0</v>
      </c>
      <c r="AA5" s="173">
        <f>'תקציב החברה לתירות 2021 '!AA5</f>
        <v>228932</v>
      </c>
      <c r="AB5" s="326" t="str">
        <f>'תקציב החברה לתירות 2021 '!AB5</f>
        <v>הכנת תב"ע . מימון רמ"י.</v>
      </c>
      <c r="AC5" s="172">
        <f>'תקציב החברה לתירות 2021 '!AC5</f>
        <v>732000</v>
      </c>
      <c r="AD5" s="284"/>
      <c r="AE5" s="284"/>
      <c r="AF5" s="284"/>
    </row>
    <row r="6" spans="1:35" s="176" customFormat="1" ht="20" customHeight="1">
      <c r="A6" s="172">
        <f>A5+1</f>
        <v>2</v>
      </c>
      <c r="B6" s="172">
        <f>'תקציב החברה לתירות 2021 '!B6</f>
        <v>1867</v>
      </c>
      <c r="C6" s="326" t="str">
        <f>'תקציב החברה לתירות 2021 '!C6</f>
        <v>תב"ע מרינה</v>
      </c>
      <c r="D6" s="173">
        <f>'תקציב החברה לתירות 2021 '!D6</f>
        <v>1520000</v>
      </c>
      <c r="E6" s="173">
        <f>'תקציב החברה לתירות 2021 '!E6</f>
        <v>1520000</v>
      </c>
      <c r="F6" s="173">
        <f>'תקציב החברה לתירות 2021 '!F6</f>
        <v>0</v>
      </c>
      <c r="G6" s="173">
        <f>'תקציב החברה לתירות 2021 '!G6</f>
        <v>570000</v>
      </c>
      <c r="H6" s="173">
        <f>'תקציב החברה לתירות 2021 '!H6</f>
        <v>369131</v>
      </c>
      <c r="I6" s="173">
        <f>'תקציב החברה לתירות 2021 '!I6</f>
        <v>0</v>
      </c>
      <c r="J6" s="173">
        <f>'תקציב החברה לתירות 2021 '!J6</f>
        <v>0</v>
      </c>
      <c r="K6" s="173">
        <f>'תקציב החברה לתירות 2021 '!K6</f>
        <v>0</v>
      </c>
      <c r="L6" s="173">
        <f>'תקציב החברה לתירות 2021 '!L6</f>
        <v>369131</v>
      </c>
      <c r="M6" s="173">
        <f>'תקציב החברה לתירות 2021 '!M6</f>
        <v>869</v>
      </c>
      <c r="N6" s="173">
        <f>'תקציב החברה לתירות 2021 '!N6</f>
        <v>200000</v>
      </c>
      <c r="O6" s="173">
        <f>'תקציב החברה לתירות 2021 '!O6</f>
        <v>950000</v>
      </c>
      <c r="P6" s="173">
        <f>'תקציב החברה לתירות 2021 '!P6</f>
        <v>200869</v>
      </c>
      <c r="Q6" s="173">
        <f>'תקציב החברה לתירות 2021 '!Q6</f>
        <v>0</v>
      </c>
      <c r="R6" s="173">
        <f>'תקציב החברה לתירות 2021 '!R6</f>
        <v>0</v>
      </c>
      <c r="S6" s="173">
        <f>'תקציב החברה לתירות 2021 '!S6</f>
        <v>0</v>
      </c>
      <c r="T6" s="173">
        <f>'תקציב החברה לתירות 2021 '!T6</f>
        <v>200000</v>
      </c>
      <c r="U6" s="173">
        <f>'תקציב החברה לתירות 2021 '!U6</f>
        <v>0</v>
      </c>
      <c r="V6" s="173">
        <f>'תקציב החברה לתירות 2021 '!V6</f>
        <v>0</v>
      </c>
      <c r="W6" s="173">
        <f>'תקציב החברה לתירות 2021 '!W6</f>
        <v>0</v>
      </c>
      <c r="X6" s="173">
        <f>'תקציב החברה לתירות 2021 '!X6</f>
        <v>0</v>
      </c>
      <c r="Y6" s="173">
        <f>'תקציב החברה לתירות 2021 '!Y6</f>
        <v>0</v>
      </c>
      <c r="Z6" s="173">
        <f>'תקציב החברה לתירות 2021 '!Z6</f>
        <v>0</v>
      </c>
      <c r="AA6" s="173">
        <f>'תקציב החברה לתירות 2021 '!AA6</f>
        <v>0</v>
      </c>
      <c r="AB6" s="172" t="s">
        <v>566</v>
      </c>
      <c r="AC6" s="172">
        <f>'תקציב החברה לתירות 2021 '!AC6</f>
        <v>732000</v>
      </c>
      <c r="AD6" s="284"/>
      <c r="AE6" s="284"/>
      <c r="AF6" s="284"/>
    </row>
    <row r="7" spans="1:35" s="176" customFormat="1">
      <c r="A7" s="172">
        <f>A6+1</f>
        <v>3</v>
      </c>
      <c r="B7" s="172">
        <f>'תקציב החברה לתירות 2021 '!B8</f>
        <v>1979</v>
      </c>
      <c r="C7" s="326" t="str">
        <f>'תקציב החברה לתירות 2021 '!C8</f>
        <v>תב"ע גשר קטן במרינה</v>
      </c>
      <c r="D7" s="173">
        <f>'תקציב החברה לתירות 2021 '!D8</f>
        <v>195000</v>
      </c>
      <c r="E7" s="173">
        <f>'תקציב החברה לתירות 2021 '!E8</f>
        <v>195000</v>
      </c>
      <c r="F7" s="173">
        <f>'תקציב החברה לתירות 2021 '!F8</f>
        <v>0</v>
      </c>
      <c r="G7" s="173">
        <f>'תקציב החברה לתירות 2021 '!G8</f>
        <v>195000</v>
      </c>
      <c r="H7" s="173">
        <f>'תקציב החברה לתירות 2021 '!H8</f>
        <v>64729</v>
      </c>
      <c r="I7" s="173">
        <f>'תקציב החברה לתירות 2021 '!I8</f>
        <v>0</v>
      </c>
      <c r="J7" s="173">
        <f>'תקציב החברה לתירות 2021 '!J8</f>
        <v>0</v>
      </c>
      <c r="K7" s="173">
        <f>'תקציב החברה לתירות 2021 '!K8</f>
        <v>0</v>
      </c>
      <c r="L7" s="173">
        <f>'תקציב החברה לתירות 2021 '!L8</f>
        <v>64729</v>
      </c>
      <c r="M7" s="173">
        <f>'תקציב החברה לתירות 2021 '!M8</f>
        <v>30271</v>
      </c>
      <c r="N7" s="173">
        <f>'תקציב החברה לתירות 2021 '!N8</f>
        <v>100000</v>
      </c>
      <c r="O7" s="173">
        <f>'תקציב החברה לתירות 2021 '!O8</f>
        <v>0</v>
      </c>
      <c r="P7" s="173">
        <f>'תקציב החברה לתירות 2021 '!P8</f>
        <v>130271</v>
      </c>
      <c r="Q7" s="173">
        <f>'תקציב החברה לתירות 2021 '!Q8</f>
        <v>0</v>
      </c>
      <c r="R7" s="173">
        <f>'תקציב החברה לתירות 2021 '!R8</f>
        <v>0</v>
      </c>
      <c r="S7" s="173">
        <f>'תקציב החברה לתירות 2021 '!S8</f>
        <v>0</v>
      </c>
      <c r="T7" s="173">
        <f>'תקציב החברה לתירות 2021 '!T8</f>
        <v>100000</v>
      </c>
      <c r="U7" s="173">
        <f>'תקציב החברה לתירות 2021 '!U8</f>
        <v>0</v>
      </c>
      <c r="V7" s="173">
        <f>'תקציב החברה לתירות 2021 '!V8</f>
        <v>0</v>
      </c>
      <c r="W7" s="173">
        <f>'תקציב החברה לתירות 2021 '!W8</f>
        <v>0</v>
      </c>
      <c r="X7" s="173">
        <f>'תקציב החברה לתירות 2021 '!X8</f>
        <v>0</v>
      </c>
      <c r="Y7" s="173">
        <f>'תקציב החברה לתירות 2021 '!Y8</f>
        <v>0</v>
      </c>
      <c r="Z7" s="173">
        <f>'תקציב החברה לתירות 2021 '!Z8</f>
        <v>0</v>
      </c>
      <c r="AA7" s="173">
        <f>'תקציב החברה לתירות 2021 '!AA8</f>
        <v>0</v>
      </c>
      <c r="AB7" s="172" t="s">
        <v>566</v>
      </c>
      <c r="AC7" s="172">
        <f>'תקציב החברה לתירות 2021 '!AC8</f>
        <v>732000</v>
      </c>
      <c r="AD7" s="284"/>
      <c r="AE7" s="284"/>
      <c r="AF7" s="284"/>
      <c r="AI7" s="179"/>
    </row>
    <row r="8" spans="1:35" s="176" customFormat="1" ht="42">
      <c r="A8" s="172">
        <f>A7+1</f>
        <v>4</v>
      </c>
      <c r="B8" s="172">
        <f>'תקציב החברה לתירות 2021 '!B9</f>
        <v>1980</v>
      </c>
      <c r="C8" s="326" t="str">
        <f>'תקציב החברה לתירות 2021 '!C9</f>
        <v>תכנון תב"ע הסדרת ייעודי קרקע לפיתוח טיילת החוף</v>
      </c>
      <c r="D8" s="173">
        <f>'תקציב החברה לתירות 2021 '!D9</f>
        <v>1150000</v>
      </c>
      <c r="E8" s="173">
        <f>'תקציב החברה לתירות 2021 '!E9</f>
        <v>1150000</v>
      </c>
      <c r="F8" s="173">
        <f>'תקציב החברה לתירות 2021 '!F9</f>
        <v>0</v>
      </c>
      <c r="G8" s="173">
        <f>'תקציב החברה לתירות 2021 '!G9</f>
        <v>1150000</v>
      </c>
      <c r="H8" s="173">
        <f>'תקציב החברה לתירות 2021 '!H9</f>
        <v>618607</v>
      </c>
      <c r="I8" s="173">
        <f>'תקציב החברה לתירות 2021 '!I9</f>
        <v>0</v>
      </c>
      <c r="J8" s="173">
        <f>'תקציב החברה לתירות 2021 '!J9</f>
        <v>0</v>
      </c>
      <c r="K8" s="173">
        <f>'תקציב החברה לתירות 2021 '!K9</f>
        <v>0</v>
      </c>
      <c r="L8" s="173">
        <f>'תקציב החברה לתירות 2021 '!L9</f>
        <v>618607</v>
      </c>
      <c r="M8" s="173">
        <f>'תקציב החברה לתירות 2021 '!M9</f>
        <v>31393</v>
      </c>
      <c r="N8" s="173">
        <f>'תקציב החברה לתירות 2021 '!N9</f>
        <v>500000</v>
      </c>
      <c r="O8" s="173">
        <f>'תקציב החברה לתירות 2021 '!O9</f>
        <v>0</v>
      </c>
      <c r="P8" s="173">
        <f>'תקציב החברה לתירות 2021 '!P9</f>
        <v>531393</v>
      </c>
      <c r="Q8" s="173">
        <f>'תקציב החברה לתירות 2021 '!Q9</f>
        <v>0</v>
      </c>
      <c r="R8" s="173">
        <f>'תקציב החברה לתירות 2021 '!R9</f>
        <v>0</v>
      </c>
      <c r="S8" s="173">
        <f>'תקציב החברה לתירות 2021 '!S9</f>
        <v>0</v>
      </c>
      <c r="T8" s="173">
        <f>'תקציב החברה לתירות 2021 '!T9</f>
        <v>500000</v>
      </c>
      <c r="U8" s="173">
        <f>'תקציב החברה לתירות 2021 '!U9</f>
        <v>0</v>
      </c>
      <c r="V8" s="173">
        <f>'תקציב החברה לתירות 2021 '!V9</f>
        <v>0</v>
      </c>
      <c r="W8" s="173">
        <f>'תקציב החברה לתירות 2021 '!W9</f>
        <v>0</v>
      </c>
      <c r="X8" s="173">
        <f>'תקציב החברה לתירות 2021 '!X9</f>
        <v>0</v>
      </c>
      <c r="Y8" s="173">
        <f>'תקציב החברה לתירות 2021 '!Y9</f>
        <v>0</v>
      </c>
      <c r="Z8" s="173">
        <f>'תקציב החברה לתירות 2021 '!Z9</f>
        <v>0</v>
      </c>
      <c r="AA8" s="173">
        <f>'תקציב החברה לתירות 2021 '!AA9</f>
        <v>0</v>
      </c>
      <c r="AB8" s="172" t="s">
        <v>1286</v>
      </c>
      <c r="AC8" s="172">
        <f>'תקציב החברה לתירות 2021 '!AC9</f>
        <v>732000</v>
      </c>
      <c r="AD8" s="284"/>
      <c r="AE8" s="284"/>
      <c r="AF8" s="284"/>
      <c r="AI8" s="179"/>
    </row>
    <row r="9" spans="1:35" s="176" customFormat="1">
      <c r="A9" s="172">
        <f>A8+1</f>
        <v>5</v>
      </c>
      <c r="B9" s="172">
        <f>'תקציב החברה לתירות 2021 '!B10</f>
        <v>1981</v>
      </c>
      <c r="C9" s="172" t="s">
        <v>168</v>
      </c>
      <c r="D9" s="173">
        <f>'תקציב החברה לתירות 2021 '!D10</f>
        <v>1100000</v>
      </c>
      <c r="E9" s="173">
        <f>'תקציב החברה לתירות 2021 '!E10</f>
        <v>1100000</v>
      </c>
      <c r="F9" s="173">
        <f>'תקציב החברה לתירות 2021 '!F10</f>
        <v>0</v>
      </c>
      <c r="G9" s="173">
        <f>'תקציב החברה לתירות 2021 '!G10</f>
        <v>1100000</v>
      </c>
      <c r="H9" s="173">
        <f>'תקציב החברה לתירות 2021 '!H10</f>
        <v>826984</v>
      </c>
      <c r="I9" s="173">
        <f>'תקציב החברה לתירות 2021 '!I10</f>
        <v>0</v>
      </c>
      <c r="J9" s="173">
        <f>'תקציב החברה לתירות 2021 '!J10</f>
        <v>0</v>
      </c>
      <c r="K9" s="173">
        <f>'תקציב החברה לתירות 2021 '!K10</f>
        <v>0</v>
      </c>
      <c r="L9" s="173">
        <f>'תקציב החברה לתירות 2021 '!L10</f>
        <v>826984</v>
      </c>
      <c r="M9" s="173">
        <f>'תקציב החברה לתירות 2021 '!M10</f>
        <v>23016</v>
      </c>
      <c r="N9" s="173">
        <f>'תקציב החברה לתירות 2021 '!N10</f>
        <v>250000</v>
      </c>
      <c r="O9" s="173">
        <f>'תקציב החברה לתירות 2021 '!O10</f>
        <v>0</v>
      </c>
      <c r="P9" s="173">
        <f>'תקציב החברה לתירות 2021 '!P10</f>
        <v>273016</v>
      </c>
      <c r="Q9" s="173">
        <f>'תקציב החברה לתירות 2021 '!Q10</f>
        <v>0</v>
      </c>
      <c r="R9" s="173">
        <f>'תקציב החברה לתירות 2021 '!R10</f>
        <v>0</v>
      </c>
      <c r="S9" s="173">
        <f>'תקציב החברה לתירות 2021 '!S10</f>
        <v>0</v>
      </c>
      <c r="T9" s="173">
        <f>'תקציב החברה לתירות 2021 '!T10</f>
        <v>250000</v>
      </c>
      <c r="U9" s="173">
        <f>'תקציב החברה לתירות 2021 '!U10</f>
        <v>0</v>
      </c>
      <c r="V9" s="173">
        <f>'תקציב החברה לתירות 2021 '!V10</f>
        <v>0</v>
      </c>
      <c r="W9" s="173">
        <f>'תקציב החברה לתירות 2021 '!W10</f>
        <v>0</v>
      </c>
      <c r="X9" s="173">
        <f>'תקציב החברה לתירות 2021 '!X10</f>
        <v>0</v>
      </c>
      <c r="Y9" s="173">
        <f>'תקציב החברה לתירות 2021 '!Y10</f>
        <v>0</v>
      </c>
      <c r="Z9" s="173">
        <f>'תקציב החברה לתירות 2021 '!Z10</f>
        <v>0</v>
      </c>
      <c r="AA9" s="173">
        <f>'תקציב החברה לתירות 2021 '!AA10</f>
        <v>0</v>
      </c>
      <c r="AB9" s="172" t="s">
        <v>566</v>
      </c>
      <c r="AC9" s="172">
        <f>'תקציב החברה לתירות 2021 '!AC10</f>
        <v>732000</v>
      </c>
      <c r="AD9" s="284"/>
      <c r="AE9" s="284"/>
      <c r="AF9" s="284"/>
      <c r="AI9" s="179"/>
    </row>
    <row r="10" spans="1:35" s="332" customFormat="1">
      <c r="A10" s="291"/>
      <c r="B10" s="291"/>
      <c r="C10" s="291" t="s">
        <v>1476</v>
      </c>
      <c r="D10" s="350">
        <f>SUM(D5:D9)</f>
        <v>12458000</v>
      </c>
      <c r="E10" s="350">
        <f t="shared" ref="E10:AA10" si="0">SUM(E5:E9)</f>
        <v>12458000</v>
      </c>
      <c r="F10" s="350">
        <f t="shared" si="0"/>
        <v>0</v>
      </c>
      <c r="G10" s="350">
        <f t="shared" si="0"/>
        <v>5695000</v>
      </c>
      <c r="H10" s="350">
        <f t="shared" si="0"/>
        <v>3986378</v>
      </c>
      <c r="I10" s="350">
        <f t="shared" si="0"/>
        <v>0</v>
      </c>
      <c r="J10" s="350">
        <f t="shared" si="0"/>
        <v>0</v>
      </c>
      <c r="K10" s="350">
        <f t="shared" si="0"/>
        <v>0</v>
      </c>
      <c r="L10" s="350">
        <f t="shared" si="0"/>
        <v>3986378</v>
      </c>
      <c r="M10" s="350">
        <f t="shared" si="0"/>
        <v>108622</v>
      </c>
      <c r="N10" s="350">
        <f t="shared" si="0"/>
        <v>2600000</v>
      </c>
      <c r="O10" s="350">
        <f t="shared" si="0"/>
        <v>5763000</v>
      </c>
      <c r="P10" s="350">
        <f t="shared" si="0"/>
        <v>1708622</v>
      </c>
      <c r="Q10" s="350">
        <f t="shared" si="0"/>
        <v>0</v>
      </c>
      <c r="R10" s="350">
        <f t="shared" si="0"/>
        <v>0</v>
      </c>
      <c r="S10" s="350">
        <f t="shared" si="0"/>
        <v>0</v>
      </c>
      <c r="T10" s="350">
        <f t="shared" si="0"/>
        <v>1600000</v>
      </c>
      <c r="U10" s="350">
        <f t="shared" si="0"/>
        <v>1000000</v>
      </c>
      <c r="V10" s="350">
        <f t="shared" si="0"/>
        <v>771068</v>
      </c>
      <c r="W10" s="350">
        <f t="shared" si="0"/>
        <v>0</v>
      </c>
      <c r="X10" s="350">
        <f t="shared" si="0"/>
        <v>0</v>
      </c>
      <c r="Y10" s="350">
        <f t="shared" si="0"/>
        <v>0</v>
      </c>
      <c r="Z10" s="350">
        <f t="shared" si="0"/>
        <v>0</v>
      </c>
      <c r="AA10" s="350">
        <f t="shared" si="0"/>
        <v>228932</v>
      </c>
      <c r="AB10" s="291"/>
      <c r="AC10" s="291"/>
      <c r="AD10" s="334"/>
      <c r="AE10" s="334"/>
      <c r="AF10" s="334"/>
      <c r="AI10" s="351"/>
    </row>
    <row r="11" spans="1:35" s="176" customFormat="1" ht="20" customHeight="1">
      <c r="A11" s="172">
        <f>A9+1</f>
        <v>6</v>
      </c>
      <c r="B11" s="172">
        <f>'תקציב החברה לתירות 2021 '!B7</f>
        <v>1869</v>
      </c>
      <c r="C11" s="326" t="str">
        <f>'תקציב החברה לתירות 2021 '!C7</f>
        <v>תל מיכל</v>
      </c>
      <c r="D11" s="173">
        <f>'תקציב החברה לתירות 2021 '!D7</f>
        <v>8200000</v>
      </c>
      <c r="E11" s="173">
        <f>'תקציב החברה לתירות 2021 '!E7</f>
        <v>8200000</v>
      </c>
      <c r="F11" s="173">
        <f>'תקציב החברה לתירות 2021 '!F7</f>
        <v>0</v>
      </c>
      <c r="G11" s="173">
        <f>'תקציב החברה לתירות 2021 '!G7</f>
        <v>200000</v>
      </c>
      <c r="H11" s="173">
        <f>'תקציב החברה לתירות 2021 '!H7</f>
        <v>94426</v>
      </c>
      <c r="I11" s="173">
        <f>'תקציב החברה לתירות 2021 '!I7</f>
        <v>0</v>
      </c>
      <c r="J11" s="173">
        <f>'תקציב החברה לתירות 2021 '!J7</f>
        <v>0</v>
      </c>
      <c r="K11" s="173">
        <f>'תקציב החברה לתירות 2021 '!K7</f>
        <v>0</v>
      </c>
      <c r="L11" s="173">
        <f>'תקציב החברה לתירות 2021 '!L7</f>
        <v>94426</v>
      </c>
      <c r="M11" s="173">
        <f>'תקציב החברה לתירות 2021 '!M7</f>
        <v>5574</v>
      </c>
      <c r="N11" s="173">
        <f>'תקציב החברה לתירות 2021 '!N7</f>
        <v>100000</v>
      </c>
      <c r="O11" s="173">
        <f>'תקציב החברה לתירות 2021 '!O7</f>
        <v>8000000</v>
      </c>
      <c r="P11" s="173">
        <f>'תקציב החברה לתירות 2021 '!P7</f>
        <v>105574</v>
      </c>
      <c r="Q11" s="173">
        <f>'תקציב החברה לתירות 2021 '!Q7</f>
        <v>0</v>
      </c>
      <c r="R11" s="173">
        <f>'תקציב החברה לתירות 2021 '!R7</f>
        <v>0</v>
      </c>
      <c r="S11" s="173">
        <f>'תקציב החברה לתירות 2021 '!S7</f>
        <v>0</v>
      </c>
      <c r="T11" s="173">
        <f>'תקציב החברה לתירות 2021 '!T7</f>
        <v>100000</v>
      </c>
      <c r="U11" s="173">
        <f>'תקציב החברה לתירות 2021 '!U7</f>
        <v>0</v>
      </c>
      <c r="V11" s="173">
        <f>'תקציב החברה לתירות 2021 '!V7</f>
        <v>0</v>
      </c>
      <c r="W11" s="173">
        <f>'תקציב החברה לתירות 2021 '!W7</f>
        <v>0</v>
      </c>
      <c r="X11" s="173">
        <f>'תקציב החברה לתירות 2021 '!X7</f>
        <v>0</v>
      </c>
      <c r="Y11" s="173">
        <f>'תקציב החברה לתירות 2021 '!Y7</f>
        <v>0</v>
      </c>
      <c r="Z11" s="173">
        <f>'תקציב החברה לתירות 2021 '!Z7</f>
        <v>0</v>
      </c>
      <c r="AA11" s="173">
        <f>'תקציב החברה לתירות 2021 '!AA7</f>
        <v>0</v>
      </c>
      <c r="AB11" s="172" t="s">
        <v>1285</v>
      </c>
      <c r="AC11" s="172">
        <f>'תקציב החברה לתירות 2021 '!AC7</f>
        <v>742000</v>
      </c>
      <c r="AD11" s="284"/>
      <c r="AE11" s="284"/>
      <c r="AF11" s="284"/>
    </row>
    <row r="12" spans="1:35" s="332" customFormat="1" ht="20" customHeight="1">
      <c r="A12" s="291"/>
      <c r="B12" s="291"/>
      <c r="C12" s="423" t="s">
        <v>1477</v>
      </c>
      <c r="D12" s="350">
        <f>SUM(D11)</f>
        <v>8200000</v>
      </c>
      <c r="E12" s="350">
        <f t="shared" ref="E12:AA12" si="1">SUM(E11)</f>
        <v>8200000</v>
      </c>
      <c r="F12" s="350">
        <f t="shared" si="1"/>
        <v>0</v>
      </c>
      <c r="G12" s="350">
        <f t="shared" si="1"/>
        <v>200000</v>
      </c>
      <c r="H12" s="350">
        <f t="shared" si="1"/>
        <v>94426</v>
      </c>
      <c r="I12" s="350">
        <f t="shared" si="1"/>
        <v>0</v>
      </c>
      <c r="J12" s="350">
        <f t="shared" si="1"/>
        <v>0</v>
      </c>
      <c r="K12" s="350">
        <f t="shared" si="1"/>
        <v>0</v>
      </c>
      <c r="L12" s="350">
        <f t="shared" si="1"/>
        <v>94426</v>
      </c>
      <c r="M12" s="350">
        <f t="shared" si="1"/>
        <v>5574</v>
      </c>
      <c r="N12" s="350">
        <f t="shared" si="1"/>
        <v>100000</v>
      </c>
      <c r="O12" s="350">
        <f t="shared" si="1"/>
        <v>8000000</v>
      </c>
      <c r="P12" s="350">
        <f t="shared" si="1"/>
        <v>105574</v>
      </c>
      <c r="Q12" s="350">
        <f t="shared" si="1"/>
        <v>0</v>
      </c>
      <c r="R12" s="350">
        <f t="shared" si="1"/>
        <v>0</v>
      </c>
      <c r="S12" s="350">
        <f t="shared" si="1"/>
        <v>0</v>
      </c>
      <c r="T12" s="350">
        <f t="shared" si="1"/>
        <v>100000</v>
      </c>
      <c r="U12" s="350">
        <f t="shared" si="1"/>
        <v>0</v>
      </c>
      <c r="V12" s="350">
        <f t="shared" si="1"/>
        <v>0</v>
      </c>
      <c r="W12" s="350">
        <f t="shared" si="1"/>
        <v>0</v>
      </c>
      <c r="X12" s="350">
        <f t="shared" si="1"/>
        <v>0</v>
      </c>
      <c r="Y12" s="350">
        <f t="shared" si="1"/>
        <v>0</v>
      </c>
      <c r="Z12" s="350">
        <f t="shared" si="1"/>
        <v>0</v>
      </c>
      <c r="AA12" s="350">
        <f t="shared" si="1"/>
        <v>0</v>
      </c>
      <c r="AB12" s="291"/>
      <c r="AC12" s="291"/>
      <c r="AD12" s="334"/>
      <c r="AE12" s="334"/>
      <c r="AF12" s="334"/>
    </row>
    <row r="13" spans="1:35" s="426" customFormat="1" ht="30" customHeight="1">
      <c r="A13" s="346">
        <f>A11</f>
        <v>6</v>
      </c>
      <c r="B13" s="346"/>
      <c r="C13" s="33" t="s">
        <v>299</v>
      </c>
      <c r="D13" s="425">
        <f>D12+D10</f>
        <v>20658000</v>
      </c>
      <c r="E13" s="425">
        <f t="shared" ref="E13:AA13" si="2">E12+E10</f>
        <v>20658000</v>
      </c>
      <c r="F13" s="425">
        <f t="shared" si="2"/>
        <v>0</v>
      </c>
      <c r="G13" s="425">
        <f t="shared" si="2"/>
        <v>5895000</v>
      </c>
      <c r="H13" s="425">
        <f t="shared" si="2"/>
        <v>4080804</v>
      </c>
      <c r="I13" s="425">
        <f t="shared" si="2"/>
        <v>0</v>
      </c>
      <c r="J13" s="425">
        <f t="shared" si="2"/>
        <v>0</v>
      </c>
      <c r="K13" s="425">
        <f t="shared" si="2"/>
        <v>0</v>
      </c>
      <c r="L13" s="425">
        <f t="shared" si="2"/>
        <v>4080804</v>
      </c>
      <c r="M13" s="425">
        <f t="shared" si="2"/>
        <v>114196</v>
      </c>
      <c r="N13" s="425">
        <f t="shared" si="2"/>
        <v>2700000</v>
      </c>
      <c r="O13" s="425">
        <f t="shared" si="2"/>
        <v>13763000</v>
      </c>
      <c r="P13" s="425">
        <f t="shared" si="2"/>
        <v>1814196</v>
      </c>
      <c r="Q13" s="425">
        <f t="shared" si="2"/>
        <v>0</v>
      </c>
      <c r="R13" s="425">
        <f t="shared" si="2"/>
        <v>0</v>
      </c>
      <c r="S13" s="425">
        <f t="shared" si="2"/>
        <v>0</v>
      </c>
      <c r="T13" s="425">
        <f t="shared" si="2"/>
        <v>1700000</v>
      </c>
      <c r="U13" s="425">
        <f t="shared" si="2"/>
        <v>1000000</v>
      </c>
      <c r="V13" s="425">
        <f t="shared" si="2"/>
        <v>771068</v>
      </c>
      <c r="W13" s="425">
        <f t="shared" si="2"/>
        <v>0</v>
      </c>
      <c r="X13" s="425">
        <f t="shared" si="2"/>
        <v>0</v>
      </c>
      <c r="Y13" s="425">
        <f t="shared" si="2"/>
        <v>0</v>
      </c>
      <c r="Z13" s="425">
        <f t="shared" si="2"/>
        <v>0</v>
      </c>
      <c r="AA13" s="425">
        <f t="shared" si="2"/>
        <v>228932</v>
      </c>
      <c r="AB13" s="425"/>
      <c r="AC13" s="346"/>
    </row>
    <row r="14" spans="1:35" hidden="1">
      <c r="M14" s="167">
        <f>P13-T13</f>
        <v>114196</v>
      </c>
      <c r="P14" s="167">
        <f>G13-L13</f>
        <v>1814196</v>
      </c>
    </row>
  </sheetData>
  <sheetProtection formatCells="0" formatColumns="0" formatRows="0" insertColumns="0" insertRows="0" insertHyperlinks="0" deleteColumns="0" deleteRows="0" sort="0" autoFilter="0" pivotTables="0"/>
  <sortState ref="A5:AI10">
    <sortCondition ref="AC5:AC10"/>
  </sortState>
  <conditionalFormatting sqref="AD13">
    <cfRule type="cellIs" dxfId="212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8" max="16383" man="1"/>
  </rowBreaks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328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20.5">
      <c r="A5" s="232"/>
      <c r="C5" s="234"/>
      <c r="D5" s="232"/>
      <c r="E5" s="232"/>
      <c r="F5" s="232"/>
      <c r="G5" s="232"/>
      <c r="H5" s="232"/>
      <c r="I5" s="232"/>
      <c r="J5" s="232"/>
      <c r="K5" s="232"/>
      <c r="L5" s="232"/>
    </row>
    <row r="6" spans="1:17" ht="21" thickBot="1">
      <c r="A6" s="232"/>
      <c r="C6" s="234"/>
      <c r="D6" s="232"/>
      <c r="E6" s="232"/>
      <c r="F6" s="232"/>
      <c r="G6" s="232"/>
      <c r="H6" s="232"/>
      <c r="I6" s="232"/>
      <c r="J6" s="232"/>
      <c r="K6" s="232"/>
      <c r="L6" s="232"/>
    </row>
    <row r="7" spans="1:17" ht="16" thickBot="1">
      <c r="A7" s="232"/>
      <c r="B7" s="235" t="s">
        <v>187</v>
      </c>
      <c r="C7" s="232" t="s">
        <v>1180</v>
      </c>
      <c r="D7" s="232"/>
      <c r="E7" s="232"/>
      <c r="F7" s="236">
        <f>'תקציב אגף תקשוב 2021 '!U15</f>
        <v>8450000</v>
      </c>
      <c r="I7" s="232"/>
      <c r="J7" s="232"/>
      <c r="K7" s="232"/>
      <c r="L7" s="232"/>
    </row>
    <row r="8" spans="1:17" ht="21" thickBot="1">
      <c r="A8" s="232"/>
      <c r="C8" s="234"/>
      <c r="D8" s="232"/>
      <c r="E8" s="232"/>
      <c r="F8" s="232"/>
      <c r="H8" s="232"/>
      <c r="I8" s="232"/>
      <c r="J8" s="232"/>
      <c r="K8" s="232"/>
      <c r="L8" s="232"/>
    </row>
    <row r="9" spans="1:17" ht="16" thickBot="1">
      <c r="B9" s="235" t="s">
        <v>187</v>
      </c>
      <c r="C9" s="232" t="s">
        <v>336</v>
      </c>
      <c r="D9" s="232"/>
      <c r="F9" s="244">
        <f>'תקציב אגף תקשוב 2021 '!A15</f>
        <v>10</v>
      </c>
      <c r="I9" s="232"/>
      <c r="J9" s="232"/>
      <c r="K9" s="232"/>
      <c r="L9" s="232"/>
      <c r="M9" s="232"/>
      <c r="N9" s="232"/>
      <c r="O9" s="232"/>
      <c r="P9" s="232"/>
      <c r="Q9" s="232"/>
    </row>
    <row r="10" spans="1:17" ht="15.5">
      <c r="B10" s="235"/>
      <c r="C10" s="232"/>
      <c r="D10" s="232"/>
      <c r="F10" s="238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15.5">
      <c r="B11" s="235"/>
      <c r="C11" s="232"/>
      <c r="D11" s="232"/>
      <c r="F11" s="238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7" ht="15.5">
      <c r="B12" s="235" t="s">
        <v>187</v>
      </c>
      <c r="C12" s="232" t="s">
        <v>310</v>
      </c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7" ht="16" thickBot="1"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7" ht="15.5">
      <c r="D14" s="245" t="s">
        <v>311</v>
      </c>
      <c r="E14" s="246" t="s">
        <v>312</v>
      </c>
      <c r="F14" s="247" t="s">
        <v>314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7" ht="15.5">
      <c r="C15" s="235"/>
      <c r="D15" s="239" t="s">
        <v>13</v>
      </c>
      <c r="E15" s="248">
        <f>'תקציב אגף תקשוב 2021 '!V15</f>
        <v>5450000</v>
      </c>
      <c r="F15" s="256">
        <f>E15/$E$18</f>
        <v>0.6449704142011834</v>
      </c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 ht="15.5">
      <c r="C16" s="235"/>
      <c r="D16" s="239" t="s">
        <v>14</v>
      </c>
      <c r="E16" s="248">
        <f>'תקציב אגף תקשוב 2021 '!W15</f>
        <v>2500000</v>
      </c>
      <c r="F16" s="256">
        <f>E16/$E$18</f>
        <v>0.29585798816568049</v>
      </c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.5">
      <c r="C17" s="235"/>
      <c r="D17" s="239" t="s">
        <v>91</v>
      </c>
      <c r="E17" s="343">
        <f>'תקציב אגף תקשוב 2021 '!AA15</f>
        <v>500000</v>
      </c>
      <c r="F17" s="256">
        <f>E17/$E$18</f>
        <v>5.9171597633136092E-2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6" thickBot="1">
      <c r="C18" s="235"/>
      <c r="D18" s="242" t="s">
        <v>105</v>
      </c>
      <c r="E18" s="347">
        <f>SUM(E15:E17)</f>
        <v>8450000</v>
      </c>
      <c r="F18" s="359">
        <f>SUM(F15:F17)</f>
        <v>0.99999999999999989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5.5">
      <c r="B19" s="235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5.5">
      <c r="B20" s="23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s="338" customFormat="1" ht="15.5">
      <c r="C21" s="340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3" spans="1:17" ht="15.5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3"/>
  <sheetViews>
    <sheetView showZeros="0" rightToLeft="1" topLeftCell="A19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7" width="5.54296875" style="233" customWidth="1"/>
    <col min="8" max="9" width="12.08984375" style="233" customWidth="1"/>
    <col min="10" max="10" width="7.90625" style="233" customWidth="1"/>
    <col min="11" max="16384" width="9.08984375" style="233"/>
  </cols>
  <sheetData>
    <row r="3" spans="1:17" ht="20.5">
      <c r="A3" s="232"/>
      <c r="C3" s="234" t="s">
        <v>328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7" ht="20.5">
      <c r="A4" s="232"/>
      <c r="C4" s="234"/>
      <c r="D4" s="232"/>
      <c r="E4" s="232"/>
      <c r="F4" s="232"/>
      <c r="G4" s="232"/>
      <c r="H4" s="232"/>
      <c r="I4" s="232"/>
      <c r="J4" s="232"/>
      <c r="K4" s="232"/>
      <c r="L4" s="232"/>
    </row>
    <row r="5" spans="1:17" ht="15.5">
      <c r="B5" s="235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5.5">
      <c r="B6" s="235" t="s">
        <v>187</v>
      </c>
      <c r="C6" s="232" t="s">
        <v>1178</v>
      </c>
      <c r="D6" s="232"/>
      <c r="F6" s="232"/>
      <c r="H6" s="241"/>
      <c r="I6" s="232"/>
      <c r="J6" s="232"/>
      <c r="K6" s="232"/>
      <c r="L6" s="232"/>
      <c r="M6" s="232"/>
      <c r="N6" s="232"/>
      <c r="O6" s="232"/>
      <c r="P6" s="232"/>
      <c r="Q6" s="232"/>
    </row>
    <row r="7" spans="1:17" ht="15.5">
      <c r="C7" s="232"/>
      <c r="D7" s="232" t="s">
        <v>332</v>
      </c>
      <c r="E7" s="232"/>
      <c r="F7" s="232"/>
      <c r="H7" s="232"/>
      <c r="I7" s="232"/>
      <c r="J7" s="232"/>
      <c r="K7" s="232"/>
      <c r="L7" s="232"/>
    </row>
    <row r="8" spans="1:17" ht="15.5">
      <c r="B8" s="235"/>
      <c r="C8" s="232"/>
      <c r="D8" s="232" t="s">
        <v>525</v>
      </c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</row>
    <row r="9" spans="1:17" ht="15.5">
      <c r="B9" s="235"/>
      <c r="C9" s="232"/>
      <c r="D9" s="232" t="s">
        <v>831</v>
      </c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2" spans="1:17">
      <c r="D12" s="358" t="s">
        <v>874</v>
      </c>
    </row>
    <row r="33" spans="4:4">
      <c r="D33" s="357" t="s">
        <v>526</v>
      </c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0"/>
  <sheetViews>
    <sheetView showZeros="0" rightToLeft="1" workbookViewId="0">
      <pane xSplit="3" ySplit="4" topLeftCell="D11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8.90625" defaultRowHeight="12.5"/>
  <cols>
    <col min="1" max="1" width="3" style="214" customWidth="1"/>
    <col min="2" max="2" width="4.1796875" style="214" customWidth="1"/>
    <col min="3" max="3" width="18" style="214" customWidth="1"/>
    <col min="4" max="6" width="9.81640625" style="214" customWidth="1"/>
    <col min="7" max="11" width="9.81640625" style="214" hidden="1" customWidth="1"/>
    <col min="12" max="15" width="9.81640625" style="214" customWidth="1"/>
    <col min="16" max="19" width="9.81640625" style="214" hidden="1" customWidth="1"/>
    <col min="20" max="23" width="8.81640625" style="214" customWidth="1"/>
    <col min="24" max="26" width="8.81640625" style="214" hidden="1" customWidth="1"/>
    <col min="27" max="27" width="8.81640625" style="214" customWidth="1"/>
    <col min="28" max="28" width="35" style="214" customWidth="1"/>
    <col min="29" max="29" width="8.90625" style="214" hidden="1" customWidth="1"/>
    <col min="30" max="16384" width="8.90625" style="214"/>
  </cols>
  <sheetData>
    <row r="1" spans="1:34" ht="18">
      <c r="A1" s="569"/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70"/>
      <c r="Y1" s="570"/>
      <c r="Z1" s="570"/>
      <c r="AA1" s="571"/>
      <c r="AB1" s="572"/>
      <c r="AC1" s="571"/>
      <c r="AD1" s="573"/>
      <c r="AE1" s="573"/>
      <c r="AF1" s="573"/>
      <c r="AG1" s="573"/>
      <c r="AH1" s="573"/>
    </row>
    <row r="2" spans="1:34" ht="18">
      <c r="A2" s="569" t="s">
        <v>475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74"/>
      <c r="Y2" s="574"/>
      <c r="Z2" s="574"/>
      <c r="AA2" s="574"/>
      <c r="AB2" s="573"/>
      <c r="AC2" s="574"/>
      <c r="AD2" s="573"/>
      <c r="AE2" s="573"/>
      <c r="AF2" s="573"/>
      <c r="AG2" s="573"/>
      <c r="AH2" s="573"/>
    </row>
    <row r="3" spans="1:34" ht="14">
      <c r="A3" s="575"/>
      <c r="B3" s="574"/>
      <c r="C3" s="574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4"/>
      <c r="V3" s="574"/>
      <c r="W3" s="574"/>
      <c r="X3" s="574"/>
      <c r="Y3" s="574"/>
      <c r="Z3" s="574"/>
      <c r="AA3" s="574"/>
      <c r="AB3" s="575"/>
      <c r="AC3" s="574"/>
      <c r="AD3" s="573"/>
      <c r="AE3" s="573"/>
      <c r="AF3" s="573"/>
      <c r="AG3" s="573"/>
      <c r="AH3" s="573"/>
    </row>
    <row r="4" spans="1:34" ht="70">
      <c r="A4" s="169" t="s">
        <v>0</v>
      </c>
      <c r="B4" s="577" t="s">
        <v>836</v>
      </c>
      <c r="C4" s="577" t="s">
        <v>2</v>
      </c>
      <c r="D4" s="577" t="s">
        <v>3</v>
      </c>
      <c r="E4" s="577" t="s">
        <v>4</v>
      </c>
      <c r="F4" s="577" t="s">
        <v>5</v>
      </c>
      <c r="G4" s="577" t="s">
        <v>6</v>
      </c>
      <c r="H4" s="577" t="s">
        <v>7</v>
      </c>
      <c r="I4" s="577" t="s">
        <v>9</v>
      </c>
      <c r="J4" s="577" t="s">
        <v>178</v>
      </c>
      <c r="K4" s="577" t="s">
        <v>10</v>
      </c>
      <c r="L4" s="577" t="s">
        <v>11</v>
      </c>
      <c r="M4" s="2" t="s">
        <v>936</v>
      </c>
      <c r="N4" s="577" t="s">
        <v>937</v>
      </c>
      <c r="O4" s="577" t="s">
        <v>938</v>
      </c>
      <c r="P4" s="577" t="s">
        <v>12</v>
      </c>
      <c r="Q4" s="577" t="s">
        <v>939</v>
      </c>
      <c r="R4" s="577" t="s">
        <v>940</v>
      </c>
      <c r="S4" s="577" t="s">
        <v>941</v>
      </c>
      <c r="T4" s="577" t="s">
        <v>942</v>
      </c>
      <c r="U4" s="577" t="s">
        <v>943</v>
      </c>
      <c r="V4" s="577" t="s">
        <v>13</v>
      </c>
      <c r="W4" s="577" t="s">
        <v>14</v>
      </c>
      <c r="X4" s="577" t="s">
        <v>15</v>
      </c>
      <c r="Y4" s="577" t="s">
        <v>301</v>
      </c>
      <c r="Z4" s="577" t="s">
        <v>1391</v>
      </c>
      <c r="AA4" s="577" t="s">
        <v>91</v>
      </c>
      <c r="AB4" s="579" t="s">
        <v>344</v>
      </c>
      <c r="AC4" s="577" t="s">
        <v>16</v>
      </c>
      <c r="AD4" s="573"/>
      <c r="AE4" s="573"/>
      <c r="AF4" s="573"/>
      <c r="AG4" s="573"/>
      <c r="AH4" s="573"/>
    </row>
    <row r="5" spans="1:34" ht="45" customHeight="1">
      <c r="A5" s="580">
        <v>1</v>
      </c>
      <c r="B5" s="580">
        <v>1002</v>
      </c>
      <c r="C5" s="580" t="s">
        <v>151</v>
      </c>
      <c r="D5" s="581">
        <v>3290000</v>
      </c>
      <c r="E5" s="581">
        <v>2290000</v>
      </c>
      <c r="F5" s="581">
        <f t="shared" ref="F5:F14" si="0">D5-E5</f>
        <v>1000000</v>
      </c>
      <c r="G5" s="581">
        <v>2160000</v>
      </c>
      <c r="H5" s="581">
        <v>2146623</v>
      </c>
      <c r="I5" s="581">
        <v>0</v>
      </c>
      <c r="J5" s="581">
        <v>9403</v>
      </c>
      <c r="K5" s="581">
        <f t="shared" ref="K5:K14" si="1">I5+J5</f>
        <v>9403</v>
      </c>
      <c r="L5" s="581">
        <f t="shared" ref="L5:L14" si="2">H5+K5</f>
        <v>2156026</v>
      </c>
      <c r="M5" s="582">
        <f t="shared" ref="M5:M14" si="3">P5+S5</f>
        <v>3974</v>
      </c>
      <c r="N5" s="582">
        <v>50000</v>
      </c>
      <c r="O5" s="582">
        <f t="shared" ref="O5:O14" si="4">D5-L5-M5-N5</f>
        <v>1080000</v>
      </c>
      <c r="P5" s="582">
        <f t="shared" ref="P5:P14" si="5">G5-L5</f>
        <v>3974</v>
      </c>
      <c r="Q5" s="582"/>
      <c r="R5" s="582"/>
      <c r="S5" s="582">
        <f t="shared" ref="S5:S14" si="6">SUM(Q5:R5)</f>
        <v>0</v>
      </c>
      <c r="T5" s="582">
        <f t="shared" ref="T5:T14" si="7">P5-M5+S5</f>
        <v>0</v>
      </c>
      <c r="U5" s="582">
        <f t="shared" ref="U5:U14" si="8">N5-T5</f>
        <v>50000</v>
      </c>
      <c r="V5" s="582"/>
      <c r="W5" s="582">
        <f t="shared" ref="W5:W14" si="9">U5-V5-X5-Z5-AA5</f>
        <v>50000</v>
      </c>
      <c r="X5" s="581"/>
      <c r="Y5" s="581"/>
      <c r="Z5" s="581"/>
      <c r="AA5" s="580"/>
      <c r="AB5" s="580" t="s">
        <v>476</v>
      </c>
      <c r="AC5" s="580">
        <v>760000</v>
      </c>
      <c r="AD5" s="573"/>
      <c r="AE5" s="573"/>
      <c r="AF5" s="573"/>
      <c r="AG5" s="573"/>
      <c r="AH5" s="573"/>
    </row>
    <row r="6" spans="1:34" ht="45" customHeight="1">
      <c r="A6" s="580">
        <f>A5+1</f>
        <v>2</v>
      </c>
      <c r="B6" s="580">
        <v>1497</v>
      </c>
      <c r="C6" s="580" t="s">
        <v>66</v>
      </c>
      <c r="D6" s="581">
        <v>8820000</v>
      </c>
      <c r="E6" s="581">
        <v>8820000</v>
      </c>
      <c r="F6" s="581">
        <f t="shared" si="0"/>
        <v>0</v>
      </c>
      <c r="G6" s="581">
        <v>2973000</v>
      </c>
      <c r="H6" s="581">
        <v>2761476</v>
      </c>
      <c r="I6" s="581">
        <v>136200</v>
      </c>
      <c r="J6" s="581">
        <v>58046</v>
      </c>
      <c r="K6" s="581">
        <f t="shared" si="1"/>
        <v>194246</v>
      </c>
      <c r="L6" s="581">
        <f t="shared" si="2"/>
        <v>2955722</v>
      </c>
      <c r="M6" s="582">
        <f t="shared" si="3"/>
        <v>17278</v>
      </c>
      <c r="N6" s="582">
        <v>50000</v>
      </c>
      <c r="O6" s="582">
        <f t="shared" si="4"/>
        <v>5797000</v>
      </c>
      <c r="P6" s="582">
        <f t="shared" si="5"/>
        <v>17278</v>
      </c>
      <c r="Q6" s="582"/>
      <c r="R6" s="582"/>
      <c r="S6" s="582">
        <f t="shared" si="6"/>
        <v>0</v>
      </c>
      <c r="T6" s="582">
        <f t="shared" si="7"/>
        <v>0</v>
      </c>
      <c r="U6" s="582">
        <f t="shared" si="8"/>
        <v>50000</v>
      </c>
      <c r="V6" s="582"/>
      <c r="W6" s="582">
        <f t="shared" si="9"/>
        <v>50000</v>
      </c>
      <c r="X6" s="581"/>
      <c r="Y6" s="581"/>
      <c r="Z6" s="581"/>
      <c r="AA6" s="580"/>
      <c r="AB6" s="580" t="s">
        <v>1282</v>
      </c>
      <c r="AC6" s="580">
        <v>610000</v>
      </c>
      <c r="AD6" s="573"/>
      <c r="AE6" s="573"/>
      <c r="AF6" s="573"/>
      <c r="AG6" s="573"/>
      <c r="AH6" s="573"/>
    </row>
    <row r="7" spans="1:34" ht="45" customHeight="1">
      <c r="A7" s="580">
        <f t="shared" ref="A7:A14" si="10">A6+1</f>
        <v>3</v>
      </c>
      <c r="B7" s="580">
        <v>1647</v>
      </c>
      <c r="C7" s="580" t="s">
        <v>445</v>
      </c>
      <c r="D7" s="581">
        <v>4700000</v>
      </c>
      <c r="E7" s="581">
        <v>4700000</v>
      </c>
      <c r="F7" s="581">
        <f t="shared" si="0"/>
        <v>0</v>
      </c>
      <c r="G7" s="581">
        <v>4200000</v>
      </c>
      <c r="H7" s="581">
        <v>4107773</v>
      </c>
      <c r="I7" s="581">
        <v>0</v>
      </c>
      <c r="J7" s="581">
        <v>70989</v>
      </c>
      <c r="K7" s="581">
        <f t="shared" si="1"/>
        <v>70989</v>
      </c>
      <c r="L7" s="581">
        <f t="shared" si="2"/>
        <v>4178762</v>
      </c>
      <c r="M7" s="582">
        <f t="shared" si="3"/>
        <v>21238</v>
      </c>
      <c r="N7" s="582">
        <v>50000</v>
      </c>
      <c r="O7" s="582">
        <f t="shared" si="4"/>
        <v>450000</v>
      </c>
      <c r="P7" s="582">
        <f t="shared" si="5"/>
        <v>21238</v>
      </c>
      <c r="Q7" s="582"/>
      <c r="R7" s="582"/>
      <c r="S7" s="582">
        <f t="shared" si="6"/>
        <v>0</v>
      </c>
      <c r="T7" s="582">
        <f t="shared" si="7"/>
        <v>0</v>
      </c>
      <c r="U7" s="582">
        <f t="shared" si="8"/>
        <v>50000</v>
      </c>
      <c r="V7" s="582"/>
      <c r="W7" s="582">
        <f t="shared" si="9"/>
        <v>50000</v>
      </c>
      <c r="X7" s="581"/>
      <c r="Y7" s="581"/>
      <c r="Z7" s="581"/>
      <c r="AA7" s="580"/>
      <c r="AB7" s="580" t="s">
        <v>495</v>
      </c>
      <c r="AC7" s="580">
        <v>810000</v>
      </c>
      <c r="AD7" s="573"/>
      <c r="AE7" s="573"/>
      <c r="AF7" s="573"/>
      <c r="AG7" s="573"/>
      <c r="AH7" s="573"/>
    </row>
    <row r="8" spans="1:34" ht="45" customHeight="1">
      <c r="A8" s="580">
        <f t="shared" si="10"/>
        <v>4</v>
      </c>
      <c r="B8" s="580">
        <v>1871</v>
      </c>
      <c r="C8" s="580" t="s">
        <v>571</v>
      </c>
      <c r="D8" s="581">
        <v>16000000</v>
      </c>
      <c r="E8" s="581">
        <v>8000000</v>
      </c>
      <c r="F8" s="581">
        <f t="shared" si="0"/>
        <v>8000000</v>
      </c>
      <c r="G8" s="581">
        <v>4990000</v>
      </c>
      <c r="H8" s="581">
        <v>876576</v>
      </c>
      <c r="I8" s="581">
        <v>0</v>
      </c>
      <c r="J8" s="581">
        <v>3531865</v>
      </c>
      <c r="K8" s="581">
        <f t="shared" si="1"/>
        <v>3531865</v>
      </c>
      <c r="L8" s="581">
        <f t="shared" si="2"/>
        <v>4408441</v>
      </c>
      <c r="M8" s="582">
        <f t="shared" si="3"/>
        <v>581559</v>
      </c>
      <c r="N8" s="582">
        <f>7700000-300000+50000-2000000</f>
        <v>5450000</v>
      </c>
      <c r="O8" s="582">
        <f t="shared" si="4"/>
        <v>5560000</v>
      </c>
      <c r="P8" s="582">
        <f t="shared" si="5"/>
        <v>581559</v>
      </c>
      <c r="Q8" s="582"/>
      <c r="R8" s="582"/>
      <c r="S8" s="582">
        <f t="shared" si="6"/>
        <v>0</v>
      </c>
      <c r="T8" s="582">
        <f t="shared" si="7"/>
        <v>0</v>
      </c>
      <c r="U8" s="582">
        <f t="shared" si="8"/>
        <v>5450000</v>
      </c>
      <c r="V8" s="582">
        <v>5450000</v>
      </c>
      <c r="W8" s="582">
        <f t="shared" si="9"/>
        <v>0</v>
      </c>
      <c r="X8" s="581"/>
      <c r="Y8" s="581"/>
      <c r="Z8" s="581"/>
      <c r="AA8" s="580"/>
      <c r="AB8" s="580" t="s">
        <v>444</v>
      </c>
      <c r="AC8" s="580">
        <v>760000</v>
      </c>
      <c r="AD8" s="573"/>
      <c r="AE8" s="573"/>
      <c r="AF8" s="573"/>
      <c r="AG8" s="573"/>
      <c r="AH8" s="573"/>
    </row>
    <row r="9" spans="1:34" ht="45" customHeight="1">
      <c r="A9" s="580">
        <f t="shared" si="10"/>
        <v>5</v>
      </c>
      <c r="B9" s="580">
        <v>1982</v>
      </c>
      <c r="C9" s="580" t="s">
        <v>572</v>
      </c>
      <c r="D9" s="581">
        <v>14800000</v>
      </c>
      <c r="E9" s="581">
        <v>17700000</v>
      </c>
      <c r="F9" s="581">
        <f t="shared" si="0"/>
        <v>-2900000</v>
      </c>
      <c r="G9" s="581">
        <v>10150000</v>
      </c>
      <c r="H9" s="581">
        <v>7569369</v>
      </c>
      <c r="I9" s="581">
        <v>0</v>
      </c>
      <c r="J9" s="581">
        <v>2228112</v>
      </c>
      <c r="K9" s="581">
        <f t="shared" si="1"/>
        <v>2228112</v>
      </c>
      <c r="L9" s="581">
        <f t="shared" si="2"/>
        <v>9797481</v>
      </c>
      <c r="M9" s="582">
        <f t="shared" si="3"/>
        <v>352519</v>
      </c>
      <c r="N9" s="582">
        <f>3300000-300000+50000-1000000</f>
        <v>2050000</v>
      </c>
      <c r="O9" s="582">
        <f t="shared" si="4"/>
        <v>2600000</v>
      </c>
      <c r="P9" s="582">
        <f t="shared" si="5"/>
        <v>352519</v>
      </c>
      <c r="Q9" s="582"/>
      <c r="R9" s="582"/>
      <c r="S9" s="582">
        <f t="shared" si="6"/>
        <v>0</v>
      </c>
      <c r="T9" s="582">
        <f t="shared" si="7"/>
        <v>0</v>
      </c>
      <c r="U9" s="582">
        <f t="shared" si="8"/>
        <v>2050000</v>
      </c>
      <c r="V9" s="582"/>
      <c r="W9" s="582">
        <f t="shared" si="9"/>
        <v>2050000</v>
      </c>
      <c r="X9" s="581"/>
      <c r="Y9" s="581"/>
      <c r="Z9" s="581"/>
      <c r="AA9" s="580"/>
      <c r="AB9" s="580" t="s">
        <v>1564</v>
      </c>
      <c r="AC9" s="580">
        <v>722000</v>
      </c>
      <c r="AD9" s="573"/>
      <c r="AE9" s="573"/>
      <c r="AF9" s="573"/>
      <c r="AG9" s="573"/>
      <c r="AH9" s="573"/>
    </row>
    <row r="10" spans="1:34" ht="56">
      <c r="A10" s="580">
        <f t="shared" si="10"/>
        <v>6</v>
      </c>
      <c r="B10" s="580">
        <v>2081</v>
      </c>
      <c r="C10" s="583" t="s">
        <v>446</v>
      </c>
      <c r="D10" s="581">
        <v>10000000</v>
      </c>
      <c r="E10" s="581">
        <v>1500000</v>
      </c>
      <c r="F10" s="581">
        <f t="shared" si="0"/>
        <v>8500000</v>
      </c>
      <c r="G10" s="581">
        <v>0</v>
      </c>
      <c r="H10" s="581">
        <v>0</v>
      </c>
      <c r="I10" s="581">
        <v>0</v>
      </c>
      <c r="J10" s="581">
        <v>0</v>
      </c>
      <c r="K10" s="581">
        <f t="shared" si="1"/>
        <v>0</v>
      </c>
      <c r="L10" s="581">
        <f t="shared" si="2"/>
        <v>0</v>
      </c>
      <c r="M10" s="582">
        <f t="shared" si="3"/>
        <v>0</v>
      </c>
      <c r="N10" s="582">
        <v>0</v>
      </c>
      <c r="O10" s="582">
        <f t="shared" si="4"/>
        <v>10000000</v>
      </c>
      <c r="P10" s="582">
        <f t="shared" si="5"/>
        <v>0</v>
      </c>
      <c r="Q10" s="582"/>
      <c r="R10" s="582"/>
      <c r="S10" s="582">
        <f t="shared" si="6"/>
        <v>0</v>
      </c>
      <c r="T10" s="582">
        <f t="shared" si="7"/>
        <v>0</v>
      </c>
      <c r="U10" s="582">
        <f t="shared" si="8"/>
        <v>0</v>
      </c>
      <c r="V10" s="582"/>
      <c r="W10" s="582">
        <f t="shared" si="9"/>
        <v>0</v>
      </c>
      <c r="X10" s="581"/>
      <c r="Y10" s="581"/>
      <c r="Z10" s="581"/>
      <c r="AA10" s="580"/>
      <c r="AB10" s="580" t="s">
        <v>835</v>
      </c>
      <c r="AC10" s="580">
        <v>760000</v>
      </c>
      <c r="AD10" s="5"/>
      <c r="AE10" s="5"/>
      <c r="AF10" s="5"/>
      <c r="AG10" s="5"/>
      <c r="AH10" s="5"/>
    </row>
    <row r="11" spans="1:34" ht="84">
      <c r="A11" s="580">
        <f t="shared" si="10"/>
        <v>7</v>
      </c>
      <c r="B11" s="580">
        <v>2082</v>
      </c>
      <c r="C11" s="580" t="s">
        <v>447</v>
      </c>
      <c r="D11" s="581">
        <v>1000000</v>
      </c>
      <c r="E11" s="581">
        <v>1000000</v>
      </c>
      <c r="F11" s="581">
        <f t="shared" si="0"/>
        <v>0</v>
      </c>
      <c r="G11" s="581">
        <v>100000</v>
      </c>
      <c r="H11" s="581">
        <v>27574</v>
      </c>
      <c r="I11" s="581">
        <v>0</v>
      </c>
      <c r="J11" s="581">
        <v>22561</v>
      </c>
      <c r="K11" s="581">
        <f t="shared" si="1"/>
        <v>22561</v>
      </c>
      <c r="L11" s="581">
        <f t="shared" si="2"/>
        <v>50135</v>
      </c>
      <c r="M11" s="582">
        <f t="shared" si="3"/>
        <v>49865</v>
      </c>
      <c r="N11" s="582">
        <f>900000-450000-150000-150000</f>
        <v>150000</v>
      </c>
      <c r="O11" s="582">
        <f t="shared" si="4"/>
        <v>750000</v>
      </c>
      <c r="P11" s="582">
        <f t="shared" si="5"/>
        <v>49865</v>
      </c>
      <c r="Q11" s="582"/>
      <c r="R11" s="582"/>
      <c r="S11" s="582">
        <f t="shared" si="6"/>
        <v>0</v>
      </c>
      <c r="T11" s="582">
        <f t="shared" si="7"/>
        <v>0</v>
      </c>
      <c r="U11" s="582">
        <f t="shared" si="8"/>
        <v>150000</v>
      </c>
      <c r="V11" s="582"/>
      <c r="W11" s="582">
        <f t="shared" si="9"/>
        <v>150000</v>
      </c>
      <c r="X11" s="581"/>
      <c r="Y11" s="581"/>
      <c r="Z11" s="581"/>
      <c r="AA11" s="580"/>
      <c r="AB11" s="580" t="s">
        <v>573</v>
      </c>
      <c r="AC11" s="580">
        <v>760000</v>
      </c>
      <c r="AD11" s="573"/>
      <c r="AE11" s="573"/>
      <c r="AF11" s="573"/>
      <c r="AG11" s="573"/>
      <c r="AH11" s="573"/>
    </row>
    <row r="12" spans="1:34" ht="56">
      <c r="A12" s="580">
        <f t="shared" si="10"/>
        <v>8</v>
      </c>
      <c r="B12" s="580">
        <v>2083</v>
      </c>
      <c r="C12" s="580" t="s">
        <v>471</v>
      </c>
      <c r="D12" s="581">
        <v>5580000</v>
      </c>
      <c r="E12" s="581">
        <v>5580000</v>
      </c>
      <c r="F12" s="581">
        <f t="shared" si="0"/>
        <v>0</v>
      </c>
      <c r="G12" s="581">
        <v>5580000</v>
      </c>
      <c r="H12" s="581">
        <v>2975445</v>
      </c>
      <c r="I12" s="581">
        <v>0</v>
      </c>
      <c r="J12" s="581">
        <v>0</v>
      </c>
      <c r="K12" s="581">
        <f t="shared" si="1"/>
        <v>0</v>
      </c>
      <c r="L12" s="581">
        <f t="shared" si="2"/>
        <v>2975445</v>
      </c>
      <c r="M12" s="582">
        <f t="shared" si="3"/>
        <v>2604555</v>
      </c>
      <c r="N12" s="582">
        <v>0</v>
      </c>
      <c r="O12" s="582">
        <f t="shared" si="4"/>
        <v>0</v>
      </c>
      <c r="P12" s="582">
        <f t="shared" si="5"/>
        <v>2604555</v>
      </c>
      <c r="Q12" s="582"/>
      <c r="R12" s="582"/>
      <c r="S12" s="582">
        <f t="shared" si="6"/>
        <v>0</v>
      </c>
      <c r="T12" s="582">
        <f t="shared" si="7"/>
        <v>0</v>
      </c>
      <c r="U12" s="582">
        <f t="shared" si="8"/>
        <v>0</v>
      </c>
      <c r="V12" s="582"/>
      <c r="W12" s="582">
        <f t="shared" si="9"/>
        <v>0</v>
      </c>
      <c r="X12" s="581"/>
      <c r="Y12" s="581"/>
      <c r="Z12" s="581"/>
      <c r="AA12" s="580"/>
      <c r="AB12" s="580" t="s">
        <v>1718</v>
      </c>
      <c r="AC12" s="580">
        <v>810000</v>
      </c>
      <c r="AD12" s="5"/>
      <c r="AE12" s="5"/>
      <c r="AF12" s="5"/>
      <c r="AG12" s="5"/>
      <c r="AH12" s="5"/>
    </row>
    <row r="13" spans="1:34" ht="78" customHeight="1">
      <c r="A13" s="580">
        <f t="shared" si="10"/>
        <v>9</v>
      </c>
      <c r="B13" s="404">
        <v>2170</v>
      </c>
      <c r="C13" s="3" t="s">
        <v>771</v>
      </c>
      <c r="D13" s="4">
        <v>280000</v>
      </c>
      <c r="E13" s="4">
        <v>200000</v>
      </c>
      <c r="F13" s="581">
        <f t="shared" si="0"/>
        <v>80000</v>
      </c>
      <c r="G13" s="4">
        <v>80000</v>
      </c>
      <c r="H13" s="4">
        <v>57330</v>
      </c>
      <c r="I13" s="4">
        <v>0</v>
      </c>
      <c r="J13" s="4">
        <v>0</v>
      </c>
      <c r="K13" s="581">
        <f t="shared" si="1"/>
        <v>0</v>
      </c>
      <c r="L13" s="581">
        <f t="shared" si="2"/>
        <v>57330</v>
      </c>
      <c r="M13" s="582">
        <f t="shared" si="3"/>
        <v>22670</v>
      </c>
      <c r="N13" s="582">
        <f>150000-50000+50000</f>
        <v>150000</v>
      </c>
      <c r="O13" s="582">
        <f t="shared" si="4"/>
        <v>50000</v>
      </c>
      <c r="P13" s="582">
        <f t="shared" si="5"/>
        <v>22670</v>
      </c>
      <c r="Q13" s="582"/>
      <c r="R13" s="582"/>
      <c r="S13" s="582">
        <f t="shared" si="6"/>
        <v>0</v>
      </c>
      <c r="T13" s="582">
        <f t="shared" si="7"/>
        <v>0</v>
      </c>
      <c r="U13" s="582">
        <f t="shared" si="8"/>
        <v>150000</v>
      </c>
      <c r="V13" s="582"/>
      <c r="W13" s="582">
        <f t="shared" si="9"/>
        <v>150000</v>
      </c>
      <c r="X13" s="581"/>
      <c r="Y13" s="581"/>
      <c r="Z13" s="581"/>
      <c r="AA13" s="580"/>
      <c r="AB13" s="3" t="s">
        <v>1283</v>
      </c>
      <c r="AC13" s="580">
        <v>760000</v>
      </c>
      <c r="AD13" s="573"/>
      <c r="AE13" s="573"/>
      <c r="AF13" s="573"/>
      <c r="AG13" s="573"/>
      <c r="AH13" s="573"/>
    </row>
    <row r="14" spans="1:34" ht="45" customHeight="1">
      <c r="A14" s="580">
        <f t="shared" si="10"/>
        <v>10</v>
      </c>
      <c r="B14" s="404">
        <v>2188</v>
      </c>
      <c r="C14" s="3" t="s">
        <v>1284</v>
      </c>
      <c r="D14" s="4">
        <v>2500000</v>
      </c>
      <c r="E14" s="4">
        <v>2000000</v>
      </c>
      <c r="F14" s="581">
        <f t="shared" si="0"/>
        <v>500000</v>
      </c>
      <c r="G14" s="4">
        <v>1000000</v>
      </c>
      <c r="H14" s="4"/>
      <c r="I14" s="4"/>
      <c r="J14" s="4"/>
      <c r="K14" s="581">
        <f t="shared" si="1"/>
        <v>0</v>
      </c>
      <c r="L14" s="581">
        <f t="shared" si="2"/>
        <v>0</v>
      </c>
      <c r="M14" s="582">
        <f t="shared" si="3"/>
        <v>2000000</v>
      </c>
      <c r="N14" s="582">
        <v>500000</v>
      </c>
      <c r="O14" s="582">
        <f t="shared" si="4"/>
        <v>0</v>
      </c>
      <c r="P14" s="582">
        <f t="shared" si="5"/>
        <v>1000000</v>
      </c>
      <c r="Q14" s="582"/>
      <c r="R14" s="582">
        <v>1000000</v>
      </c>
      <c r="S14" s="582">
        <f t="shared" si="6"/>
        <v>1000000</v>
      </c>
      <c r="T14" s="582">
        <f t="shared" si="7"/>
        <v>0</v>
      </c>
      <c r="U14" s="582">
        <f t="shared" si="8"/>
        <v>500000</v>
      </c>
      <c r="V14" s="582"/>
      <c r="W14" s="582">
        <f t="shared" si="9"/>
        <v>0</v>
      </c>
      <c r="X14" s="581"/>
      <c r="Y14" s="581"/>
      <c r="Z14" s="581"/>
      <c r="AA14" s="582">
        <v>500000</v>
      </c>
      <c r="AB14" s="3" t="s">
        <v>1565</v>
      </c>
      <c r="AC14" s="580">
        <v>810000</v>
      </c>
      <c r="AD14" s="573"/>
      <c r="AE14" s="573"/>
      <c r="AF14" s="573"/>
      <c r="AG14" s="573"/>
      <c r="AH14" s="573"/>
    </row>
    <row r="15" spans="1:34" ht="30" customHeight="1">
      <c r="A15" s="346">
        <f>A14</f>
        <v>10</v>
      </c>
      <c r="B15" s="585"/>
      <c r="C15" s="584" t="s">
        <v>494</v>
      </c>
      <c r="D15" s="73">
        <f>SUM(D5:D14)</f>
        <v>66970000</v>
      </c>
      <c r="E15" s="73">
        <f t="shared" ref="E15:AA15" si="11">SUM(E5:E14)</f>
        <v>51790000</v>
      </c>
      <c r="F15" s="73">
        <f t="shared" si="11"/>
        <v>15180000</v>
      </c>
      <c r="G15" s="73">
        <f t="shared" si="11"/>
        <v>31233000</v>
      </c>
      <c r="H15" s="73">
        <f t="shared" si="11"/>
        <v>20522166</v>
      </c>
      <c r="I15" s="73">
        <f t="shared" si="11"/>
        <v>136200</v>
      </c>
      <c r="J15" s="73">
        <f t="shared" si="11"/>
        <v>5920976</v>
      </c>
      <c r="K15" s="73">
        <f t="shared" si="11"/>
        <v>6057176</v>
      </c>
      <c r="L15" s="73">
        <f t="shared" si="11"/>
        <v>26579342</v>
      </c>
      <c r="M15" s="73">
        <f t="shared" si="11"/>
        <v>5653658</v>
      </c>
      <c r="N15" s="73">
        <f t="shared" si="11"/>
        <v>8450000</v>
      </c>
      <c r="O15" s="73">
        <f t="shared" si="11"/>
        <v>26287000</v>
      </c>
      <c r="P15" s="73">
        <f t="shared" si="11"/>
        <v>4653658</v>
      </c>
      <c r="Q15" s="73">
        <f t="shared" si="11"/>
        <v>0</v>
      </c>
      <c r="R15" s="73">
        <f t="shared" si="11"/>
        <v>1000000</v>
      </c>
      <c r="S15" s="73">
        <f t="shared" si="11"/>
        <v>1000000</v>
      </c>
      <c r="T15" s="73">
        <f t="shared" si="11"/>
        <v>0</v>
      </c>
      <c r="U15" s="73">
        <f t="shared" si="11"/>
        <v>8450000</v>
      </c>
      <c r="V15" s="73">
        <f t="shared" si="11"/>
        <v>5450000</v>
      </c>
      <c r="W15" s="73">
        <f t="shared" si="11"/>
        <v>2500000</v>
      </c>
      <c r="X15" s="73">
        <f t="shared" si="11"/>
        <v>0</v>
      </c>
      <c r="Y15" s="73">
        <f t="shared" si="11"/>
        <v>0</v>
      </c>
      <c r="Z15" s="73">
        <f t="shared" si="11"/>
        <v>0</v>
      </c>
      <c r="AA15" s="73">
        <f t="shared" si="11"/>
        <v>500000</v>
      </c>
      <c r="AB15" s="585"/>
      <c r="AC15" s="585"/>
      <c r="AD15" s="573"/>
      <c r="AE15" s="573"/>
      <c r="AF15" s="573"/>
      <c r="AG15" s="573"/>
      <c r="AH15" s="573"/>
    </row>
    <row r="16" spans="1:34" ht="14" hidden="1">
      <c r="A16" s="586"/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</row>
    <row r="17" spans="1:34" ht="14" hidden="1">
      <c r="A17" s="587"/>
      <c r="B17" s="588"/>
      <c r="C17" s="588"/>
      <c r="D17" s="589"/>
      <c r="E17" s="589"/>
      <c r="F17" s="589"/>
      <c r="G17" s="589"/>
      <c r="H17" s="589"/>
      <c r="I17" s="589"/>
      <c r="J17" s="589"/>
      <c r="K17" s="589"/>
      <c r="L17" s="589">
        <f>K15+H15</f>
        <v>26579342</v>
      </c>
      <c r="M17" s="589">
        <f>P17+S15-T15</f>
        <v>5653658</v>
      </c>
      <c r="N17" s="589"/>
      <c r="O17" s="589"/>
      <c r="P17" s="589">
        <f>G15-L15</f>
        <v>4653658</v>
      </c>
      <c r="Q17" s="589"/>
      <c r="R17" s="589"/>
      <c r="S17" s="589"/>
      <c r="T17" s="589"/>
      <c r="U17" s="588"/>
      <c r="V17" s="588"/>
      <c r="W17" s="588"/>
      <c r="X17" s="588"/>
      <c r="Y17" s="588"/>
      <c r="Z17" s="588"/>
      <c r="AA17" s="588"/>
      <c r="AB17" s="587"/>
      <c r="AC17" s="588"/>
      <c r="AD17" s="586"/>
      <c r="AE17" s="586"/>
      <c r="AF17" s="586"/>
      <c r="AG17" s="586"/>
      <c r="AH17" s="586"/>
    </row>
    <row r="18" spans="1:34" ht="14" hidden="1">
      <c r="A18" s="587"/>
      <c r="B18" s="588"/>
      <c r="C18" s="588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8"/>
      <c r="V18" s="588"/>
      <c r="W18" s="588"/>
      <c r="X18" s="588"/>
      <c r="Y18" s="588"/>
      <c r="Z18" s="588"/>
      <c r="AA18" s="588"/>
      <c r="AB18" s="587"/>
      <c r="AC18" s="588"/>
      <c r="AD18" s="586"/>
      <c r="AE18" s="586"/>
      <c r="AF18" s="586"/>
      <c r="AG18" s="586"/>
      <c r="AH18" s="586"/>
    </row>
    <row r="19" spans="1:34" ht="14">
      <c r="A19" s="587"/>
      <c r="B19" s="588"/>
      <c r="C19" s="588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8"/>
      <c r="V19" s="588"/>
      <c r="W19" s="588"/>
      <c r="X19" s="588"/>
      <c r="Y19" s="588"/>
      <c r="Z19" s="588"/>
      <c r="AA19" s="588"/>
      <c r="AB19" s="587"/>
      <c r="AC19" s="588"/>
      <c r="AD19" s="586"/>
      <c r="AE19" s="586"/>
      <c r="AF19" s="586"/>
      <c r="AG19" s="586"/>
      <c r="AH19" s="586"/>
    </row>
    <row r="20" spans="1:34" ht="14">
      <c r="A20" s="587"/>
      <c r="B20" s="588"/>
      <c r="C20" s="588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8"/>
      <c r="V20" s="588"/>
      <c r="W20" s="588"/>
      <c r="X20" s="588"/>
      <c r="Y20" s="588"/>
      <c r="Z20" s="588"/>
      <c r="AA20" s="588"/>
      <c r="AB20" s="587"/>
      <c r="AC20" s="588"/>
      <c r="AD20" s="586"/>
      <c r="AE20" s="586"/>
      <c r="AF20" s="586"/>
      <c r="AG20" s="586"/>
      <c r="AH20" s="586"/>
    </row>
    <row r="21" spans="1:34" ht="14">
      <c r="A21" s="587"/>
      <c r="B21" s="588"/>
      <c r="C21" s="588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8"/>
      <c r="V21" s="588"/>
      <c r="W21" s="588"/>
      <c r="X21" s="588"/>
      <c r="Y21" s="588"/>
      <c r="Z21" s="588"/>
      <c r="AA21" s="588"/>
      <c r="AB21" s="587"/>
      <c r="AC21" s="588"/>
      <c r="AD21" s="586"/>
      <c r="AE21" s="586"/>
      <c r="AF21" s="586"/>
      <c r="AG21" s="586"/>
      <c r="AH21" s="586"/>
    </row>
    <row r="22" spans="1:34" ht="14">
      <c r="A22" s="587"/>
      <c r="B22" s="588"/>
      <c r="C22" s="588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8"/>
      <c r="V22" s="588"/>
      <c r="W22" s="588"/>
      <c r="X22" s="588"/>
      <c r="Y22" s="588"/>
      <c r="Z22" s="588"/>
      <c r="AA22" s="588"/>
      <c r="AB22" s="587"/>
      <c r="AC22" s="588"/>
      <c r="AD22" s="586"/>
      <c r="AE22" s="586"/>
      <c r="AF22" s="586"/>
      <c r="AG22" s="586"/>
      <c r="AH22" s="586"/>
    </row>
    <row r="23" spans="1:34" ht="14">
      <c r="A23" s="587"/>
      <c r="B23" s="588"/>
      <c r="C23" s="588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8"/>
      <c r="V23" s="588"/>
      <c r="W23" s="588"/>
      <c r="X23" s="588"/>
      <c r="Y23" s="588"/>
      <c r="Z23" s="588"/>
      <c r="AA23" s="588"/>
      <c r="AB23" s="587"/>
      <c r="AC23" s="588"/>
      <c r="AD23" s="586"/>
      <c r="AE23" s="586"/>
      <c r="AF23" s="586"/>
      <c r="AG23" s="586"/>
      <c r="AH23" s="586"/>
    </row>
    <row r="24" spans="1:34" ht="14">
      <c r="A24" s="587"/>
      <c r="B24" s="588"/>
      <c r="C24" s="588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8"/>
      <c r="V24" s="588"/>
      <c r="W24" s="588"/>
      <c r="X24" s="588"/>
      <c r="Y24" s="588"/>
      <c r="Z24" s="588"/>
      <c r="AA24" s="588"/>
      <c r="AB24" s="587"/>
      <c r="AC24" s="588"/>
      <c r="AD24" s="586"/>
      <c r="AE24" s="586"/>
      <c r="AF24" s="586"/>
      <c r="AG24" s="586"/>
      <c r="AH24" s="586"/>
    </row>
    <row r="25" spans="1:34" ht="14">
      <c r="A25" s="587"/>
      <c r="B25" s="588"/>
      <c r="C25" s="588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8"/>
      <c r="V25" s="588"/>
      <c r="W25" s="588"/>
      <c r="X25" s="588"/>
      <c r="Y25" s="588"/>
      <c r="Z25" s="588"/>
      <c r="AA25" s="588"/>
      <c r="AB25" s="587"/>
      <c r="AC25" s="588"/>
      <c r="AD25" s="586"/>
      <c r="AE25" s="586"/>
      <c r="AF25" s="586"/>
      <c r="AG25" s="586"/>
      <c r="AH25" s="586"/>
    </row>
    <row r="26" spans="1:34" ht="14">
      <c r="A26" s="587"/>
      <c r="B26" s="588"/>
      <c r="C26" s="588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8"/>
      <c r="V26" s="588"/>
      <c r="W26" s="588"/>
      <c r="X26" s="588"/>
      <c r="Y26" s="588"/>
      <c r="Z26" s="588"/>
      <c r="AA26" s="588"/>
      <c r="AB26" s="587"/>
      <c r="AC26" s="588"/>
      <c r="AD26" s="586"/>
      <c r="AE26" s="586"/>
      <c r="AF26" s="586"/>
      <c r="AG26" s="586"/>
      <c r="AH26" s="586"/>
    </row>
    <row r="27" spans="1:34" ht="14">
      <c r="A27" s="587"/>
      <c r="B27" s="588"/>
      <c r="C27" s="588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8"/>
      <c r="V27" s="588"/>
      <c r="W27" s="588"/>
      <c r="X27" s="588"/>
      <c r="Y27" s="588"/>
      <c r="Z27" s="588"/>
      <c r="AA27" s="588"/>
      <c r="AB27" s="587"/>
      <c r="AC27" s="588"/>
      <c r="AD27" s="586"/>
      <c r="AE27" s="586"/>
      <c r="AF27" s="586"/>
      <c r="AG27" s="586"/>
      <c r="AH27" s="586"/>
    </row>
    <row r="28" spans="1:34" ht="14">
      <c r="A28" s="587"/>
      <c r="B28" s="588"/>
      <c r="C28" s="588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8"/>
      <c r="V28" s="588"/>
      <c r="W28" s="588"/>
      <c r="X28" s="588"/>
      <c r="Y28" s="588"/>
      <c r="Z28" s="588"/>
      <c r="AA28" s="588"/>
      <c r="AB28" s="587"/>
      <c r="AC28" s="588"/>
      <c r="AD28" s="586"/>
      <c r="AE28" s="586"/>
      <c r="AF28" s="586"/>
      <c r="AG28" s="586"/>
      <c r="AH28" s="586"/>
    </row>
    <row r="29" spans="1:34" ht="14">
      <c r="A29" s="587"/>
      <c r="B29" s="588"/>
      <c r="C29" s="588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8"/>
      <c r="V29" s="588"/>
      <c r="W29" s="588"/>
      <c r="X29" s="588"/>
      <c r="Y29" s="588"/>
      <c r="Z29" s="588"/>
      <c r="AA29" s="588"/>
      <c r="AB29" s="587"/>
      <c r="AC29" s="588"/>
      <c r="AD29" s="586"/>
      <c r="AE29" s="586"/>
      <c r="AF29" s="586"/>
      <c r="AG29" s="586"/>
      <c r="AH29" s="586"/>
    </row>
    <row r="30" spans="1:34" ht="14">
      <c r="A30" s="587"/>
      <c r="B30" s="588"/>
      <c r="C30" s="588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8"/>
      <c r="V30" s="588"/>
      <c r="W30" s="588"/>
      <c r="X30" s="588"/>
      <c r="Y30" s="588"/>
      <c r="Z30" s="588"/>
      <c r="AA30" s="588"/>
      <c r="AB30" s="587"/>
      <c r="AC30" s="588"/>
      <c r="AD30" s="586"/>
      <c r="AE30" s="586"/>
      <c r="AF30" s="586"/>
      <c r="AG30" s="586"/>
      <c r="AH30" s="586"/>
    </row>
    <row r="31" spans="1:34" ht="14">
      <c r="A31" s="587"/>
      <c r="B31" s="588"/>
      <c r="C31" s="588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8"/>
      <c r="V31" s="588"/>
      <c r="W31" s="588"/>
      <c r="X31" s="588"/>
      <c r="Y31" s="588"/>
      <c r="Z31" s="588"/>
      <c r="AA31" s="588"/>
      <c r="AB31" s="587"/>
      <c r="AC31" s="588"/>
      <c r="AD31" s="586"/>
      <c r="AE31" s="586"/>
      <c r="AF31" s="586"/>
      <c r="AG31" s="586"/>
      <c r="AH31" s="586"/>
    </row>
    <row r="32" spans="1:34" ht="14">
      <c r="A32" s="587"/>
      <c r="B32" s="588"/>
      <c r="C32" s="588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8"/>
      <c r="V32" s="588"/>
      <c r="W32" s="588"/>
      <c r="X32" s="588"/>
      <c r="Y32" s="588"/>
      <c r="Z32" s="588"/>
      <c r="AA32" s="588"/>
      <c r="AB32" s="587"/>
      <c r="AC32" s="588"/>
      <c r="AD32" s="586"/>
      <c r="AE32" s="586"/>
      <c r="AF32" s="586"/>
      <c r="AG32" s="586"/>
      <c r="AH32" s="586"/>
    </row>
    <row r="33" spans="1:34" ht="14">
      <c r="A33" s="587"/>
      <c r="B33" s="588"/>
      <c r="C33" s="588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8"/>
      <c r="V33" s="588"/>
      <c r="W33" s="588"/>
      <c r="X33" s="588"/>
      <c r="Y33" s="588"/>
      <c r="Z33" s="588"/>
      <c r="AA33" s="588"/>
      <c r="AB33" s="587"/>
      <c r="AC33" s="588"/>
      <c r="AD33" s="586"/>
      <c r="AE33" s="586"/>
      <c r="AF33" s="586"/>
      <c r="AG33" s="586"/>
      <c r="AH33" s="586"/>
    </row>
    <row r="34" spans="1:34" ht="14">
      <c r="A34" s="587"/>
      <c r="B34" s="588"/>
      <c r="C34" s="588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8"/>
      <c r="V34" s="588"/>
      <c r="W34" s="588"/>
      <c r="X34" s="588"/>
      <c r="Y34" s="588"/>
      <c r="Z34" s="588"/>
      <c r="AA34" s="588"/>
      <c r="AB34" s="587"/>
      <c r="AC34" s="588"/>
      <c r="AD34" s="586"/>
      <c r="AE34" s="586"/>
      <c r="AF34" s="586"/>
      <c r="AG34" s="586"/>
      <c r="AH34" s="586"/>
    </row>
    <row r="35" spans="1:34" ht="14">
      <c r="A35" s="587"/>
      <c r="B35" s="588"/>
      <c r="C35" s="588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8"/>
      <c r="V35" s="588"/>
      <c r="W35" s="588"/>
      <c r="X35" s="588"/>
      <c r="Y35" s="588"/>
      <c r="Z35" s="588"/>
      <c r="AA35" s="588"/>
      <c r="AB35" s="587"/>
      <c r="AC35" s="588"/>
      <c r="AD35" s="586"/>
      <c r="AE35" s="586"/>
      <c r="AF35" s="586"/>
      <c r="AG35" s="586"/>
      <c r="AH35" s="586"/>
    </row>
    <row r="36" spans="1:34" ht="14">
      <c r="A36" s="587"/>
      <c r="B36" s="588"/>
      <c r="C36" s="588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8"/>
      <c r="V36" s="588"/>
      <c r="W36" s="588"/>
      <c r="X36" s="588"/>
      <c r="Y36" s="588"/>
      <c r="Z36" s="588"/>
      <c r="AA36" s="588"/>
      <c r="AB36" s="587"/>
      <c r="AC36" s="588"/>
      <c r="AD36" s="586"/>
      <c r="AE36" s="586"/>
      <c r="AF36" s="586"/>
      <c r="AG36" s="586"/>
      <c r="AH36" s="586"/>
    </row>
    <row r="37" spans="1:34" ht="14">
      <c r="A37" s="587"/>
      <c r="B37" s="588"/>
      <c r="C37" s="588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8"/>
      <c r="V37" s="588"/>
      <c r="W37" s="588"/>
      <c r="X37" s="588"/>
      <c r="Y37" s="588"/>
      <c r="Z37" s="588"/>
      <c r="AA37" s="588"/>
      <c r="AB37" s="587"/>
      <c r="AC37" s="588"/>
      <c r="AD37" s="586"/>
      <c r="AE37" s="586"/>
      <c r="AF37" s="586"/>
      <c r="AG37" s="586"/>
      <c r="AH37" s="586"/>
    </row>
    <row r="38" spans="1:34" ht="14">
      <c r="A38" s="587"/>
      <c r="B38" s="588"/>
      <c r="C38" s="588"/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8"/>
      <c r="V38" s="588"/>
      <c r="W38" s="588"/>
      <c r="X38" s="588"/>
      <c r="Y38" s="588"/>
      <c r="Z38" s="588"/>
      <c r="AA38" s="588"/>
      <c r="AB38" s="587"/>
      <c r="AC38" s="588"/>
      <c r="AD38" s="586"/>
      <c r="AE38" s="586"/>
      <c r="AF38" s="586"/>
      <c r="AG38" s="586"/>
      <c r="AH38" s="586"/>
    </row>
    <row r="39" spans="1:34" ht="14">
      <c r="A39" s="587"/>
      <c r="B39" s="588"/>
      <c r="C39" s="588"/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8"/>
      <c r="V39" s="588"/>
      <c r="W39" s="588"/>
      <c r="X39" s="588"/>
      <c r="Y39" s="588"/>
      <c r="Z39" s="588"/>
      <c r="AA39" s="588"/>
      <c r="AB39" s="587"/>
      <c r="AC39" s="588"/>
      <c r="AD39" s="586"/>
      <c r="AE39" s="586"/>
      <c r="AF39" s="586"/>
      <c r="AG39" s="586"/>
      <c r="AH39" s="586"/>
    </row>
    <row r="40" spans="1:34" ht="14">
      <c r="A40" s="587"/>
      <c r="B40" s="588"/>
      <c r="C40" s="588"/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8"/>
      <c r="V40" s="588"/>
      <c r="W40" s="588"/>
      <c r="X40" s="588"/>
      <c r="Y40" s="588"/>
      <c r="Z40" s="588"/>
      <c r="AA40" s="588"/>
      <c r="AB40" s="587"/>
      <c r="AC40" s="588"/>
      <c r="AD40" s="586"/>
      <c r="AE40" s="586"/>
      <c r="AF40" s="586"/>
      <c r="AG40" s="586"/>
      <c r="AH40" s="586"/>
    </row>
    <row r="41" spans="1:34" ht="14">
      <c r="A41" s="587"/>
      <c r="B41" s="588"/>
      <c r="C41" s="588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8"/>
      <c r="V41" s="588"/>
      <c r="W41" s="588"/>
      <c r="X41" s="588"/>
      <c r="Y41" s="588"/>
      <c r="Z41" s="588"/>
      <c r="AA41" s="588"/>
      <c r="AB41" s="587"/>
      <c r="AC41" s="588"/>
      <c r="AD41" s="586"/>
      <c r="AE41" s="586"/>
      <c r="AF41" s="586"/>
      <c r="AG41" s="586"/>
      <c r="AH41" s="586"/>
    </row>
    <row r="42" spans="1:34" ht="14">
      <c r="A42" s="587"/>
      <c r="B42" s="588"/>
      <c r="C42" s="588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8"/>
      <c r="V42" s="588"/>
      <c r="W42" s="588"/>
      <c r="X42" s="588"/>
      <c r="Y42" s="588"/>
      <c r="Z42" s="588"/>
      <c r="AA42" s="588"/>
      <c r="AB42" s="587"/>
      <c r="AC42" s="588"/>
      <c r="AD42" s="586"/>
      <c r="AE42" s="586"/>
      <c r="AF42" s="586"/>
      <c r="AG42" s="586"/>
      <c r="AH42" s="586"/>
    </row>
    <row r="43" spans="1:34" ht="14">
      <c r="A43" s="587"/>
      <c r="B43" s="588"/>
      <c r="C43" s="588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8"/>
      <c r="V43" s="588"/>
      <c r="W43" s="588"/>
      <c r="X43" s="588"/>
      <c r="Y43" s="588"/>
      <c r="Z43" s="588"/>
      <c r="AA43" s="588"/>
      <c r="AB43" s="587"/>
      <c r="AC43" s="588"/>
      <c r="AD43" s="586"/>
      <c r="AE43" s="586"/>
      <c r="AF43" s="586"/>
      <c r="AG43" s="586"/>
      <c r="AH43" s="586"/>
    </row>
    <row r="44" spans="1:34" ht="14">
      <c r="A44" s="587"/>
      <c r="B44" s="588"/>
      <c r="C44" s="588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8"/>
      <c r="V44" s="588"/>
      <c r="W44" s="588"/>
      <c r="X44" s="588"/>
      <c r="Y44" s="588"/>
      <c r="Z44" s="588"/>
      <c r="AA44" s="588"/>
      <c r="AB44" s="587"/>
      <c r="AC44" s="588"/>
      <c r="AD44" s="586"/>
      <c r="AE44" s="586"/>
      <c r="AF44" s="586"/>
      <c r="AG44" s="586"/>
      <c r="AH44" s="586"/>
    </row>
    <row r="45" spans="1:34" ht="14">
      <c r="A45" s="587"/>
      <c r="B45" s="588"/>
      <c r="C45" s="588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8"/>
      <c r="V45" s="588"/>
      <c r="W45" s="588"/>
      <c r="X45" s="588"/>
      <c r="Y45" s="588"/>
      <c r="Z45" s="588"/>
      <c r="AA45" s="588"/>
      <c r="AB45" s="587"/>
      <c r="AC45" s="588"/>
      <c r="AD45" s="586"/>
      <c r="AE45" s="586"/>
      <c r="AF45" s="586"/>
      <c r="AG45" s="586"/>
      <c r="AH45" s="586"/>
    </row>
    <row r="46" spans="1:34" ht="14">
      <c r="A46" s="587"/>
      <c r="B46" s="588"/>
      <c r="C46" s="588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8"/>
      <c r="V46" s="588"/>
      <c r="W46" s="588"/>
      <c r="X46" s="588"/>
      <c r="Y46" s="588"/>
      <c r="Z46" s="588"/>
      <c r="AA46" s="588"/>
      <c r="AB46" s="587"/>
      <c r="AC46" s="588"/>
      <c r="AD46" s="586"/>
      <c r="AE46" s="586"/>
      <c r="AF46" s="586"/>
      <c r="AG46" s="586"/>
      <c r="AH46" s="586"/>
    </row>
    <row r="47" spans="1:34" ht="14">
      <c r="A47" s="587"/>
      <c r="B47" s="588"/>
      <c r="C47" s="588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8"/>
      <c r="V47" s="588"/>
      <c r="W47" s="588"/>
      <c r="X47" s="588"/>
      <c r="Y47" s="588"/>
      <c r="Z47" s="588"/>
      <c r="AA47" s="588"/>
      <c r="AB47" s="587"/>
      <c r="AC47" s="588"/>
      <c r="AD47" s="586"/>
      <c r="AE47" s="586"/>
      <c r="AF47" s="586"/>
      <c r="AG47" s="586"/>
      <c r="AH47" s="586"/>
    </row>
    <row r="48" spans="1:34" ht="14">
      <c r="A48" s="587"/>
      <c r="B48" s="588"/>
      <c r="C48" s="588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8"/>
      <c r="V48" s="588"/>
      <c r="W48" s="588"/>
      <c r="X48" s="588"/>
      <c r="Y48" s="588"/>
      <c r="Z48" s="588"/>
      <c r="AA48" s="588"/>
      <c r="AB48" s="587"/>
      <c r="AC48" s="588"/>
      <c r="AD48" s="586"/>
      <c r="AE48" s="586"/>
      <c r="AF48" s="586"/>
      <c r="AG48" s="586"/>
      <c r="AH48" s="586"/>
    </row>
    <row r="49" spans="1:34" ht="14">
      <c r="A49" s="587"/>
      <c r="B49" s="588"/>
      <c r="C49" s="588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8"/>
      <c r="V49" s="588"/>
      <c r="W49" s="588"/>
      <c r="X49" s="588"/>
      <c r="Y49" s="588"/>
      <c r="Z49" s="588"/>
      <c r="AA49" s="588"/>
      <c r="AB49" s="587"/>
      <c r="AC49" s="588"/>
      <c r="AD49" s="586"/>
      <c r="AE49" s="586"/>
      <c r="AF49" s="586"/>
      <c r="AG49" s="586"/>
      <c r="AH49" s="586"/>
    </row>
    <row r="50" spans="1:34" ht="14">
      <c r="A50" s="587"/>
      <c r="B50" s="588"/>
      <c r="C50" s="588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8"/>
      <c r="V50" s="588"/>
      <c r="W50" s="588"/>
      <c r="X50" s="588"/>
      <c r="Y50" s="588"/>
      <c r="Z50" s="588"/>
      <c r="AA50" s="588"/>
      <c r="AB50" s="587"/>
      <c r="AC50" s="588"/>
      <c r="AD50" s="586"/>
      <c r="AE50" s="586"/>
      <c r="AF50" s="586"/>
      <c r="AG50" s="586"/>
      <c r="AH50" s="586"/>
    </row>
    <row r="51" spans="1:34" ht="14">
      <c r="A51" s="587"/>
      <c r="B51" s="588"/>
      <c r="C51" s="588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8"/>
      <c r="V51" s="588"/>
      <c r="W51" s="588"/>
      <c r="X51" s="588"/>
      <c r="Y51" s="588"/>
      <c r="Z51" s="588"/>
      <c r="AA51" s="588"/>
      <c r="AB51" s="587"/>
      <c r="AC51" s="588"/>
      <c r="AD51" s="586"/>
      <c r="AE51" s="586"/>
      <c r="AF51" s="586"/>
      <c r="AG51" s="586"/>
      <c r="AH51" s="586"/>
    </row>
    <row r="52" spans="1:34" ht="14">
      <c r="A52" s="587"/>
      <c r="B52" s="588"/>
      <c r="C52" s="588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8"/>
      <c r="V52" s="588"/>
      <c r="W52" s="588"/>
      <c r="X52" s="588"/>
      <c r="Y52" s="588"/>
      <c r="Z52" s="588"/>
      <c r="AA52" s="588"/>
      <c r="AB52" s="587"/>
      <c r="AC52" s="588"/>
      <c r="AD52" s="586"/>
      <c r="AE52" s="586"/>
      <c r="AF52" s="586"/>
      <c r="AG52" s="586"/>
      <c r="AH52" s="586"/>
    </row>
    <row r="53" spans="1:34" ht="14">
      <c r="A53" s="587"/>
      <c r="B53" s="588"/>
      <c r="C53" s="588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8"/>
      <c r="V53" s="588"/>
      <c r="W53" s="588"/>
      <c r="X53" s="588"/>
      <c r="Y53" s="588"/>
      <c r="Z53" s="588"/>
      <c r="AA53" s="588"/>
      <c r="AB53" s="587"/>
      <c r="AC53" s="588"/>
      <c r="AD53" s="586"/>
      <c r="AE53" s="586"/>
      <c r="AF53" s="586"/>
      <c r="AG53" s="586"/>
      <c r="AH53" s="586"/>
    </row>
    <row r="54" spans="1:34" ht="14">
      <c r="A54" s="587"/>
      <c r="B54" s="588"/>
      <c r="C54" s="588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8"/>
      <c r="V54" s="588"/>
      <c r="W54" s="588"/>
      <c r="X54" s="588"/>
      <c r="Y54" s="588"/>
      <c r="Z54" s="588"/>
      <c r="AA54" s="588"/>
      <c r="AB54" s="587"/>
      <c r="AC54" s="588"/>
      <c r="AD54" s="586"/>
      <c r="AE54" s="586"/>
      <c r="AF54" s="586"/>
      <c r="AG54" s="586"/>
      <c r="AH54" s="586"/>
    </row>
    <row r="55" spans="1:34" ht="14">
      <c r="A55" s="587"/>
      <c r="B55" s="588"/>
      <c r="C55" s="588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8"/>
      <c r="V55" s="588"/>
      <c r="W55" s="588"/>
      <c r="X55" s="588"/>
      <c r="Y55" s="588"/>
      <c r="Z55" s="588"/>
      <c r="AA55" s="588"/>
      <c r="AB55" s="587"/>
      <c r="AC55" s="588"/>
      <c r="AD55" s="586"/>
      <c r="AE55" s="586"/>
      <c r="AF55" s="586"/>
      <c r="AG55" s="586"/>
      <c r="AH55" s="586"/>
    </row>
    <row r="56" spans="1:34" ht="14">
      <c r="A56" s="587"/>
      <c r="B56" s="588"/>
      <c r="C56" s="588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8"/>
      <c r="V56" s="588"/>
      <c r="W56" s="588"/>
      <c r="X56" s="588"/>
      <c r="Y56" s="588"/>
      <c r="Z56" s="588"/>
      <c r="AA56" s="588"/>
      <c r="AB56" s="587"/>
      <c r="AC56" s="588"/>
      <c r="AD56" s="586"/>
      <c r="AE56" s="586"/>
      <c r="AF56" s="586"/>
      <c r="AG56" s="586"/>
      <c r="AH56" s="586"/>
    </row>
    <row r="57" spans="1:34" ht="14">
      <c r="A57" s="587"/>
      <c r="B57" s="588"/>
      <c r="C57" s="588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8"/>
      <c r="V57" s="588"/>
      <c r="W57" s="588"/>
      <c r="X57" s="588"/>
      <c r="Y57" s="588"/>
      <c r="Z57" s="588"/>
      <c r="AA57" s="588"/>
      <c r="AB57" s="587"/>
      <c r="AC57" s="588"/>
      <c r="AD57" s="586"/>
      <c r="AE57" s="586"/>
      <c r="AF57" s="586"/>
      <c r="AG57" s="586"/>
      <c r="AH57" s="586"/>
    </row>
    <row r="58" spans="1:34" ht="14">
      <c r="A58" s="587"/>
      <c r="B58" s="588"/>
      <c r="C58" s="588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589"/>
      <c r="S58" s="589"/>
      <c r="T58" s="589"/>
      <c r="U58" s="588"/>
      <c r="V58" s="588"/>
      <c r="W58" s="588"/>
      <c r="X58" s="588"/>
      <c r="Y58" s="588"/>
      <c r="Z58" s="588"/>
      <c r="AA58" s="588"/>
      <c r="AB58" s="587"/>
      <c r="AC58" s="588"/>
      <c r="AD58" s="586"/>
      <c r="AE58" s="586"/>
      <c r="AF58" s="586"/>
      <c r="AG58" s="586"/>
      <c r="AH58" s="586"/>
    </row>
    <row r="59" spans="1:34" ht="14">
      <c r="A59" s="587"/>
      <c r="B59" s="588"/>
      <c r="C59" s="588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89"/>
      <c r="U59" s="588"/>
      <c r="V59" s="588"/>
      <c r="W59" s="588"/>
      <c r="X59" s="588"/>
      <c r="Y59" s="588"/>
      <c r="Z59" s="588"/>
      <c r="AA59" s="588"/>
      <c r="AB59" s="587"/>
      <c r="AC59" s="588"/>
      <c r="AD59" s="586"/>
      <c r="AE59" s="586"/>
      <c r="AF59" s="586"/>
      <c r="AG59" s="586"/>
      <c r="AH59" s="586"/>
    </row>
    <row r="60" spans="1:34" ht="14">
      <c r="A60" s="587"/>
      <c r="B60" s="588"/>
      <c r="C60" s="588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589"/>
      <c r="S60" s="589"/>
      <c r="T60" s="589"/>
      <c r="U60" s="588"/>
      <c r="V60" s="588"/>
      <c r="W60" s="588"/>
      <c r="X60" s="588"/>
      <c r="Y60" s="588"/>
      <c r="Z60" s="588"/>
      <c r="AA60" s="588"/>
      <c r="AB60" s="587"/>
      <c r="AC60" s="588"/>
      <c r="AD60" s="586"/>
      <c r="AE60" s="586"/>
      <c r="AF60" s="586"/>
      <c r="AG60" s="586"/>
      <c r="AH60" s="586"/>
    </row>
  </sheetData>
  <sortState ref="A5:AM14">
    <sortCondition ref="B5:B14"/>
  </sortState>
  <conditionalFormatting sqref="F5:F14">
    <cfRule type="cellIs" dxfId="211" priority="54" operator="equal">
      <formula>0</formula>
    </cfRule>
  </conditionalFormatting>
  <conditionalFormatting sqref="A1:W3 A6:E6 AB12:AC12 AB10:AC10 B7:E8 A16:K16 M16:X16 A17:X60 Z2:AA2 Z1:AB1 G6:J8 N6:N13 Q6:R13 V6:X13 S6:U14 F6:F14 K6:M14 O6:P14 Z6:AA13 A5:W5 X1:X5 AC1:AH9 Z3:AB5 Y1:Y13 A7:A14 AB15:AH15 B15 Z16:AH60 B4:W4">
    <cfRule type="cellIs" dxfId="210" priority="53" operator="equal">
      <formula>0</formula>
    </cfRule>
  </conditionalFormatting>
  <conditionalFormatting sqref="AB8">
    <cfRule type="cellIs" dxfId="209" priority="50" operator="equal">
      <formula>0</formula>
    </cfRule>
  </conditionalFormatting>
  <conditionalFormatting sqref="AB6">
    <cfRule type="cellIs" dxfId="208" priority="52" operator="equal">
      <formula>0</formula>
    </cfRule>
  </conditionalFormatting>
  <conditionalFormatting sqref="AB7">
    <cfRule type="cellIs" dxfId="207" priority="51" operator="equal">
      <formula>0</formula>
    </cfRule>
  </conditionalFormatting>
  <conditionalFormatting sqref="B9:E9 G9:J9">
    <cfRule type="cellIs" dxfId="206" priority="48" operator="equal">
      <formula>0</formula>
    </cfRule>
  </conditionalFormatting>
  <conditionalFormatting sqref="AB9">
    <cfRule type="cellIs" dxfId="205" priority="47" operator="equal">
      <formula>0</formula>
    </cfRule>
  </conditionalFormatting>
  <conditionalFormatting sqref="B12:E12 B10:C10 AD12:AH12 G12:J12">
    <cfRule type="cellIs" dxfId="204" priority="46" operator="equal">
      <formula>0</formula>
    </cfRule>
  </conditionalFormatting>
  <conditionalFormatting sqref="B10 E10 G10:J10 AD10:AH10">
    <cfRule type="cellIs" dxfId="203" priority="45" operator="equal">
      <formula>0</formula>
    </cfRule>
  </conditionalFormatting>
  <conditionalFormatting sqref="C10">
    <cfRule type="cellIs" dxfId="202" priority="44" operator="equal">
      <formula>0</formula>
    </cfRule>
  </conditionalFormatting>
  <conditionalFormatting sqref="D10">
    <cfRule type="cellIs" dxfId="201" priority="43" operator="equal">
      <formula>0</formula>
    </cfRule>
  </conditionalFormatting>
  <conditionalFormatting sqref="AB11">
    <cfRule type="cellIs" dxfId="200" priority="42" operator="equal">
      <formula>0</formula>
    </cfRule>
  </conditionalFormatting>
  <conditionalFormatting sqref="B11:E11 AD11:AH11 G11:J11">
    <cfRule type="cellIs" dxfId="199" priority="41" operator="equal">
      <formula>0</formula>
    </cfRule>
  </conditionalFormatting>
  <conditionalFormatting sqref="AC11">
    <cfRule type="cellIs" dxfId="198" priority="40" operator="equal">
      <formula>0</formula>
    </cfRule>
  </conditionalFormatting>
  <conditionalFormatting sqref="AC13">
    <cfRule type="cellIs" dxfId="197" priority="39" operator="equal">
      <formula>0</formula>
    </cfRule>
  </conditionalFormatting>
  <conditionalFormatting sqref="AB2">
    <cfRule type="cellIs" dxfId="196" priority="31" operator="equal">
      <formula>0</formula>
    </cfRule>
  </conditionalFormatting>
  <conditionalFormatting sqref="N14 Z14:AA14 Q14:R14 V14:X14">
    <cfRule type="cellIs" dxfId="195" priority="30" operator="equal">
      <formula>0</formula>
    </cfRule>
  </conditionalFormatting>
  <conditionalFormatting sqref="AC14">
    <cfRule type="cellIs" dxfId="194" priority="28" operator="equal">
      <formula>0</formula>
    </cfRule>
  </conditionalFormatting>
  <conditionalFormatting sqref="Y16:Y60">
    <cfRule type="cellIs" dxfId="193" priority="11" operator="equal">
      <formula>0</formula>
    </cfRule>
  </conditionalFormatting>
  <conditionalFormatting sqref="Y14">
    <cfRule type="cellIs" dxfId="192" priority="9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6" max="16383" man="1"/>
  </rowBreaks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4"/>
  <sheetViews>
    <sheetView showZeros="0" rightToLeft="1" workbookViewId="0">
      <pane xSplit="3" ySplit="4" topLeftCell="D14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8.90625" defaultRowHeight="12.5"/>
  <cols>
    <col min="1" max="1" width="3" style="214" customWidth="1"/>
    <col min="2" max="2" width="5" style="214" customWidth="1"/>
    <col min="3" max="3" width="20.54296875" style="214" customWidth="1"/>
    <col min="4" max="4" width="11" style="214" bestFit="1" customWidth="1"/>
    <col min="5" max="5" width="9.54296875" style="214" hidden="1" customWidth="1"/>
    <col min="6" max="7" width="9.453125" style="214" hidden="1" customWidth="1"/>
    <col min="8" max="11" width="8.90625" style="214" hidden="1" customWidth="1"/>
    <col min="12" max="12" width="9.6328125" style="214" customWidth="1"/>
    <col min="13" max="13" width="8.1796875" style="214" customWidth="1"/>
    <col min="14" max="14" width="9.36328125" style="214" customWidth="1"/>
    <col min="15" max="15" width="9.1796875" style="214" customWidth="1"/>
    <col min="16" max="18" width="8.90625" style="214" hidden="1" customWidth="1"/>
    <col min="19" max="19" width="8.1796875" style="214" hidden="1" customWidth="1"/>
    <col min="20" max="20" width="5.6328125" style="214" customWidth="1"/>
    <col min="21" max="21" width="9.453125" style="214" customWidth="1"/>
    <col min="22" max="22" width="8.90625" style="214" customWidth="1"/>
    <col min="23" max="23" width="9.08984375" style="214" customWidth="1"/>
    <col min="24" max="26" width="8.90625" style="214" hidden="1" customWidth="1"/>
    <col min="27" max="27" width="8.90625" style="214" customWidth="1"/>
    <col min="28" max="28" width="35" style="214" customWidth="1"/>
    <col min="29" max="29" width="8.90625" style="214" hidden="1" customWidth="1"/>
    <col min="30" max="16384" width="8.90625" style="214"/>
  </cols>
  <sheetData>
    <row r="1" spans="1:34" ht="18">
      <c r="A1" s="569"/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70"/>
      <c r="Y1" s="570"/>
      <c r="Z1" s="570"/>
      <c r="AA1" s="571"/>
      <c r="AB1" s="572"/>
      <c r="AC1" s="571"/>
      <c r="AD1" s="573"/>
      <c r="AE1" s="573"/>
      <c r="AF1" s="573"/>
      <c r="AG1" s="573"/>
      <c r="AH1" s="573"/>
    </row>
    <row r="2" spans="1:34" ht="18">
      <c r="A2" s="569" t="s">
        <v>475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74"/>
      <c r="Y2" s="574"/>
      <c r="Z2" s="574"/>
      <c r="AA2" s="574"/>
      <c r="AB2" s="573"/>
      <c r="AC2" s="574"/>
      <c r="AD2" s="573"/>
      <c r="AE2" s="573"/>
      <c r="AF2" s="573"/>
      <c r="AG2" s="573"/>
      <c r="AH2" s="573"/>
    </row>
    <row r="3" spans="1:34" ht="14">
      <c r="A3" s="575"/>
      <c r="B3" s="574"/>
      <c r="C3" s="574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4"/>
      <c r="V3" s="574"/>
      <c r="W3" s="574"/>
      <c r="X3" s="574"/>
      <c r="Y3" s="574"/>
      <c r="Z3" s="574"/>
      <c r="AA3" s="574"/>
      <c r="AB3" s="575"/>
      <c r="AC3" s="574"/>
      <c r="AD3" s="573"/>
      <c r="AE3" s="573"/>
      <c r="AF3" s="573"/>
      <c r="AG3" s="573"/>
      <c r="AH3" s="573"/>
    </row>
    <row r="4" spans="1:34" ht="84">
      <c r="A4" s="169" t="s">
        <v>0</v>
      </c>
      <c r="B4" s="577" t="s">
        <v>836</v>
      </c>
      <c r="C4" s="577" t="s">
        <v>2</v>
      </c>
      <c r="D4" s="577" t="s">
        <v>3</v>
      </c>
      <c r="E4" s="577" t="s">
        <v>4</v>
      </c>
      <c r="F4" s="577" t="s">
        <v>5</v>
      </c>
      <c r="G4" s="577" t="s">
        <v>6</v>
      </c>
      <c r="H4" s="577" t="s">
        <v>7</v>
      </c>
      <c r="I4" s="577" t="s">
        <v>9</v>
      </c>
      <c r="J4" s="577" t="s">
        <v>178</v>
      </c>
      <c r="K4" s="577" t="s">
        <v>10</v>
      </c>
      <c r="L4" s="577" t="s">
        <v>11</v>
      </c>
      <c r="M4" s="2" t="s">
        <v>936</v>
      </c>
      <c r="N4" s="577" t="s">
        <v>937</v>
      </c>
      <c r="O4" s="577" t="s">
        <v>938</v>
      </c>
      <c r="P4" s="577" t="s">
        <v>12</v>
      </c>
      <c r="Q4" s="577" t="s">
        <v>939</v>
      </c>
      <c r="R4" s="577" t="s">
        <v>940</v>
      </c>
      <c r="S4" s="577" t="s">
        <v>941</v>
      </c>
      <c r="T4" s="577" t="s">
        <v>942</v>
      </c>
      <c r="U4" s="578" t="s">
        <v>943</v>
      </c>
      <c r="V4" s="577" t="s">
        <v>13</v>
      </c>
      <c r="W4" s="577" t="s">
        <v>14</v>
      </c>
      <c r="X4" s="577" t="s">
        <v>15</v>
      </c>
      <c r="Y4" s="577" t="s">
        <v>301</v>
      </c>
      <c r="Z4" s="577" t="s">
        <v>1391</v>
      </c>
      <c r="AA4" s="577" t="s">
        <v>91</v>
      </c>
      <c r="AB4" s="579" t="s">
        <v>344</v>
      </c>
      <c r="AC4" s="577" t="s">
        <v>16</v>
      </c>
      <c r="AD4" s="573"/>
      <c r="AE4" s="573"/>
      <c r="AF4" s="573"/>
      <c r="AG4" s="573"/>
      <c r="AH4" s="573"/>
    </row>
    <row r="5" spans="1:34" ht="42">
      <c r="A5" s="580">
        <v>1</v>
      </c>
      <c r="B5" s="580">
        <f>'תקציב אגף תקשוב 2021 '!B6</f>
        <v>1497</v>
      </c>
      <c r="C5" s="637" t="str">
        <f>'תקציב אגף תקשוב 2021 '!C6</f>
        <v>שדרוג מערכות הליבה</v>
      </c>
      <c r="D5" s="581">
        <f>'תקציב אגף תקשוב 2021 '!D6</f>
        <v>8820000</v>
      </c>
      <c r="E5" s="581">
        <f>'תקציב אגף תקשוב 2021 '!E6</f>
        <v>8820000</v>
      </c>
      <c r="F5" s="581">
        <f>'תקציב אגף תקשוב 2021 '!F6</f>
        <v>0</v>
      </c>
      <c r="G5" s="581">
        <f>'תקציב אגף תקשוב 2021 '!G6</f>
        <v>2973000</v>
      </c>
      <c r="H5" s="581">
        <f>'תקציב אגף תקשוב 2021 '!H6</f>
        <v>2761476</v>
      </c>
      <c r="I5" s="581">
        <f>'תקציב אגף תקשוב 2021 '!I6</f>
        <v>136200</v>
      </c>
      <c r="J5" s="581">
        <f>'תקציב אגף תקשוב 2021 '!J6</f>
        <v>58046</v>
      </c>
      <c r="K5" s="581">
        <f>'תקציב אגף תקשוב 2021 '!K6</f>
        <v>194246</v>
      </c>
      <c r="L5" s="581">
        <f>'תקציב אגף תקשוב 2021 '!L6</f>
        <v>2955722</v>
      </c>
      <c r="M5" s="581">
        <f>'תקציב אגף תקשוב 2021 '!M6</f>
        <v>17278</v>
      </c>
      <c r="N5" s="581">
        <f>'תקציב אגף תקשוב 2021 '!N6</f>
        <v>50000</v>
      </c>
      <c r="O5" s="581">
        <f>'תקציב אגף תקשוב 2021 '!O6</f>
        <v>5797000</v>
      </c>
      <c r="P5" s="581">
        <f>'תקציב אגף תקשוב 2021 '!P6</f>
        <v>17278</v>
      </c>
      <c r="Q5" s="581">
        <f>'תקציב אגף תקשוב 2021 '!Q6</f>
        <v>0</v>
      </c>
      <c r="R5" s="581">
        <f>'תקציב אגף תקשוב 2021 '!R6</f>
        <v>0</v>
      </c>
      <c r="S5" s="581">
        <f>'תקציב אגף תקשוב 2021 '!S6</f>
        <v>0</v>
      </c>
      <c r="T5" s="581">
        <f>'תקציב אגף תקשוב 2021 '!T6</f>
        <v>0</v>
      </c>
      <c r="U5" s="581">
        <f>'תקציב אגף תקשוב 2021 '!U6</f>
        <v>50000</v>
      </c>
      <c r="V5" s="581">
        <f>'תקציב אגף תקשוב 2021 '!V6</f>
        <v>0</v>
      </c>
      <c r="W5" s="581">
        <f>'תקציב אגף תקשוב 2021 '!W6</f>
        <v>50000</v>
      </c>
      <c r="X5" s="581">
        <f>'תקציב אגף תקשוב 2021 '!X6</f>
        <v>0</v>
      </c>
      <c r="Y5" s="581">
        <f>'תקציב אגף תקשוב 2021 '!Y6</f>
        <v>0</v>
      </c>
      <c r="Z5" s="581">
        <f>'תקציב אגף תקשוב 2021 '!Z6</f>
        <v>0</v>
      </c>
      <c r="AA5" s="581">
        <f>'תקציב אגף תקשוב 2021 '!AA6</f>
        <v>0</v>
      </c>
      <c r="AB5" s="637" t="str">
        <f>'תקציב אגף תקשוב 2021 '!AB6</f>
        <v>תוספות שינויים ושיפורים שדרוג מערכות הליבה החברה לאוטומציה וציוד חומרה. בהתאם לבקשות מעת לעת.</v>
      </c>
      <c r="AC5" s="580">
        <f>'תקציב אגף תקשוב 2021 '!AC6</f>
        <v>610000</v>
      </c>
      <c r="AD5" s="573"/>
      <c r="AE5" s="573"/>
      <c r="AF5" s="573"/>
      <c r="AG5" s="573"/>
      <c r="AH5" s="573"/>
    </row>
    <row r="6" spans="1:34" s="642" customFormat="1" ht="14">
      <c r="A6" s="638"/>
      <c r="B6" s="638"/>
      <c r="C6" s="639" t="s">
        <v>1493</v>
      </c>
      <c r="D6" s="640">
        <f>SUM(D5)</f>
        <v>8820000</v>
      </c>
      <c r="E6" s="640">
        <f t="shared" ref="E6:AA6" si="0">SUM(E5)</f>
        <v>8820000</v>
      </c>
      <c r="F6" s="640">
        <f t="shared" si="0"/>
        <v>0</v>
      </c>
      <c r="G6" s="640">
        <f t="shared" si="0"/>
        <v>2973000</v>
      </c>
      <c r="H6" s="640">
        <f t="shared" si="0"/>
        <v>2761476</v>
      </c>
      <c r="I6" s="640">
        <f t="shared" si="0"/>
        <v>136200</v>
      </c>
      <c r="J6" s="640">
        <f t="shared" si="0"/>
        <v>58046</v>
      </c>
      <c r="K6" s="640">
        <f t="shared" si="0"/>
        <v>194246</v>
      </c>
      <c r="L6" s="640">
        <f t="shared" si="0"/>
        <v>2955722</v>
      </c>
      <c r="M6" s="640">
        <f t="shared" si="0"/>
        <v>17278</v>
      </c>
      <c r="N6" s="640">
        <f t="shared" si="0"/>
        <v>50000</v>
      </c>
      <c r="O6" s="640">
        <f t="shared" si="0"/>
        <v>5797000</v>
      </c>
      <c r="P6" s="640">
        <f t="shared" si="0"/>
        <v>17278</v>
      </c>
      <c r="Q6" s="640">
        <f t="shared" si="0"/>
        <v>0</v>
      </c>
      <c r="R6" s="640">
        <f t="shared" si="0"/>
        <v>0</v>
      </c>
      <c r="S6" s="640">
        <f t="shared" si="0"/>
        <v>0</v>
      </c>
      <c r="T6" s="640">
        <f t="shared" si="0"/>
        <v>0</v>
      </c>
      <c r="U6" s="640">
        <f t="shared" si="0"/>
        <v>50000</v>
      </c>
      <c r="V6" s="640">
        <f t="shared" si="0"/>
        <v>0</v>
      </c>
      <c r="W6" s="640">
        <f t="shared" si="0"/>
        <v>50000</v>
      </c>
      <c r="X6" s="640">
        <f t="shared" si="0"/>
        <v>0</v>
      </c>
      <c r="Y6" s="640">
        <f t="shared" si="0"/>
        <v>0</v>
      </c>
      <c r="Z6" s="640">
        <f t="shared" si="0"/>
        <v>0</v>
      </c>
      <c r="AA6" s="640">
        <f t="shared" si="0"/>
        <v>0</v>
      </c>
      <c r="AB6" s="639"/>
      <c r="AC6" s="638"/>
      <c r="AD6" s="641"/>
      <c r="AE6" s="641"/>
      <c r="AF6" s="641"/>
      <c r="AG6" s="641"/>
      <c r="AH6" s="641"/>
    </row>
    <row r="7" spans="1:34" ht="50.4" customHeight="1">
      <c r="A7" s="580">
        <f>A5+1</f>
        <v>2</v>
      </c>
      <c r="B7" s="580">
        <f>'תקציב אגף תקשוב 2021 '!B9</f>
        <v>1982</v>
      </c>
      <c r="C7" s="637" t="str">
        <f>'תקציב אגף תקשוב 2021 '!C9</f>
        <v>התקנת מערכות  שו"ב מצלמות מוס"ח מבני ציבור</v>
      </c>
      <c r="D7" s="581">
        <f>'תקציב אגף תקשוב 2021 '!D9</f>
        <v>14800000</v>
      </c>
      <c r="E7" s="581">
        <f>'תקציב אגף תקשוב 2021 '!E9</f>
        <v>17700000</v>
      </c>
      <c r="F7" s="581">
        <f>'תקציב אגף תקשוב 2021 '!F9</f>
        <v>-2900000</v>
      </c>
      <c r="G7" s="581">
        <f>'תקציב אגף תקשוב 2021 '!G9</f>
        <v>10150000</v>
      </c>
      <c r="H7" s="581">
        <f>'תקציב אגף תקשוב 2021 '!H9</f>
        <v>7569369</v>
      </c>
      <c r="I7" s="581">
        <f>'תקציב אגף תקשוב 2021 '!I9</f>
        <v>0</v>
      </c>
      <c r="J7" s="581">
        <f>'תקציב אגף תקשוב 2021 '!J9</f>
        <v>2228112</v>
      </c>
      <c r="K7" s="581">
        <f>'תקציב אגף תקשוב 2021 '!K9</f>
        <v>2228112</v>
      </c>
      <c r="L7" s="581">
        <f>'תקציב אגף תקשוב 2021 '!L9</f>
        <v>9797481</v>
      </c>
      <c r="M7" s="581">
        <f>'תקציב אגף תקשוב 2021 '!M9</f>
        <v>352519</v>
      </c>
      <c r="N7" s="581">
        <f>'תקציב אגף תקשוב 2021 '!N9</f>
        <v>2050000</v>
      </c>
      <c r="O7" s="581">
        <f>'תקציב אגף תקשוב 2021 '!O9</f>
        <v>2600000</v>
      </c>
      <c r="P7" s="581">
        <f>'תקציב אגף תקשוב 2021 '!P9</f>
        <v>352519</v>
      </c>
      <c r="Q7" s="581">
        <f>'תקציב אגף תקשוב 2021 '!Q9</f>
        <v>0</v>
      </c>
      <c r="R7" s="581">
        <f>'תקציב אגף תקשוב 2021 '!R9</f>
        <v>0</v>
      </c>
      <c r="S7" s="581">
        <f>'תקציב אגף תקשוב 2021 '!S9</f>
        <v>0</v>
      </c>
      <c r="T7" s="581">
        <f>'תקציב אגף תקשוב 2021 '!T9</f>
        <v>0</v>
      </c>
      <c r="U7" s="581">
        <f>'תקציב אגף תקשוב 2021 '!U9</f>
        <v>2050000</v>
      </c>
      <c r="V7" s="581">
        <f>'תקציב אגף תקשוב 2021 '!V9</f>
        <v>0</v>
      </c>
      <c r="W7" s="581">
        <f>'תקציב אגף תקשוב 2021 '!W9</f>
        <v>2050000</v>
      </c>
      <c r="X7" s="581">
        <f>'תקציב אגף תקשוב 2021 '!X9</f>
        <v>0</v>
      </c>
      <c r="Y7" s="581">
        <f>'תקציב אגף תקשוב 2021 '!Y9</f>
        <v>0</v>
      </c>
      <c r="Z7" s="581">
        <f>'תקציב אגף תקשוב 2021 '!Z9</f>
        <v>0</v>
      </c>
      <c r="AA7" s="581">
        <f>'תקציב אגף תקשוב 2021 '!AA9</f>
        <v>0</v>
      </c>
      <c r="AB7" s="637" t="str">
        <f>'תקציב אגף תקשוב 2021 '!AB9</f>
        <v xml:space="preserve">מערכות מתקדמות לעיר חכמה כולל שו"ב מצלמות , ציוד נלווה ותשתיות מיחשוב. </v>
      </c>
      <c r="AC7" s="580">
        <f>'תקציב אגף תקשוב 2021 '!AC9</f>
        <v>722000</v>
      </c>
      <c r="AD7" s="573"/>
      <c r="AE7" s="573"/>
      <c r="AF7" s="573"/>
      <c r="AG7" s="573"/>
      <c r="AH7" s="573"/>
    </row>
    <row r="8" spans="1:34" s="642" customFormat="1" ht="23.4" customHeight="1">
      <c r="A8" s="638"/>
      <c r="B8" s="638"/>
      <c r="C8" s="639" t="s">
        <v>1494</v>
      </c>
      <c r="D8" s="640">
        <f>SUM(D7)</f>
        <v>14800000</v>
      </c>
      <c r="E8" s="640">
        <f t="shared" ref="E8:AA8" si="1">SUM(E7)</f>
        <v>17700000</v>
      </c>
      <c r="F8" s="640">
        <f t="shared" si="1"/>
        <v>-2900000</v>
      </c>
      <c r="G8" s="640">
        <f t="shared" si="1"/>
        <v>10150000</v>
      </c>
      <c r="H8" s="640">
        <f t="shared" si="1"/>
        <v>7569369</v>
      </c>
      <c r="I8" s="640">
        <f t="shared" si="1"/>
        <v>0</v>
      </c>
      <c r="J8" s="640">
        <f t="shared" si="1"/>
        <v>2228112</v>
      </c>
      <c r="K8" s="640">
        <f t="shared" si="1"/>
        <v>2228112</v>
      </c>
      <c r="L8" s="640">
        <f t="shared" si="1"/>
        <v>9797481</v>
      </c>
      <c r="M8" s="640">
        <f t="shared" si="1"/>
        <v>352519</v>
      </c>
      <c r="N8" s="640">
        <f t="shared" si="1"/>
        <v>2050000</v>
      </c>
      <c r="O8" s="640">
        <f t="shared" si="1"/>
        <v>2600000</v>
      </c>
      <c r="P8" s="640">
        <f t="shared" si="1"/>
        <v>352519</v>
      </c>
      <c r="Q8" s="640">
        <f t="shared" si="1"/>
        <v>0</v>
      </c>
      <c r="R8" s="640">
        <f t="shared" si="1"/>
        <v>0</v>
      </c>
      <c r="S8" s="640">
        <f t="shared" si="1"/>
        <v>0</v>
      </c>
      <c r="T8" s="640">
        <f t="shared" si="1"/>
        <v>0</v>
      </c>
      <c r="U8" s="640">
        <f t="shared" si="1"/>
        <v>2050000</v>
      </c>
      <c r="V8" s="640">
        <f t="shared" si="1"/>
        <v>0</v>
      </c>
      <c r="W8" s="640">
        <f t="shared" si="1"/>
        <v>2050000</v>
      </c>
      <c r="X8" s="640">
        <f t="shared" si="1"/>
        <v>0</v>
      </c>
      <c r="Y8" s="640">
        <f t="shared" si="1"/>
        <v>0</v>
      </c>
      <c r="Z8" s="640">
        <f t="shared" si="1"/>
        <v>0</v>
      </c>
      <c r="AA8" s="640">
        <f t="shared" si="1"/>
        <v>0</v>
      </c>
      <c r="AB8" s="639"/>
      <c r="AC8" s="638"/>
      <c r="AD8" s="641"/>
      <c r="AE8" s="641"/>
      <c r="AF8" s="641"/>
      <c r="AG8" s="641"/>
      <c r="AH8" s="641"/>
    </row>
    <row r="9" spans="1:34" ht="28">
      <c r="A9" s="580">
        <f>A7+1</f>
        <v>3</v>
      </c>
      <c r="B9" s="580">
        <f>'תקציב אגף תקשוב 2021 '!B5</f>
        <v>1002</v>
      </c>
      <c r="C9" s="637" t="str">
        <f>'תקציב אגף תקשוב 2021 '!C5</f>
        <v>פרויקט תכסיות וניתוח מרחבי</v>
      </c>
      <c r="D9" s="581">
        <f>'תקציב אגף תקשוב 2021 '!D5</f>
        <v>3290000</v>
      </c>
      <c r="E9" s="581">
        <f>'תקציב אגף תקשוב 2021 '!E5</f>
        <v>2290000</v>
      </c>
      <c r="F9" s="581">
        <f>'תקציב אגף תקשוב 2021 '!F5</f>
        <v>1000000</v>
      </c>
      <c r="G9" s="581">
        <f>'תקציב אגף תקשוב 2021 '!G5</f>
        <v>2160000</v>
      </c>
      <c r="H9" s="581">
        <f>'תקציב אגף תקשוב 2021 '!H5</f>
        <v>2146623</v>
      </c>
      <c r="I9" s="581">
        <f>'תקציב אגף תקשוב 2021 '!I5</f>
        <v>0</v>
      </c>
      <c r="J9" s="581">
        <f>'תקציב אגף תקשוב 2021 '!J5</f>
        <v>9403</v>
      </c>
      <c r="K9" s="581">
        <f>'תקציב אגף תקשוב 2021 '!K5</f>
        <v>9403</v>
      </c>
      <c r="L9" s="581">
        <f>'תקציב אגף תקשוב 2021 '!L5</f>
        <v>2156026</v>
      </c>
      <c r="M9" s="581">
        <f>'תקציב אגף תקשוב 2021 '!M5</f>
        <v>3974</v>
      </c>
      <c r="N9" s="581">
        <f>'תקציב אגף תקשוב 2021 '!N5</f>
        <v>50000</v>
      </c>
      <c r="O9" s="581">
        <f>'תקציב אגף תקשוב 2021 '!O5</f>
        <v>1080000</v>
      </c>
      <c r="P9" s="581">
        <f>'תקציב אגף תקשוב 2021 '!P5</f>
        <v>3974</v>
      </c>
      <c r="Q9" s="581">
        <f>'תקציב אגף תקשוב 2021 '!Q5</f>
        <v>0</v>
      </c>
      <c r="R9" s="581">
        <f>'תקציב אגף תקשוב 2021 '!R5</f>
        <v>0</v>
      </c>
      <c r="S9" s="581">
        <f>'תקציב אגף תקשוב 2021 '!S5</f>
        <v>0</v>
      </c>
      <c r="T9" s="581">
        <f>'תקציב אגף תקשוב 2021 '!T5</f>
        <v>0</v>
      </c>
      <c r="U9" s="581">
        <f>'תקציב אגף תקשוב 2021 '!U5</f>
        <v>50000</v>
      </c>
      <c r="V9" s="581">
        <f>'תקציב אגף תקשוב 2021 '!V5</f>
        <v>0</v>
      </c>
      <c r="W9" s="581">
        <f>'תקציב אגף תקשוב 2021 '!W5</f>
        <v>50000</v>
      </c>
      <c r="X9" s="581">
        <f>'תקציב אגף תקשוב 2021 '!X5</f>
        <v>0</v>
      </c>
      <c r="Y9" s="581">
        <f>'תקציב אגף תקשוב 2021 '!Y5</f>
        <v>0</v>
      </c>
      <c r="Z9" s="581">
        <f>'תקציב אגף תקשוב 2021 '!Z5</f>
        <v>0</v>
      </c>
      <c r="AA9" s="581">
        <f>'תקציב אגף תקשוב 2021 '!AA5</f>
        <v>0</v>
      </c>
      <c r="AB9" s="637" t="str">
        <f>'תקציב אגף תקשוב 2021 '!AB5</f>
        <v>פרויקט המושתת על מערכת GIS: שדרוג, הרחבת שרתים,תוספות לאפליקציות חדשות.</v>
      </c>
      <c r="AC9" s="580">
        <f>'תקציב אגף תקשוב 2021 '!AC5</f>
        <v>760000</v>
      </c>
      <c r="AD9" s="573"/>
      <c r="AE9" s="573"/>
      <c r="AF9" s="573"/>
      <c r="AG9" s="573"/>
      <c r="AH9" s="573"/>
    </row>
    <row r="10" spans="1:34" ht="74.400000000000006" customHeight="1">
      <c r="A10" s="580">
        <f t="shared" ref="A10:A17" si="2">A9+1</f>
        <v>4</v>
      </c>
      <c r="B10" s="580">
        <f>'תקציב אגף תקשוב 2021 '!B8</f>
        <v>1871</v>
      </c>
      <c r="C10" s="637" t="str">
        <f>'תקציב אגף תקשוב 2021 '!C8</f>
        <v>פריסת תשתיות תקשורת ברחבי העיר ומוס"ח</v>
      </c>
      <c r="D10" s="581">
        <f>'תקציב אגף תקשוב 2021 '!D8</f>
        <v>16000000</v>
      </c>
      <c r="E10" s="581">
        <f>'תקציב אגף תקשוב 2021 '!E8</f>
        <v>8000000</v>
      </c>
      <c r="F10" s="581">
        <f>'תקציב אגף תקשוב 2021 '!F8</f>
        <v>8000000</v>
      </c>
      <c r="G10" s="581">
        <f>'תקציב אגף תקשוב 2021 '!G8</f>
        <v>4990000</v>
      </c>
      <c r="H10" s="581">
        <f>'תקציב אגף תקשוב 2021 '!H8</f>
        <v>876576</v>
      </c>
      <c r="I10" s="581">
        <f>'תקציב אגף תקשוב 2021 '!I8</f>
        <v>0</v>
      </c>
      <c r="J10" s="581">
        <f>'תקציב אגף תקשוב 2021 '!J8</f>
        <v>3531865</v>
      </c>
      <c r="K10" s="581">
        <f>'תקציב אגף תקשוב 2021 '!K8</f>
        <v>3531865</v>
      </c>
      <c r="L10" s="581">
        <f>'תקציב אגף תקשוב 2021 '!L8</f>
        <v>4408441</v>
      </c>
      <c r="M10" s="581">
        <f>'תקציב אגף תקשוב 2021 '!M8</f>
        <v>581559</v>
      </c>
      <c r="N10" s="581">
        <f>'תקציב אגף תקשוב 2021 '!N8</f>
        <v>5450000</v>
      </c>
      <c r="O10" s="581">
        <f>'תקציב אגף תקשוב 2021 '!O8</f>
        <v>5560000</v>
      </c>
      <c r="P10" s="581">
        <f>'תקציב אגף תקשוב 2021 '!P8</f>
        <v>581559</v>
      </c>
      <c r="Q10" s="581">
        <f>'תקציב אגף תקשוב 2021 '!Q8</f>
        <v>0</v>
      </c>
      <c r="R10" s="581">
        <f>'תקציב אגף תקשוב 2021 '!R8</f>
        <v>0</v>
      </c>
      <c r="S10" s="581">
        <f>'תקציב אגף תקשוב 2021 '!S8</f>
        <v>0</v>
      </c>
      <c r="T10" s="581">
        <f>'תקציב אגף תקשוב 2021 '!T8</f>
        <v>0</v>
      </c>
      <c r="U10" s="581">
        <f>'תקציב אגף תקשוב 2021 '!U8</f>
        <v>5450000</v>
      </c>
      <c r="V10" s="581">
        <f>'תקציב אגף תקשוב 2021 '!V8</f>
        <v>5450000</v>
      </c>
      <c r="W10" s="581">
        <f>'תקציב אגף תקשוב 2021 '!W8</f>
        <v>0</v>
      </c>
      <c r="X10" s="581">
        <f>'תקציב אגף תקשוב 2021 '!X8</f>
        <v>0</v>
      </c>
      <c r="Y10" s="581">
        <f>'תקציב אגף תקשוב 2021 '!Y8</f>
        <v>0</v>
      </c>
      <c r="Z10" s="581">
        <f>'תקציב אגף תקשוב 2021 '!Z8</f>
        <v>0</v>
      </c>
      <c r="AA10" s="581">
        <f>'תקציב אגף תקשוב 2021 '!AA8</f>
        <v>0</v>
      </c>
      <c r="AB10" s="637" t="str">
        <f>'תקציב אגף תקשוב 2021 '!AB8</f>
        <v>תשתיות תקשורת אלחוטית וסיבים אופטיים לעיר חכמה במוס"ח וברחבי העיר בהתאם לתוכנית רב שנתית.</v>
      </c>
      <c r="AC10" s="580">
        <f>'תקציב אגף תקשוב 2021 '!AC8</f>
        <v>760000</v>
      </c>
      <c r="AD10" s="573"/>
      <c r="AE10" s="573"/>
      <c r="AF10" s="573"/>
      <c r="AG10" s="573"/>
      <c r="AH10" s="573"/>
    </row>
    <row r="11" spans="1:34" ht="56">
      <c r="A11" s="580">
        <f t="shared" si="2"/>
        <v>5</v>
      </c>
      <c r="B11" s="580">
        <f>'תקציב אגף תקשוב 2021 '!B10</f>
        <v>2081</v>
      </c>
      <c r="C11" s="637" t="str">
        <f>'תקציב אגף תקשוב 2021 '!C10</f>
        <v xml:space="preserve">הקמת מרכז שליטה ובקרה  עירוני </v>
      </c>
      <c r="D11" s="581">
        <f>'תקציב אגף תקשוב 2021 '!D10</f>
        <v>10000000</v>
      </c>
      <c r="E11" s="581">
        <f>'תקציב אגף תקשוב 2021 '!E10</f>
        <v>1500000</v>
      </c>
      <c r="F11" s="581">
        <f>'תקציב אגף תקשוב 2021 '!F10</f>
        <v>8500000</v>
      </c>
      <c r="G11" s="581">
        <f>'תקציב אגף תקשוב 2021 '!G10</f>
        <v>0</v>
      </c>
      <c r="H11" s="581">
        <f>'תקציב אגף תקשוב 2021 '!H10</f>
        <v>0</v>
      </c>
      <c r="I11" s="581">
        <f>'תקציב אגף תקשוב 2021 '!I10</f>
        <v>0</v>
      </c>
      <c r="J11" s="581">
        <f>'תקציב אגף תקשוב 2021 '!J10</f>
        <v>0</v>
      </c>
      <c r="K11" s="581">
        <f>'תקציב אגף תקשוב 2021 '!K10</f>
        <v>0</v>
      </c>
      <c r="L11" s="581">
        <f>'תקציב אגף תקשוב 2021 '!L10</f>
        <v>0</v>
      </c>
      <c r="M11" s="581">
        <f>'תקציב אגף תקשוב 2021 '!M10</f>
        <v>0</v>
      </c>
      <c r="N11" s="581">
        <f>'תקציב אגף תקשוב 2021 '!N10</f>
        <v>0</v>
      </c>
      <c r="O11" s="581">
        <f>'תקציב אגף תקשוב 2021 '!O10</f>
        <v>10000000</v>
      </c>
      <c r="P11" s="581">
        <f>'תקציב אגף תקשוב 2021 '!P10</f>
        <v>0</v>
      </c>
      <c r="Q11" s="581">
        <f>'תקציב אגף תקשוב 2021 '!Q10</f>
        <v>0</v>
      </c>
      <c r="R11" s="581">
        <f>'תקציב אגף תקשוב 2021 '!R10</f>
        <v>0</v>
      </c>
      <c r="S11" s="581">
        <f>'תקציב אגף תקשוב 2021 '!S10</f>
        <v>0</v>
      </c>
      <c r="T11" s="581">
        <f>'תקציב אגף תקשוב 2021 '!T10</f>
        <v>0</v>
      </c>
      <c r="U11" s="581">
        <f>'תקציב אגף תקשוב 2021 '!U10</f>
        <v>0</v>
      </c>
      <c r="V11" s="581">
        <f>'תקציב אגף תקשוב 2021 '!V10</f>
        <v>0</v>
      </c>
      <c r="W11" s="581">
        <f>'תקציב אגף תקשוב 2021 '!W10</f>
        <v>0</v>
      </c>
      <c r="X11" s="581">
        <f>'תקציב אגף תקשוב 2021 '!X10</f>
        <v>0</v>
      </c>
      <c r="Y11" s="581">
        <f>'תקציב אגף תקשוב 2021 '!Y10</f>
        <v>0</v>
      </c>
      <c r="Z11" s="581">
        <f>'תקציב אגף תקשוב 2021 '!Z10</f>
        <v>0</v>
      </c>
      <c r="AA11" s="581">
        <f>'תקציב אגף תקשוב 2021 '!AA10</f>
        <v>0</v>
      </c>
      <c r="AB11" s="637" t="str">
        <f>'תקציב אגף תקשוב 2021 '!AB10</f>
        <v xml:space="preserve">הקמת מרכז שליטה ובקרה  במיקום שיקבע ע"י הנהלת העיר כולל אמצעי מולטי מדיה למתן מענה לתשתית העיר החכמה. הההקמה כוללת עבודות בינוי, מולטימדיה וריהוט. </v>
      </c>
      <c r="AC11" s="580">
        <f>'תקציב אגף תקשוב 2021 '!AC10</f>
        <v>760000</v>
      </c>
      <c r="AD11" s="5"/>
      <c r="AE11" s="5"/>
      <c r="AF11" s="5"/>
      <c r="AG11" s="5"/>
      <c r="AH11" s="5"/>
    </row>
    <row r="12" spans="1:34" ht="84">
      <c r="A12" s="580">
        <f t="shared" si="2"/>
        <v>6</v>
      </c>
      <c r="B12" s="580">
        <f>'תקציב אגף תקשוב 2021 '!B11</f>
        <v>2082</v>
      </c>
      <c r="C12" s="637" t="str">
        <f>'תקציב אגף תקשוב 2021 '!C11</f>
        <v xml:space="preserve">הקמת אתר עירוני ופורטל </v>
      </c>
      <c r="D12" s="581">
        <f>'תקציב אגף תקשוב 2021 '!D11</f>
        <v>1000000</v>
      </c>
      <c r="E12" s="581">
        <f>'תקציב אגף תקשוב 2021 '!E11</f>
        <v>1000000</v>
      </c>
      <c r="F12" s="581">
        <f>'תקציב אגף תקשוב 2021 '!F11</f>
        <v>0</v>
      </c>
      <c r="G12" s="581">
        <f>'תקציב אגף תקשוב 2021 '!G11</f>
        <v>100000</v>
      </c>
      <c r="H12" s="581">
        <f>'תקציב אגף תקשוב 2021 '!H11</f>
        <v>27574</v>
      </c>
      <c r="I12" s="581">
        <f>'תקציב אגף תקשוב 2021 '!I11</f>
        <v>0</v>
      </c>
      <c r="J12" s="581">
        <f>'תקציב אגף תקשוב 2021 '!J11</f>
        <v>22561</v>
      </c>
      <c r="K12" s="581">
        <f>'תקציב אגף תקשוב 2021 '!K11</f>
        <v>22561</v>
      </c>
      <c r="L12" s="581">
        <f>'תקציב אגף תקשוב 2021 '!L11</f>
        <v>50135</v>
      </c>
      <c r="M12" s="581">
        <f>'תקציב אגף תקשוב 2021 '!M11</f>
        <v>49865</v>
      </c>
      <c r="N12" s="581">
        <f>'תקציב אגף תקשוב 2021 '!N11</f>
        <v>150000</v>
      </c>
      <c r="O12" s="581">
        <f>'תקציב אגף תקשוב 2021 '!O11</f>
        <v>750000</v>
      </c>
      <c r="P12" s="581">
        <f>'תקציב אגף תקשוב 2021 '!P11</f>
        <v>49865</v>
      </c>
      <c r="Q12" s="581">
        <f>'תקציב אגף תקשוב 2021 '!Q11</f>
        <v>0</v>
      </c>
      <c r="R12" s="581">
        <f>'תקציב אגף תקשוב 2021 '!R11</f>
        <v>0</v>
      </c>
      <c r="S12" s="581">
        <f>'תקציב אגף תקשוב 2021 '!S11</f>
        <v>0</v>
      </c>
      <c r="T12" s="581">
        <f>'תקציב אגף תקשוב 2021 '!T11</f>
        <v>0</v>
      </c>
      <c r="U12" s="581">
        <f>'תקציב אגף תקשוב 2021 '!U11</f>
        <v>150000</v>
      </c>
      <c r="V12" s="581">
        <f>'תקציב אגף תקשוב 2021 '!V11</f>
        <v>0</v>
      </c>
      <c r="W12" s="581">
        <f>'תקציב אגף תקשוב 2021 '!W11</f>
        <v>150000</v>
      </c>
      <c r="X12" s="581">
        <f>'תקציב אגף תקשוב 2021 '!X11</f>
        <v>0</v>
      </c>
      <c r="Y12" s="581">
        <f>'תקציב אגף תקשוב 2021 '!Y11</f>
        <v>0</v>
      </c>
      <c r="Z12" s="581">
        <f>'תקציב אגף תקשוב 2021 '!Z11</f>
        <v>0</v>
      </c>
      <c r="AA12" s="581">
        <f>'תקציב אגף תקשוב 2021 '!AA11</f>
        <v>0</v>
      </c>
      <c r="AB12" s="637" t="str">
        <f>'תקציב אגף תקשוב 2021 '!AB11</f>
        <v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v>
      </c>
      <c r="AC12" s="580">
        <f>'תקציב אגף תקשוב 2021 '!AC11</f>
        <v>760000</v>
      </c>
      <c r="AD12" s="573"/>
      <c r="AE12" s="573"/>
      <c r="AF12" s="573"/>
      <c r="AG12" s="573"/>
      <c r="AH12" s="573"/>
    </row>
    <row r="13" spans="1:34" ht="84">
      <c r="A13" s="580">
        <f t="shared" si="2"/>
        <v>7</v>
      </c>
      <c r="B13" s="580">
        <f>'תקציב אגף תקשוב 2021 '!B13</f>
        <v>2170</v>
      </c>
      <c r="C13" s="637" t="str">
        <f>'תקציב אגף תקשוב 2021 '!C13</f>
        <v xml:space="preserve">מיזמים קהילתיים </v>
      </c>
      <c r="D13" s="581">
        <f>'תקציב אגף תקשוב 2021 '!D13</f>
        <v>280000</v>
      </c>
      <c r="E13" s="581">
        <f>'תקציב אגף תקשוב 2021 '!E13</f>
        <v>200000</v>
      </c>
      <c r="F13" s="581">
        <f>'תקציב אגף תקשוב 2021 '!F13</f>
        <v>80000</v>
      </c>
      <c r="G13" s="581">
        <f>'תקציב אגף תקשוב 2021 '!G13</f>
        <v>80000</v>
      </c>
      <c r="H13" s="581">
        <f>'תקציב אגף תקשוב 2021 '!H13</f>
        <v>57330</v>
      </c>
      <c r="I13" s="581">
        <f>'תקציב אגף תקשוב 2021 '!I13</f>
        <v>0</v>
      </c>
      <c r="J13" s="581">
        <f>'תקציב אגף תקשוב 2021 '!J13</f>
        <v>0</v>
      </c>
      <c r="K13" s="581">
        <f>'תקציב אגף תקשוב 2021 '!K13</f>
        <v>0</v>
      </c>
      <c r="L13" s="581">
        <f>'תקציב אגף תקשוב 2021 '!L13</f>
        <v>57330</v>
      </c>
      <c r="M13" s="581">
        <f>'תקציב אגף תקשוב 2021 '!M13</f>
        <v>22670</v>
      </c>
      <c r="N13" s="581">
        <f>'תקציב אגף תקשוב 2021 '!N13</f>
        <v>150000</v>
      </c>
      <c r="O13" s="581">
        <f>'תקציב אגף תקשוב 2021 '!O13</f>
        <v>50000</v>
      </c>
      <c r="P13" s="581">
        <f>'תקציב אגף תקשוב 2021 '!P13</f>
        <v>22670</v>
      </c>
      <c r="Q13" s="581">
        <f>'תקציב אגף תקשוב 2021 '!Q13</f>
        <v>0</v>
      </c>
      <c r="R13" s="581">
        <f>'תקציב אגף תקשוב 2021 '!R13</f>
        <v>0</v>
      </c>
      <c r="S13" s="581">
        <f>'תקציב אגף תקשוב 2021 '!S13</f>
        <v>0</v>
      </c>
      <c r="T13" s="581">
        <f>'תקציב אגף תקשוב 2021 '!T13</f>
        <v>0</v>
      </c>
      <c r="U13" s="581">
        <f>'תקציב אגף תקשוב 2021 '!U13</f>
        <v>150000</v>
      </c>
      <c r="V13" s="581">
        <f>'תקציב אגף תקשוב 2021 '!V13</f>
        <v>0</v>
      </c>
      <c r="W13" s="581">
        <f>'תקציב אגף תקשוב 2021 '!W13</f>
        <v>150000</v>
      </c>
      <c r="X13" s="581">
        <f>'תקציב אגף תקשוב 2021 '!X13</f>
        <v>0</v>
      </c>
      <c r="Y13" s="581">
        <f>'תקציב אגף תקשוב 2021 '!Y13</f>
        <v>0</v>
      </c>
      <c r="Z13" s="581">
        <f>'תקציב אגף תקשוב 2021 '!Z13</f>
        <v>0</v>
      </c>
      <c r="AA13" s="581">
        <f>'תקציב אגף תקשוב 2021 '!AA13</f>
        <v>0</v>
      </c>
      <c r="AB13" s="637" t="str">
        <f>'תקציב אגף תקשוב 2021 '!AB13</f>
        <v xml:space="preserve"> הקמת מערכת ניטור קולי התראות לפיקוח במסגרת עיר חכמה. הכל בשיתוף פעולה עם מרכז היזמות העירוני. פרויקט השקייה חכמה , מערכת לניהול פדגוגי בניהול אפליקציה ייעודית לגננות , ניהול דאטה בענן, מיזם לחיסכון אנרגיה.</v>
      </c>
      <c r="AC13" s="580">
        <f>'תקציב אגף תקשוב 2021 '!AC13</f>
        <v>760000</v>
      </c>
      <c r="AD13" s="573"/>
      <c r="AE13" s="573"/>
      <c r="AF13" s="573"/>
      <c r="AG13" s="573"/>
      <c r="AH13" s="573"/>
    </row>
    <row r="14" spans="1:34" s="642" customFormat="1" ht="14">
      <c r="A14" s="638"/>
      <c r="B14" s="638"/>
      <c r="C14" s="639" t="s">
        <v>1478</v>
      </c>
      <c r="D14" s="640">
        <f>SUM(D9:D13)</f>
        <v>30570000</v>
      </c>
      <c r="E14" s="640">
        <f t="shared" ref="E14:O14" si="3">SUM(E9:E13)</f>
        <v>12990000</v>
      </c>
      <c r="F14" s="640">
        <f t="shared" si="3"/>
        <v>17580000</v>
      </c>
      <c r="G14" s="640">
        <f t="shared" si="3"/>
        <v>7330000</v>
      </c>
      <c r="H14" s="640">
        <f t="shared" si="3"/>
        <v>3108103</v>
      </c>
      <c r="I14" s="640">
        <f t="shared" si="3"/>
        <v>0</v>
      </c>
      <c r="J14" s="640">
        <f t="shared" si="3"/>
        <v>3563829</v>
      </c>
      <c r="K14" s="640">
        <f t="shared" si="3"/>
        <v>3563829</v>
      </c>
      <c r="L14" s="640">
        <f t="shared" si="3"/>
        <v>6671932</v>
      </c>
      <c r="M14" s="640">
        <f t="shared" si="3"/>
        <v>658068</v>
      </c>
      <c r="N14" s="640">
        <f t="shared" si="3"/>
        <v>5800000</v>
      </c>
      <c r="O14" s="640">
        <f t="shared" si="3"/>
        <v>17440000</v>
      </c>
      <c r="P14" s="640">
        <f t="shared" ref="P14" si="4">SUM(P9:P13)</f>
        <v>658068</v>
      </c>
      <c r="Q14" s="640">
        <f t="shared" ref="Q14" si="5">SUM(Q9:Q13)</f>
        <v>0</v>
      </c>
      <c r="R14" s="640">
        <f t="shared" ref="R14" si="6">SUM(R9:R13)</f>
        <v>0</v>
      </c>
      <c r="S14" s="640">
        <f t="shared" ref="S14" si="7">SUM(S9:S13)</f>
        <v>0</v>
      </c>
      <c r="T14" s="640">
        <f t="shared" ref="T14" si="8">SUM(T9:T13)</f>
        <v>0</v>
      </c>
      <c r="U14" s="640">
        <f t="shared" ref="U14" si="9">SUM(U9:U13)</f>
        <v>5800000</v>
      </c>
      <c r="V14" s="640">
        <f t="shared" ref="V14" si="10">SUM(V9:V13)</f>
        <v>5450000</v>
      </c>
      <c r="W14" s="640">
        <f t="shared" ref="W14" si="11">SUM(W9:W13)</f>
        <v>350000</v>
      </c>
      <c r="X14" s="640">
        <f t="shared" ref="X14" si="12">SUM(X9:X13)</f>
        <v>0</v>
      </c>
      <c r="Y14" s="640">
        <f t="shared" ref="Y14" si="13">SUM(Y9:Y13)</f>
        <v>0</v>
      </c>
      <c r="Z14" s="640">
        <f t="shared" ref="Z14" si="14">SUM(Z9:Z13)</f>
        <v>0</v>
      </c>
      <c r="AA14" s="640">
        <f t="shared" ref="AA14" si="15">SUM(AA9:AA13)</f>
        <v>0</v>
      </c>
      <c r="AB14" s="639"/>
      <c r="AC14" s="638"/>
      <c r="AD14" s="641"/>
      <c r="AE14" s="641"/>
      <c r="AF14" s="641"/>
      <c r="AG14" s="641"/>
      <c r="AH14" s="641"/>
    </row>
    <row r="15" spans="1:34" ht="26.4" customHeight="1">
      <c r="A15" s="580">
        <f>A13+1</f>
        <v>8</v>
      </c>
      <c r="B15" s="580">
        <f>'תקציב אגף תקשוב 2021 '!B7</f>
        <v>1647</v>
      </c>
      <c r="C15" s="637" t="str">
        <f>'תקציב אגף תקשוב 2021 '!C7</f>
        <v xml:space="preserve">תשתיות פס רחב מוס"ח </v>
      </c>
      <c r="D15" s="581">
        <f>'תקציב אגף תקשוב 2021 '!D7</f>
        <v>4700000</v>
      </c>
      <c r="E15" s="581">
        <f>'תקציב אגף תקשוב 2021 '!E7</f>
        <v>4700000</v>
      </c>
      <c r="F15" s="581">
        <f>'תקציב אגף תקשוב 2021 '!F7</f>
        <v>0</v>
      </c>
      <c r="G15" s="581">
        <f>'תקציב אגף תקשוב 2021 '!G7</f>
        <v>4200000</v>
      </c>
      <c r="H15" s="581">
        <f>'תקציב אגף תקשוב 2021 '!H7</f>
        <v>4107773</v>
      </c>
      <c r="I15" s="581">
        <f>'תקציב אגף תקשוב 2021 '!I7</f>
        <v>0</v>
      </c>
      <c r="J15" s="581">
        <f>'תקציב אגף תקשוב 2021 '!J7</f>
        <v>70989</v>
      </c>
      <c r="K15" s="581">
        <f>'תקציב אגף תקשוב 2021 '!K7</f>
        <v>70989</v>
      </c>
      <c r="L15" s="581">
        <f>'תקציב אגף תקשוב 2021 '!L7</f>
        <v>4178762</v>
      </c>
      <c r="M15" s="581">
        <f>'תקציב אגף תקשוב 2021 '!M7</f>
        <v>21238</v>
      </c>
      <c r="N15" s="581">
        <f>'תקציב אגף תקשוב 2021 '!N7</f>
        <v>50000</v>
      </c>
      <c r="O15" s="581">
        <f>'תקציב אגף תקשוב 2021 '!O7</f>
        <v>450000</v>
      </c>
      <c r="P15" s="581">
        <f>'תקציב אגף תקשוב 2021 '!P7</f>
        <v>21238</v>
      </c>
      <c r="Q15" s="581">
        <f>'תקציב אגף תקשוב 2021 '!Q7</f>
        <v>0</v>
      </c>
      <c r="R15" s="581">
        <f>'תקציב אגף תקשוב 2021 '!R7</f>
        <v>0</v>
      </c>
      <c r="S15" s="581">
        <f>'תקציב אגף תקשוב 2021 '!S7</f>
        <v>0</v>
      </c>
      <c r="T15" s="581">
        <f>'תקציב אגף תקשוב 2021 '!T7</f>
        <v>0</v>
      </c>
      <c r="U15" s="581">
        <f>'תקציב אגף תקשוב 2021 '!U7</f>
        <v>50000</v>
      </c>
      <c r="V15" s="581">
        <f>'תקציב אגף תקשוב 2021 '!V7</f>
        <v>0</v>
      </c>
      <c r="W15" s="581">
        <f>'תקציב אגף תקשוב 2021 '!W7</f>
        <v>50000</v>
      </c>
      <c r="X15" s="581">
        <f>'תקציב אגף תקשוב 2021 '!X7</f>
        <v>0</v>
      </c>
      <c r="Y15" s="581">
        <f>'תקציב אגף תקשוב 2021 '!Y7</f>
        <v>0</v>
      </c>
      <c r="Z15" s="581">
        <f>'תקציב אגף תקשוב 2021 '!Z7</f>
        <v>0</v>
      </c>
      <c r="AA15" s="581">
        <f>'תקציב אגף תקשוב 2021 '!AA7</f>
        <v>0</v>
      </c>
      <c r="AB15" s="637" t="str">
        <f>'תקציב אגף תקשוב 2021 '!AB7</f>
        <v>שדרוג תשתיות אינטרנט במוס"ח.</v>
      </c>
      <c r="AC15" s="580">
        <f>'תקציב אגף תקשוב 2021 '!AC7</f>
        <v>810000</v>
      </c>
      <c r="AD15" s="573"/>
      <c r="AE15" s="573"/>
      <c r="AF15" s="573"/>
      <c r="AG15" s="573"/>
      <c r="AH15" s="573"/>
    </row>
    <row r="16" spans="1:34" ht="56">
      <c r="A16" s="580">
        <f t="shared" si="2"/>
        <v>9</v>
      </c>
      <c r="B16" s="580">
        <f>'תקציב אגף תקשוב 2021 '!B12</f>
        <v>2083</v>
      </c>
      <c r="C16" s="637" t="str">
        <f>'תקציב אגף תקשוב 2021 '!C12</f>
        <v>תוכנית הצטיידות  מיחשוב מוס"ח</v>
      </c>
      <c r="D16" s="581">
        <f>'תקציב אגף תקשוב 2021 '!D12</f>
        <v>5580000</v>
      </c>
      <c r="E16" s="581">
        <f>'תקציב אגף תקשוב 2021 '!E12</f>
        <v>5580000</v>
      </c>
      <c r="F16" s="581">
        <f>'תקציב אגף תקשוב 2021 '!F12</f>
        <v>0</v>
      </c>
      <c r="G16" s="581">
        <f>'תקציב אגף תקשוב 2021 '!G12</f>
        <v>5580000</v>
      </c>
      <c r="H16" s="581">
        <f>'תקציב אגף תקשוב 2021 '!H12</f>
        <v>2975445</v>
      </c>
      <c r="I16" s="581">
        <f>'תקציב אגף תקשוב 2021 '!I12</f>
        <v>0</v>
      </c>
      <c r="J16" s="581">
        <f>'תקציב אגף תקשוב 2021 '!J12</f>
        <v>0</v>
      </c>
      <c r="K16" s="581">
        <f>'תקציב אגף תקשוב 2021 '!K12</f>
        <v>0</v>
      </c>
      <c r="L16" s="581">
        <f>'תקציב אגף תקשוב 2021 '!L12</f>
        <v>2975445</v>
      </c>
      <c r="M16" s="581">
        <f>'תקציב אגף תקשוב 2021 '!M12</f>
        <v>2604555</v>
      </c>
      <c r="N16" s="581">
        <f>'תקציב אגף תקשוב 2021 '!N12</f>
        <v>0</v>
      </c>
      <c r="O16" s="581">
        <f>'תקציב אגף תקשוב 2021 '!O12</f>
        <v>0</v>
      </c>
      <c r="P16" s="581">
        <f>'תקציב אגף תקשוב 2021 '!P12</f>
        <v>2604555</v>
      </c>
      <c r="Q16" s="581">
        <f>'תקציב אגף תקשוב 2021 '!Q12</f>
        <v>0</v>
      </c>
      <c r="R16" s="581">
        <f>'תקציב אגף תקשוב 2021 '!R12</f>
        <v>0</v>
      </c>
      <c r="S16" s="581">
        <f>'תקציב אגף תקשוב 2021 '!S12</f>
        <v>0</v>
      </c>
      <c r="T16" s="581">
        <f>'תקציב אגף תקשוב 2021 '!T12</f>
        <v>0</v>
      </c>
      <c r="U16" s="581">
        <f>'תקציב אגף תקשוב 2021 '!U12</f>
        <v>0</v>
      </c>
      <c r="V16" s="581">
        <f>'תקציב אגף תקשוב 2021 '!V12</f>
        <v>0</v>
      </c>
      <c r="W16" s="581">
        <f>'תקציב אגף תקשוב 2021 '!W12</f>
        <v>0</v>
      </c>
      <c r="X16" s="581">
        <f>'תקציב אגף תקשוב 2021 '!X12</f>
        <v>0</v>
      </c>
      <c r="Y16" s="581">
        <f>'תקציב אגף תקשוב 2021 '!Y12</f>
        <v>0</v>
      </c>
      <c r="Z16" s="581">
        <f>'תקציב אגף תקשוב 2021 '!Z12</f>
        <v>0</v>
      </c>
      <c r="AA16" s="581">
        <f>'תקציב אגף תקשוב 2021 '!AA12</f>
        <v>0</v>
      </c>
      <c r="AB16" s="637" t="str">
        <f>'תקציב אגף תקשוב 2021 '!AB12</f>
        <v>תוכנית הצטיידות למיחשוב כל מוס"ח .החלפת מחשבים ניידים והשלמה למורים חדשים, החלפת מקרנים , מחשבים מזכירויות. מימון מפעל הפיס.</v>
      </c>
      <c r="AC16" s="580">
        <f>'תקציב אגף תקשוב 2021 '!AC12</f>
        <v>810000</v>
      </c>
      <c r="AD16" s="5"/>
      <c r="AE16" s="5"/>
      <c r="AF16" s="5"/>
      <c r="AG16" s="5"/>
      <c r="AH16" s="5"/>
    </row>
    <row r="17" spans="1:34" ht="63.65" customHeight="1">
      <c r="A17" s="580">
        <f t="shared" si="2"/>
        <v>10</v>
      </c>
      <c r="B17" s="580">
        <f>'תקציב אגף תקשוב 2021 '!B14</f>
        <v>2188</v>
      </c>
      <c r="C17" s="637" t="str">
        <f>'תקציב אגף תקשוב 2021 '!C14</f>
        <v xml:space="preserve">ציוד מחשוב היקפי ללמידה מרחוק </v>
      </c>
      <c r="D17" s="581">
        <f>'תקציב אגף תקשוב 2021 '!D14</f>
        <v>2500000</v>
      </c>
      <c r="E17" s="581">
        <f>'תקציב אגף תקשוב 2021 '!E14</f>
        <v>2000000</v>
      </c>
      <c r="F17" s="581">
        <f>'תקציב אגף תקשוב 2021 '!F14</f>
        <v>500000</v>
      </c>
      <c r="G17" s="581">
        <f>'תקציב אגף תקשוב 2021 '!G14</f>
        <v>1000000</v>
      </c>
      <c r="H17" s="581">
        <f>'תקציב אגף תקשוב 2021 '!H14</f>
        <v>0</v>
      </c>
      <c r="I17" s="581">
        <f>'תקציב אגף תקשוב 2021 '!I14</f>
        <v>0</v>
      </c>
      <c r="J17" s="581">
        <f>'תקציב אגף תקשוב 2021 '!J14</f>
        <v>0</v>
      </c>
      <c r="K17" s="581">
        <f>'תקציב אגף תקשוב 2021 '!K14</f>
        <v>0</v>
      </c>
      <c r="L17" s="581">
        <f>'תקציב אגף תקשוב 2021 '!L14</f>
        <v>0</v>
      </c>
      <c r="M17" s="581">
        <f>'תקציב אגף תקשוב 2021 '!M14</f>
        <v>2000000</v>
      </c>
      <c r="N17" s="581">
        <f>'תקציב אגף תקשוב 2021 '!N14</f>
        <v>500000</v>
      </c>
      <c r="O17" s="581">
        <f>'תקציב אגף תקשוב 2021 '!O14</f>
        <v>0</v>
      </c>
      <c r="P17" s="581">
        <f>'תקציב אגף תקשוב 2021 '!P14</f>
        <v>1000000</v>
      </c>
      <c r="Q17" s="581">
        <f>'תקציב אגף תקשוב 2021 '!Q14</f>
        <v>0</v>
      </c>
      <c r="R17" s="581">
        <f>'תקציב אגף תקשוב 2021 '!R14</f>
        <v>1000000</v>
      </c>
      <c r="S17" s="581">
        <f>'תקציב אגף תקשוב 2021 '!S14</f>
        <v>1000000</v>
      </c>
      <c r="T17" s="581">
        <f>'תקציב אגף תקשוב 2021 '!T14</f>
        <v>0</v>
      </c>
      <c r="U17" s="581">
        <f>'תקציב אגף תקשוב 2021 '!U14</f>
        <v>500000</v>
      </c>
      <c r="V17" s="581">
        <f>'תקציב אגף תקשוב 2021 '!V14</f>
        <v>0</v>
      </c>
      <c r="W17" s="581">
        <f>'תקציב אגף תקשוב 2021 '!W14</f>
        <v>0</v>
      </c>
      <c r="X17" s="581">
        <f>'תקציב אגף תקשוב 2021 '!X14</f>
        <v>0</v>
      </c>
      <c r="Y17" s="581">
        <f>'תקציב אגף תקשוב 2021 '!Y14</f>
        <v>0</v>
      </c>
      <c r="Z17" s="581">
        <f>'תקציב אגף תקשוב 2021 '!Z14</f>
        <v>0</v>
      </c>
      <c r="AA17" s="581">
        <f>'תקציב אגף תקשוב 2021 '!AA14</f>
        <v>500000</v>
      </c>
      <c r="AB17" s="637" t="str">
        <f>'תקציב אגף תקשוב 2021 '!AB14</f>
        <v>סל הצטיידות מיחשוב היקפי לקידום למידה דיגיטלית מרחוק בבי"ס. ב - 2021 ציוד מיחשוב מחודש. מימון מ. החינוך.</v>
      </c>
      <c r="AC17" s="580">
        <f>'תקציב אגף תקשוב 2021 '!AC14</f>
        <v>810000</v>
      </c>
      <c r="AD17" s="573"/>
      <c r="AE17" s="573"/>
      <c r="AF17" s="573"/>
      <c r="AG17" s="573"/>
      <c r="AH17" s="573"/>
    </row>
    <row r="18" spans="1:34" s="642" customFormat="1" ht="36.65" customHeight="1">
      <c r="A18" s="638"/>
      <c r="B18" s="638"/>
      <c r="C18" s="639" t="s">
        <v>1482</v>
      </c>
      <c r="D18" s="640">
        <f>SUM(D15:D17)</f>
        <v>12780000</v>
      </c>
      <c r="E18" s="640">
        <f t="shared" ref="E18:AA18" si="16">SUM(E15:E17)</f>
        <v>12280000</v>
      </c>
      <c r="F18" s="640">
        <f t="shared" si="16"/>
        <v>500000</v>
      </c>
      <c r="G18" s="640">
        <f t="shared" si="16"/>
        <v>10780000</v>
      </c>
      <c r="H18" s="640">
        <f t="shared" si="16"/>
        <v>7083218</v>
      </c>
      <c r="I18" s="640">
        <f t="shared" si="16"/>
        <v>0</v>
      </c>
      <c r="J18" s="640">
        <f t="shared" si="16"/>
        <v>70989</v>
      </c>
      <c r="K18" s="640">
        <f t="shared" si="16"/>
        <v>70989</v>
      </c>
      <c r="L18" s="640">
        <f t="shared" si="16"/>
        <v>7154207</v>
      </c>
      <c r="M18" s="640">
        <f t="shared" si="16"/>
        <v>4625793</v>
      </c>
      <c r="N18" s="640">
        <f t="shared" si="16"/>
        <v>550000</v>
      </c>
      <c r="O18" s="640">
        <f t="shared" si="16"/>
        <v>450000</v>
      </c>
      <c r="P18" s="640">
        <f t="shared" si="16"/>
        <v>3625793</v>
      </c>
      <c r="Q18" s="640">
        <f t="shared" si="16"/>
        <v>0</v>
      </c>
      <c r="R18" s="640">
        <f t="shared" si="16"/>
        <v>1000000</v>
      </c>
      <c r="S18" s="640">
        <f t="shared" si="16"/>
        <v>1000000</v>
      </c>
      <c r="T18" s="640">
        <f t="shared" si="16"/>
        <v>0</v>
      </c>
      <c r="U18" s="640">
        <f t="shared" si="16"/>
        <v>550000</v>
      </c>
      <c r="V18" s="640">
        <f t="shared" si="16"/>
        <v>0</v>
      </c>
      <c r="W18" s="640">
        <f t="shared" si="16"/>
        <v>50000</v>
      </c>
      <c r="X18" s="640">
        <f t="shared" si="16"/>
        <v>0</v>
      </c>
      <c r="Y18" s="640">
        <f t="shared" si="16"/>
        <v>0</v>
      </c>
      <c r="Z18" s="640">
        <f t="shared" si="16"/>
        <v>0</v>
      </c>
      <c r="AA18" s="640">
        <f t="shared" si="16"/>
        <v>500000</v>
      </c>
      <c r="AB18" s="639"/>
      <c r="AC18" s="638"/>
      <c r="AD18" s="641"/>
      <c r="AE18" s="641"/>
      <c r="AF18" s="641"/>
      <c r="AG18" s="641"/>
      <c r="AH18" s="641"/>
    </row>
    <row r="19" spans="1:34" ht="28">
      <c r="A19" s="346">
        <f>A17</f>
        <v>10</v>
      </c>
      <c r="B19" s="585"/>
      <c r="C19" s="584" t="s">
        <v>494</v>
      </c>
      <c r="D19" s="73">
        <f>D18+D14+D8+D6</f>
        <v>66970000</v>
      </c>
      <c r="E19" s="73">
        <f t="shared" ref="E19:AA19" si="17">E18+E14+E8+E6</f>
        <v>51790000</v>
      </c>
      <c r="F19" s="73">
        <f t="shared" si="17"/>
        <v>15180000</v>
      </c>
      <c r="G19" s="73">
        <f t="shared" si="17"/>
        <v>31233000</v>
      </c>
      <c r="H19" s="73">
        <f t="shared" si="17"/>
        <v>20522166</v>
      </c>
      <c r="I19" s="73">
        <f t="shared" si="17"/>
        <v>136200</v>
      </c>
      <c r="J19" s="73">
        <f t="shared" si="17"/>
        <v>5920976</v>
      </c>
      <c r="K19" s="73">
        <f t="shared" si="17"/>
        <v>6057176</v>
      </c>
      <c r="L19" s="73">
        <f t="shared" si="17"/>
        <v>26579342</v>
      </c>
      <c r="M19" s="73">
        <f t="shared" si="17"/>
        <v>5653658</v>
      </c>
      <c r="N19" s="73">
        <f t="shared" si="17"/>
        <v>8450000</v>
      </c>
      <c r="O19" s="73">
        <f t="shared" si="17"/>
        <v>26287000</v>
      </c>
      <c r="P19" s="73">
        <f t="shared" si="17"/>
        <v>4653658</v>
      </c>
      <c r="Q19" s="73">
        <f t="shared" si="17"/>
        <v>0</v>
      </c>
      <c r="R19" s="73">
        <f t="shared" si="17"/>
        <v>1000000</v>
      </c>
      <c r="S19" s="73">
        <f t="shared" si="17"/>
        <v>1000000</v>
      </c>
      <c r="T19" s="73">
        <f t="shared" si="17"/>
        <v>0</v>
      </c>
      <c r="U19" s="73">
        <f t="shared" si="17"/>
        <v>8450000</v>
      </c>
      <c r="V19" s="73">
        <f t="shared" si="17"/>
        <v>5450000</v>
      </c>
      <c r="W19" s="73">
        <f t="shared" si="17"/>
        <v>2500000</v>
      </c>
      <c r="X19" s="73">
        <f t="shared" si="17"/>
        <v>0</v>
      </c>
      <c r="Y19" s="73">
        <f t="shared" si="17"/>
        <v>0</v>
      </c>
      <c r="Z19" s="73">
        <f t="shared" si="17"/>
        <v>0</v>
      </c>
      <c r="AA19" s="73">
        <f t="shared" si="17"/>
        <v>500000</v>
      </c>
      <c r="AB19" s="585"/>
      <c r="AC19" s="585"/>
      <c r="AD19" s="573"/>
      <c r="AE19" s="573"/>
      <c r="AF19" s="573"/>
      <c r="AG19" s="573"/>
      <c r="AH19" s="573"/>
    </row>
    <row r="20" spans="1:34" ht="14" hidden="1">
      <c r="A20" s="586"/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</row>
    <row r="21" spans="1:34" ht="14" hidden="1">
      <c r="A21" s="587"/>
      <c r="B21" s="588"/>
      <c r="C21" s="588"/>
      <c r="D21" s="589"/>
      <c r="E21" s="589"/>
      <c r="F21" s="589"/>
      <c r="G21" s="589"/>
      <c r="H21" s="589"/>
      <c r="I21" s="589"/>
      <c r="J21" s="589"/>
      <c r="K21" s="589"/>
      <c r="L21" s="589">
        <f>K19+H19</f>
        <v>26579342</v>
      </c>
      <c r="M21" s="589">
        <f>P21+S19-T19</f>
        <v>5653658</v>
      </c>
      <c r="N21" s="589"/>
      <c r="O21" s="589"/>
      <c r="P21" s="589">
        <f>G19-L19</f>
        <v>4653658</v>
      </c>
      <c r="Q21" s="589"/>
      <c r="R21" s="589"/>
      <c r="S21" s="589"/>
      <c r="T21" s="589"/>
      <c r="U21" s="588"/>
      <c r="V21" s="588"/>
      <c r="W21" s="588"/>
      <c r="X21" s="588"/>
      <c r="Y21" s="588"/>
      <c r="Z21" s="588"/>
      <c r="AA21" s="588"/>
      <c r="AB21" s="587"/>
      <c r="AC21" s="588"/>
      <c r="AD21" s="586"/>
      <c r="AE21" s="586"/>
      <c r="AF21" s="586"/>
      <c r="AG21" s="586"/>
      <c r="AH21" s="586"/>
    </row>
    <row r="22" spans="1:34" ht="14" hidden="1">
      <c r="A22" s="587"/>
      <c r="B22" s="588"/>
      <c r="C22" s="588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8"/>
      <c r="V22" s="588"/>
      <c r="W22" s="588"/>
      <c r="X22" s="588"/>
      <c r="Y22" s="588"/>
      <c r="Z22" s="588"/>
      <c r="AA22" s="588"/>
      <c r="AB22" s="587"/>
      <c r="AC22" s="588"/>
      <c r="AD22" s="586"/>
      <c r="AE22" s="586"/>
      <c r="AF22" s="586"/>
      <c r="AG22" s="586"/>
      <c r="AH22" s="586"/>
    </row>
    <row r="23" spans="1:34" ht="14">
      <c r="A23" s="587"/>
      <c r="B23" s="588"/>
      <c r="C23" s="588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8"/>
      <c r="V23" s="588"/>
      <c r="W23" s="588"/>
      <c r="X23" s="588"/>
      <c r="Y23" s="588"/>
      <c r="Z23" s="588"/>
      <c r="AA23" s="588"/>
      <c r="AB23" s="587"/>
      <c r="AC23" s="588"/>
      <c r="AD23" s="586"/>
      <c r="AE23" s="586"/>
      <c r="AF23" s="586"/>
      <c r="AG23" s="586"/>
      <c r="AH23" s="586"/>
    </row>
    <row r="24" spans="1:34" ht="14">
      <c r="A24" s="587"/>
      <c r="B24" s="588"/>
      <c r="C24" s="588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8"/>
      <c r="V24" s="588"/>
      <c r="W24" s="588"/>
      <c r="X24" s="588"/>
      <c r="Y24" s="588"/>
      <c r="Z24" s="588"/>
      <c r="AA24" s="588"/>
      <c r="AB24" s="587"/>
      <c r="AC24" s="588"/>
      <c r="AD24" s="586"/>
      <c r="AE24" s="586"/>
      <c r="AF24" s="586"/>
      <c r="AG24" s="586"/>
      <c r="AH24" s="586"/>
    </row>
    <row r="25" spans="1:34" ht="14">
      <c r="A25" s="587"/>
      <c r="B25" s="588"/>
      <c r="C25" s="588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8"/>
      <c r="V25" s="588"/>
      <c r="W25" s="588"/>
      <c r="X25" s="588"/>
      <c r="Y25" s="588"/>
      <c r="Z25" s="588"/>
      <c r="AA25" s="588"/>
      <c r="AB25" s="587"/>
      <c r="AC25" s="588"/>
      <c r="AD25" s="586"/>
      <c r="AE25" s="586"/>
      <c r="AF25" s="586"/>
      <c r="AG25" s="586"/>
      <c r="AH25" s="586"/>
    </row>
    <row r="26" spans="1:34" ht="14">
      <c r="A26" s="587"/>
      <c r="B26" s="588"/>
      <c r="C26" s="588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8"/>
      <c r="V26" s="588"/>
      <c r="W26" s="588"/>
      <c r="X26" s="588"/>
      <c r="Y26" s="588"/>
      <c r="Z26" s="588"/>
      <c r="AA26" s="588"/>
      <c r="AB26" s="587"/>
      <c r="AC26" s="588"/>
      <c r="AD26" s="586"/>
      <c r="AE26" s="586"/>
      <c r="AF26" s="586"/>
      <c r="AG26" s="586"/>
      <c r="AH26" s="586"/>
    </row>
    <row r="27" spans="1:34" ht="14">
      <c r="A27" s="587"/>
      <c r="B27" s="588"/>
      <c r="C27" s="588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8"/>
      <c r="V27" s="588"/>
      <c r="W27" s="588"/>
      <c r="X27" s="588"/>
      <c r="Y27" s="588"/>
      <c r="Z27" s="588"/>
      <c r="AA27" s="588"/>
      <c r="AB27" s="587"/>
      <c r="AC27" s="588"/>
      <c r="AD27" s="586"/>
      <c r="AE27" s="586"/>
      <c r="AF27" s="586"/>
      <c r="AG27" s="586"/>
      <c r="AH27" s="586"/>
    </row>
    <row r="28" spans="1:34" ht="14">
      <c r="A28" s="587"/>
      <c r="B28" s="588"/>
      <c r="C28" s="588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8"/>
      <c r="V28" s="588"/>
      <c r="W28" s="588"/>
      <c r="X28" s="588"/>
      <c r="Y28" s="588"/>
      <c r="Z28" s="588"/>
      <c r="AA28" s="588"/>
      <c r="AB28" s="587"/>
      <c r="AC28" s="588"/>
      <c r="AD28" s="586"/>
      <c r="AE28" s="586"/>
      <c r="AF28" s="586"/>
      <c r="AG28" s="586"/>
      <c r="AH28" s="586"/>
    </row>
    <row r="29" spans="1:34" ht="14">
      <c r="A29" s="587"/>
      <c r="B29" s="588"/>
      <c r="C29" s="588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8"/>
      <c r="V29" s="588"/>
      <c r="W29" s="588"/>
      <c r="X29" s="588"/>
      <c r="Y29" s="588"/>
      <c r="Z29" s="588"/>
      <c r="AA29" s="588"/>
      <c r="AB29" s="587"/>
      <c r="AC29" s="588"/>
      <c r="AD29" s="586"/>
      <c r="AE29" s="586"/>
      <c r="AF29" s="586"/>
      <c r="AG29" s="586"/>
      <c r="AH29" s="586"/>
    </row>
    <row r="30" spans="1:34" ht="14">
      <c r="A30" s="587"/>
      <c r="B30" s="588"/>
      <c r="C30" s="588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8"/>
      <c r="V30" s="588"/>
      <c r="W30" s="588"/>
      <c r="X30" s="588"/>
      <c r="Y30" s="588"/>
      <c r="Z30" s="588"/>
      <c r="AA30" s="588"/>
      <c r="AB30" s="587"/>
      <c r="AC30" s="588"/>
      <c r="AD30" s="586"/>
      <c r="AE30" s="586"/>
      <c r="AF30" s="586"/>
      <c r="AG30" s="586"/>
      <c r="AH30" s="586"/>
    </row>
    <row r="31" spans="1:34" ht="14">
      <c r="A31" s="587"/>
      <c r="B31" s="588"/>
      <c r="C31" s="588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8"/>
      <c r="V31" s="588"/>
      <c r="W31" s="588"/>
      <c r="X31" s="588"/>
      <c r="Y31" s="588"/>
      <c r="Z31" s="588"/>
      <c r="AA31" s="588"/>
      <c r="AB31" s="587"/>
      <c r="AC31" s="588"/>
      <c r="AD31" s="586"/>
      <c r="AE31" s="586"/>
      <c r="AF31" s="586"/>
      <c r="AG31" s="586"/>
      <c r="AH31" s="586"/>
    </row>
    <row r="32" spans="1:34" ht="14">
      <c r="A32" s="587"/>
      <c r="B32" s="588"/>
      <c r="C32" s="588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8"/>
      <c r="V32" s="588"/>
      <c r="W32" s="588"/>
      <c r="X32" s="588"/>
      <c r="Y32" s="588"/>
      <c r="Z32" s="588"/>
      <c r="AA32" s="588"/>
      <c r="AB32" s="587"/>
      <c r="AC32" s="588"/>
      <c r="AD32" s="586"/>
      <c r="AE32" s="586"/>
      <c r="AF32" s="586"/>
      <c r="AG32" s="586"/>
      <c r="AH32" s="586"/>
    </row>
    <row r="33" spans="1:34" ht="14">
      <c r="A33" s="587"/>
      <c r="B33" s="588"/>
      <c r="C33" s="588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8"/>
      <c r="V33" s="588"/>
      <c r="W33" s="588"/>
      <c r="X33" s="588"/>
      <c r="Y33" s="588"/>
      <c r="Z33" s="588"/>
      <c r="AA33" s="588"/>
      <c r="AB33" s="587"/>
      <c r="AC33" s="588"/>
      <c r="AD33" s="586"/>
      <c r="AE33" s="586"/>
      <c r="AF33" s="586"/>
      <c r="AG33" s="586"/>
      <c r="AH33" s="586"/>
    </row>
    <row r="34" spans="1:34" ht="14">
      <c r="A34" s="587"/>
      <c r="B34" s="588"/>
      <c r="C34" s="588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8"/>
      <c r="V34" s="588"/>
      <c r="W34" s="588"/>
      <c r="X34" s="588"/>
      <c r="Y34" s="588"/>
      <c r="Z34" s="588"/>
      <c r="AA34" s="588"/>
      <c r="AB34" s="587"/>
      <c r="AC34" s="588"/>
      <c r="AD34" s="586"/>
      <c r="AE34" s="586"/>
      <c r="AF34" s="586"/>
      <c r="AG34" s="586"/>
      <c r="AH34" s="586"/>
    </row>
    <row r="35" spans="1:34" ht="14">
      <c r="A35" s="587"/>
      <c r="B35" s="588"/>
      <c r="C35" s="588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8"/>
      <c r="V35" s="588"/>
      <c r="W35" s="588"/>
      <c r="X35" s="588"/>
      <c r="Y35" s="588"/>
      <c r="Z35" s="588"/>
      <c r="AA35" s="588"/>
      <c r="AB35" s="587"/>
      <c r="AC35" s="588"/>
      <c r="AD35" s="586"/>
      <c r="AE35" s="586"/>
      <c r="AF35" s="586"/>
      <c r="AG35" s="586"/>
      <c r="AH35" s="586"/>
    </row>
    <row r="36" spans="1:34" ht="14">
      <c r="A36" s="587"/>
      <c r="B36" s="588"/>
      <c r="C36" s="588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8"/>
      <c r="V36" s="588"/>
      <c r="W36" s="588"/>
      <c r="X36" s="588"/>
      <c r="Y36" s="588"/>
      <c r="Z36" s="588"/>
      <c r="AA36" s="588"/>
      <c r="AB36" s="587"/>
      <c r="AC36" s="588"/>
      <c r="AD36" s="586"/>
      <c r="AE36" s="586"/>
      <c r="AF36" s="586"/>
      <c r="AG36" s="586"/>
      <c r="AH36" s="586"/>
    </row>
    <row r="37" spans="1:34" ht="14">
      <c r="A37" s="587"/>
      <c r="B37" s="588"/>
      <c r="C37" s="588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8"/>
      <c r="V37" s="588"/>
      <c r="W37" s="588"/>
      <c r="X37" s="588"/>
      <c r="Y37" s="588"/>
      <c r="Z37" s="588"/>
      <c r="AA37" s="588"/>
      <c r="AB37" s="587"/>
      <c r="AC37" s="588"/>
      <c r="AD37" s="586"/>
      <c r="AE37" s="586"/>
      <c r="AF37" s="586"/>
      <c r="AG37" s="586"/>
      <c r="AH37" s="586"/>
    </row>
    <row r="38" spans="1:34" ht="14">
      <c r="A38" s="587"/>
      <c r="B38" s="588"/>
      <c r="C38" s="588"/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8"/>
      <c r="V38" s="588"/>
      <c r="W38" s="588"/>
      <c r="X38" s="588"/>
      <c r="Y38" s="588"/>
      <c r="Z38" s="588"/>
      <c r="AA38" s="588"/>
      <c r="AB38" s="587"/>
      <c r="AC38" s="588"/>
      <c r="AD38" s="586"/>
      <c r="AE38" s="586"/>
      <c r="AF38" s="586"/>
      <c r="AG38" s="586"/>
      <c r="AH38" s="586"/>
    </row>
    <row r="39" spans="1:34" ht="14">
      <c r="A39" s="587"/>
      <c r="B39" s="588"/>
      <c r="C39" s="588"/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8"/>
      <c r="V39" s="588"/>
      <c r="W39" s="588"/>
      <c r="X39" s="588"/>
      <c r="Y39" s="588"/>
      <c r="Z39" s="588"/>
      <c r="AA39" s="588"/>
      <c r="AB39" s="587"/>
      <c r="AC39" s="588"/>
      <c r="AD39" s="586"/>
      <c r="AE39" s="586"/>
      <c r="AF39" s="586"/>
      <c r="AG39" s="586"/>
      <c r="AH39" s="586"/>
    </row>
    <row r="40" spans="1:34" ht="14">
      <c r="A40" s="587"/>
      <c r="B40" s="588"/>
      <c r="C40" s="588"/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8"/>
      <c r="V40" s="588"/>
      <c r="W40" s="588"/>
      <c r="X40" s="588"/>
      <c r="Y40" s="588"/>
      <c r="Z40" s="588"/>
      <c r="AA40" s="588"/>
      <c r="AB40" s="587"/>
      <c r="AC40" s="588"/>
      <c r="AD40" s="586"/>
      <c r="AE40" s="586"/>
      <c r="AF40" s="586"/>
      <c r="AG40" s="586"/>
      <c r="AH40" s="586"/>
    </row>
    <row r="41" spans="1:34" ht="14">
      <c r="A41" s="587"/>
      <c r="B41" s="588"/>
      <c r="C41" s="588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8"/>
      <c r="V41" s="588"/>
      <c r="W41" s="588"/>
      <c r="X41" s="588"/>
      <c r="Y41" s="588"/>
      <c r="Z41" s="588"/>
      <c r="AA41" s="588"/>
      <c r="AB41" s="587"/>
      <c r="AC41" s="588"/>
      <c r="AD41" s="586"/>
      <c r="AE41" s="586"/>
      <c r="AF41" s="586"/>
      <c r="AG41" s="586"/>
      <c r="AH41" s="586"/>
    </row>
    <row r="42" spans="1:34" ht="14">
      <c r="A42" s="587"/>
      <c r="B42" s="588"/>
      <c r="C42" s="588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8"/>
      <c r="V42" s="588"/>
      <c r="W42" s="588"/>
      <c r="X42" s="588"/>
      <c r="Y42" s="588"/>
      <c r="Z42" s="588"/>
      <c r="AA42" s="588"/>
      <c r="AB42" s="587"/>
      <c r="AC42" s="588"/>
      <c r="AD42" s="586"/>
      <c r="AE42" s="586"/>
      <c r="AF42" s="586"/>
      <c r="AG42" s="586"/>
      <c r="AH42" s="586"/>
    </row>
    <row r="43" spans="1:34" ht="14">
      <c r="A43" s="587"/>
      <c r="B43" s="588"/>
      <c r="C43" s="588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8"/>
      <c r="V43" s="588"/>
      <c r="W43" s="588"/>
      <c r="X43" s="588"/>
      <c r="Y43" s="588"/>
      <c r="Z43" s="588"/>
      <c r="AA43" s="588"/>
      <c r="AB43" s="587"/>
      <c r="AC43" s="588"/>
      <c r="AD43" s="586"/>
      <c r="AE43" s="586"/>
      <c r="AF43" s="586"/>
      <c r="AG43" s="586"/>
      <c r="AH43" s="586"/>
    </row>
    <row r="44" spans="1:34" ht="14">
      <c r="A44" s="587"/>
      <c r="B44" s="588"/>
      <c r="C44" s="588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8"/>
      <c r="V44" s="588"/>
      <c r="W44" s="588"/>
      <c r="X44" s="588"/>
      <c r="Y44" s="588"/>
      <c r="Z44" s="588"/>
      <c r="AA44" s="588"/>
      <c r="AB44" s="587"/>
      <c r="AC44" s="588"/>
      <c r="AD44" s="586"/>
      <c r="AE44" s="586"/>
      <c r="AF44" s="586"/>
      <c r="AG44" s="586"/>
      <c r="AH44" s="586"/>
    </row>
    <row r="45" spans="1:34" ht="14">
      <c r="A45" s="587"/>
      <c r="B45" s="588"/>
      <c r="C45" s="588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8"/>
      <c r="V45" s="588"/>
      <c r="W45" s="588"/>
      <c r="X45" s="588"/>
      <c r="Y45" s="588"/>
      <c r="Z45" s="588"/>
      <c r="AA45" s="588"/>
      <c r="AB45" s="587"/>
      <c r="AC45" s="588"/>
      <c r="AD45" s="586"/>
      <c r="AE45" s="586"/>
      <c r="AF45" s="586"/>
      <c r="AG45" s="586"/>
      <c r="AH45" s="586"/>
    </row>
    <row r="46" spans="1:34" ht="14">
      <c r="A46" s="587"/>
      <c r="B46" s="588"/>
      <c r="C46" s="588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8"/>
      <c r="V46" s="588"/>
      <c r="W46" s="588"/>
      <c r="X46" s="588"/>
      <c r="Y46" s="588"/>
      <c r="Z46" s="588"/>
      <c r="AA46" s="588"/>
      <c r="AB46" s="587"/>
      <c r="AC46" s="588"/>
      <c r="AD46" s="586"/>
      <c r="AE46" s="586"/>
      <c r="AF46" s="586"/>
      <c r="AG46" s="586"/>
      <c r="AH46" s="586"/>
    </row>
    <row r="47" spans="1:34" ht="14">
      <c r="A47" s="587"/>
      <c r="B47" s="588"/>
      <c r="C47" s="588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8"/>
      <c r="V47" s="588"/>
      <c r="W47" s="588"/>
      <c r="X47" s="588"/>
      <c r="Y47" s="588"/>
      <c r="Z47" s="588"/>
      <c r="AA47" s="588"/>
      <c r="AB47" s="587"/>
      <c r="AC47" s="588"/>
      <c r="AD47" s="586"/>
      <c r="AE47" s="586"/>
      <c r="AF47" s="586"/>
      <c r="AG47" s="586"/>
      <c r="AH47" s="586"/>
    </row>
    <row r="48" spans="1:34" ht="14">
      <c r="A48" s="587"/>
      <c r="B48" s="588"/>
      <c r="C48" s="588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8"/>
      <c r="V48" s="588"/>
      <c r="W48" s="588"/>
      <c r="X48" s="588"/>
      <c r="Y48" s="588"/>
      <c r="Z48" s="588"/>
      <c r="AA48" s="588"/>
      <c r="AB48" s="587"/>
      <c r="AC48" s="588"/>
      <c r="AD48" s="586"/>
      <c r="AE48" s="586"/>
      <c r="AF48" s="586"/>
      <c r="AG48" s="586"/>
      <c r="AH48" s="586"/>
    </row>
    <row r="49" spans="1:34" ht="14">
      <c r="A49" s="587"/>
      <c r="B49" s="588"/>
      <c r="C49" s="588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8"/>
      <c r="V49" s="588"/>
      <c r="W49" s="588"/>
      <c r="X49" s="588"/>
      <c r="Y49" s="588"/>
      <c r="Z49" s="588"/>
      <c r="AA49" s="588"/>
      <c r="AB49" s="587"/>
      <c r="AC49" s="588"/>
      <c r="AD49" s="586"/>
      <c r="AE49" s="586"/>
      <c r="AF49" s="586"/>
      <c r="AG49" s="586"/>
      <c r="AH49" s="586"/>
    </row>
    <row r="50" spans="1:34" ht="14">
      <c r="A50" s="587"/>
      <c r="B50" s="588"/>
      <c r="C50" s="588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8"/>
      <c r="V50" s="588"/>
      <c r="W50" s="588"/>
      <c r="X50" s="588"/>
      <c r="Y50" s="588"/>
      <c r="Z50" s="588"/>
      <c r="AA50" s="588"/>
      <c r="AB50" s="587"/>
      <c r="AC50" s="588"/>
      <c r="AD50" s="586"/>
      <c r="AE50" s="586"/>
      <c r="AF50" s="586"/>
      <c r="AG50" s="586"/>
      <c r="AH50" s="586"/>
    </row>
    <row r="51" spans="1:34" ht="14">
      <c r="A51" s="587"/>
      <c r="B51" s="588"/>
      <c r="C51" s="588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8"/>
      <c r="V51" s="588"/>
      <c r="W51" s="588"/>
      <c r="X51" s="588"/>
      <c r="Y51" s="588"/>
      <c r="Z51" s="588"/>
      <c r="AA51" s="588"/>
      <c r="AB51" s="587"/>
      <c r="AC51" s="588"/>
      <c r="AD51" s="586"/>
      <c r="AE51" s="586"/>
      <c r="AF51" s="586"/>
      <c r="AG51" s="586"/>
      <c r="AH51" s="586"/>
    </row>
    <row r="52" spans="1:34" ht="14">
      <c r="A52" s="587"/>
      <c r="B52" s="588"/>
      <c r="C52" s="588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8"/>
      <c r="V52" s="588"/>
      <c r="W52" s="588"/>
      <c r="X52" s="588"/>
      <c r="Y52" s="588"/>
      <c r="Z52" s="588"/>
      <c r="AA52" s="588"/>
      <c r="AB52" s="587"/>
      <c r="AC52" s="588"/>
      <c r="AD52" s="586"/>
      <c r="AE52" s="586"/>
      <c r="AF52" s="586"/>
      <c r="AG52" s="586"/>
      <c r="AH52" s="586"/>
    </row>
    <row r="53" spans="1:34" ht="14">
      <c r="A53" s="587"/>
      <c r="B53" s="588"/>
      <c r="C53" s="588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8"/>
      <c r="V53" s="588"/>
      <c r="W53" s="588"/>
      <c r="X53" s="588"/>
      <c r="Y53" s="588"/>
      <c r="Z53" s="588"/>
      <c r="AA53" s="588"/>
      <c r="AB53" s="587"/>
      <c r="AC53" s="588"/>
      <c r="AD53" s="586"/>
      <c r="AE53" s="586"/>
      <c r="AF53" s="586"/>
      <c r="AG53" s="586"/>
      <c r="AH53" s="586"/>
    </row>
    <row r="54" spans="1:34" ht="14">
      <c r="A54" s="587"/>
      <c r="B54" s="588"/>
      <c r="C54" s="588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8"/>
      <c r="V54" s="588"/>
      <c r="W54" s="588"/>
      <c r="X54" s="588"/>
      <c r="Y54" s="588"/>
      <c r="Z54" s="588"/>
      <c r="AA54" s="588"/>
      <c r="AB54" s="587"/>
      <c r="AC54" s="588"/>
      <c r="AD54" s="586"/>
      <c r="AE54" s="586"/>
      <c r="AF54" s="586"/>
      <c r="AG54" s="586"/>
      <c r="AH54" s="586"/>
    </row>
    <row r="55" spans="1:34" ht="14">
      <c r="A55" s="587"/>
      <c r="B55" s="588"/>
      <c r="C55" s="588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8"/>
      <c r="V55" s="588"/>
      <c r="W55" s="588"/>
      <c r="X55" s="588"/>
      <c r="Y55" s="588"/>
      <c r="Z55" s="588"/>
      <c r="AA55" s="588"/>
      <c r="AB55" s="587"/>
      <c r="AC55" s="588"/>
      <c r="AD55" s="586"/>
      <c r="AE55" s="586"/>
      <c r="AF55" s="586"/>
      <c r="AG55" s="586"/>
      <c r="AH55" s="586"/>
    </row>
    <row r="56" spans="1:34" ht="14">
      <c r="A56" s="587"/>
      <c r="B56" s="588"/>
      <c r="C56" s="588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8"/>
      <c r="V56" s="588"/>
      <c r="W56" s="588"/>
      <c r="X56" s="588"/>
      <c r="Y56" s="588"/>
      <c r="Z56" s="588"/>
      <c r="AA56" s="588"/>
      <c r="AB56" s="587"/>
      <c r="AC56" s="588"/>
      <c r="AD56" s="586"/>
      <c r="AE56" s="586"/>
      <c r="AF56" s="586"/>
      <c r="AG56" s="586"/>
      <c r="AH56" s="586"/>
    </row>
    <row r="57" spans="1:34" ht="14">
      <c r="A57" s="587"/>
      <c r="B57" s="588"/>
      <c r="C57" s="588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8"/>
      <c r="V57" s="588"/>
      <c r="W57" s="588"/>
      <c r="X57" s="588"/>
      <c r="Y57" s="588"/>
      <c r="Z57" s="588"/>
      <c r="AA57" s="588"/>
      <c r="AB57" s="587"/>
      <c r="AC57" s="588"/>
      <c r="AD57" s="586"/>
      <c r="AE57" s="586"/>
      <c r="AF57" s="586"/>
      <c r="AG57" s="586"/>
      <c r="AH57" s="586"/>
    </row>
    <row r="58" spans="1:34" ht="14">
      <c r="A58" s="587"/>
      <c r="B58" s="588"/>
      <c r="C58" s="588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589"/>
      <c r="S58" s="589"/>
      <c r="T58" s="589"/>
      <c r="U58" s="588"/>
      <c r="V58" s="588"/>
      <c r="W58" s="588"/>
      <c r="X58" s="588"/>
      <c r="Y58" s="588"/>
      <c r="Z58" s="588"/>
      <c r="AA58" s="588"/>
      <c r="AB58" s="587"/>
      <c r="AC58" s="588"/>
      <c r="AD58" s="586"/>
      <c r="AE58" s="586"/>
      <c r="AF58" s="586"/>
      <c r="AG58" s="586"/>
      <c r="AH58" s="586"/>
    </row>
    <row r="59" spans="1:34" ht="14">
      <c r="A59" s="587"/>
      <c r="B59" s="588"/>
      <c r="C59" s="588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89"/>
      <c r="U59" s="588"/>
      <c r="V59" s="588"/>
      <c r="W59" s="588"/>
      <c r="X59" s="588"/>
      <c r="Y59" s="588"/>
      <c r="Z59" s="588"/>
      <c r="AA59" s="588"/>
      <c r="AB59" s="587"/>
      <c r="AC59" s="588"/>
      <c r="AD59" s="586"/>
      <c r="AE59" s="586"/>
      <c r="AF59" s="586"/>
      <c r="AG59" s="586"/>
      <c r="AH59" s="586"/>
    </row>
    <row r="60" spans="1:34" ht="14">
      <c r="A60" s="587"/>
      <c r="B60" s="588"/>
      <c r="C60" s="588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589"/>
      <c r="S60" s="589"/>
      <c r="T60" s="589"/>
      <c r="U60" s="588"/>
      <c r="V60" s="588"/>
      <c r="W60" s="588"/>
      <c r="X60" s="588"/>
      <c r="Y60" s="588"/>
      <c r="Z60" s="588"/>
      <c r="AA60" s="588"/>
      <c r="AB60" s="587"/>
      <c r="AC60" s="588"/>
      <c r="AD60" s="586"/>
      <c r="AE60" s="586"/>
      <c r="AF60" s="586"/>
      <c r="AG60" s="586"/>
      <c r="AH60" s="586"/>
    </row>
    <row r="61" spans="1:34" ht="14">
      <c r="A61" s="587"/>
      <c r="B61" s="588"/>
      <c r="C61" s="588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589"/>
      <c r="S61" s="589"/>
      <c r="T61" s="589"/>
      <c r="U61" s="588"/>
      <c r="V61" s="588"/>
      <c r="W61" s="588"/>
      <c r="X61" s="588"/>
      <c r="Y61" s="588"/>
      <c r="Z61" s="588"/>
      <c r="AA61" s="588"/>
      <c r="AB61" s="587"/>
      <c r="AC61" s="588"/>
      <c r="AD61" s="586"/>
      <c r="AE61" s="586"/>
      <c r="AF61" s="586"/>
      <c r="AG61" s="586"/>
      <c r="AH61" s="586"/>
    </row>
    <row r="62" spans="1:34" ht="14">
      <c r="A62" s="587"/>
      <c r="B62" s="588"/>
      <c r="C62" s="588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589"/>
      <c r="S62" s="589"/>
      <c r="T62" s="589"/>
      <c r="U62" s="588"/>
      <c r="V62" s="588"/>
      <c r="W62" s="588"/>
      <c r="X62" s="588"/>
      <c r="Y62" s="588"/>
      <c r="Z62" s="588"/>
      <c r="AA62" s="588"/>
      <c r="AB62" s="587"/>
      <c r="AC62" s="588"/>
      <c r="AD62" s="586"/>
      <c r="AE62" s="586"/>
      <c r="AF62" s="586"/>
      <c r="AG62" s="586"/>
      <c r="AH62" s="586"/>
    </row>
    <row r="63" spans="1:34" ht="14">
      <c r="A63" s="587"/>
      <c r="B63" s="588"/>
      <c r="C63" s="588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589"/>
      <c r="T63" s="589"/>
      <c r="U63" s="588"/>
      <c r="V63" s="588"/>
      <c r="W63" s="588"/>
      <c r="X63" s="588"/>
      <c r="Y63" s="588"/>
      <c r="Z63" s="588"/>
      <c r="AA63" s="588"/>
      <c r="AB63" s="587"/>
      <c r="AC63" s="588"/>
      <c r="AD63" s="586"/>
      <c r="AE63" s="586"/>
      <c r="AF63" s="586"/>
      <c r="AG63" s="586"/>
      <c r="AH63" s="586"/>
    </row>
    <row r="64" spans="1:34" ht="14">
      <c r="A64" s="587"/>
      <c r="B64" s="588"/>
      <c r="C64" s="588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89"/>
      <c r="T64" s="589"/>
      <c r="U64" s="588"/>
      <c r="V64" s="588"/>
      <c r="W64" s="588"/>
      <c r="X64" s="588"/>
      <c r="Y64" s="588"/>
      <c r="Z64" s="588"/>
      <c r="AA64" s="588"/>
      <c r="AB64" s="587"/>
      <c r="AC64" s="588"/>
      <c r="AD64" s="586"/>
      <c r="AE64" s="586"/>
      <c r="AF64" s="586"/>
      <c r="AG64" s="586"/>
      <c r="AH64" s="586"/>
    </row>
  </sheetData>
  <sortState ref="A5:AH14">
    <sortCondition ref="AC5:AC14"/>
  </sortState>
  <conditionalFormatting sqref="A1:W3 B4:W4 A20:K20 M20:X20 A21:X64 Z2:AA2 Z1:AB1 AC1:AH6 Z3:AB4 X1:Y4 AB19:AH19 Z20:AH64 B7:B19 AD7:AH11 A7:A18 A5:AB6 C7:AC18">
    <cfRule type="cellIs" dxfId="191" priority="19" operator="equal">
      <formula>0</formula>
    </cfRule>
  </conditionalFormatting>
  <conditionalFormatting sqref="AD15:AH15">
    <cfRule type="cellIs" dxfId="190" priority="13" operator="equal">
      <formula>0</formula>
    </cfRule>
  </conditionalFormatting>
  <conditionalFormatting sqref="AD12:AH12">
    <cfRule type="cellIs" dxfId="189" priority="12" operator="equal">
      <formula>0</formula>
    </cfRule>
  </conditionalFormatting>
  <conditionalFormatting sqref="AD13:AH14">
    <cfRule type="cellIs" dxfId="188" priority="8" operator="equal">
      <formula>0</formula>
    </cfRule>
  </conditionalFormatting>
  <conditionalFormatting sqref="AB2">
    <cfRule type="cellIs" dxfId="187" priority="5" operator="equal">
      <formula>0</formula>
    </cfRule>
  </conditionalFormatting>
  <conditionalFormatting sqref="Y20:Y64">
    <cfRule type="cellIs" dxfId="186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0" max="16383" man="1"/>
  </rowBreaks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338" customWidth="1"/>
    <col min="4" max="4" width="34.90625" style="338" customWidth="1"/>
    <col min="5" max="5" width="30.453125" style="338" customWidth="1"/>
    <col min="6" max="6" width="10.90625" style="338" customWidth="1"/>
    <col min="7" max="7" width="5.54296875" style="338" customWidth="1"/>
    <col min="8" max="9" width="12.08984375" style="338" customWidth="1"/>
    <col min="10" max="10" width="7.90625" style="338" customWidth="1"/>
    <col min="11" max="16384" width="9.08984375" style="338"/>
  </cols>
  <sheetData>
    <row r="3" spans="1:17" ht="20.5">
      <c r="A3" s="337"/>
      <c r="C3" s="339" t="s">
        <v>456</v>
      </c>
      <c r="D3" s="337"/>
      <c r="E3" s="337"/>
      <c r="F3" s="337"/>
      <c r="G3" s="337"/>
      <c r="H3" s="337"/>
      <c r="I3" s="337"/>
      <c r="J3" s="337"/>
      <c r="K3" s="337"/>
      <c r="L3" s="337"/>
    </row>
    <row r="4" spans="1:17" ht="20.5">
      <c r="A4" s="337"/>
      <c r="C4" s="339"/>
      <c r="D4" s="337"/>
      <c r="E4" s="337"/>
      <c r="F4" s="337"/>
      <c r="G4" s="337"/>
      <c r="H4" s="337"/>
      <c r="I4" s="337"/>
      <c r="J4" s="337"/>
      <c r="K4" s="337"/>
      <c r="L4" s="337"/>
    </row>
    <row r="5" spans="1:17" ht="21" thickBot="1">
      <c r="A5" s="337"/>
      <c r="C5" s="339"/>
      <c r="D5" s="337"/>
      <c r="E5" s="337"/>
      <c r="F5" s="337"/>
      <c r="G5" s="337"/>
      <c r="H5" s="337"/>
      <c r="I5" s="337"/>
      <c r="J5" s="337"/>
      <c r="K5" s="337"/>
      <c r="L5" s="337"/>
    </row>
    <row r="6" spans="1:17" ht="16" thickBot="1">
      <c r="A6" s="337"/>
      <c r="B6" s="340" t="s">
        <v>187</v>
      </c>
      <c r="C6" s="337" t="s">
        <v>1180</v>
      </c>
      <c r="D6" s="337"/>
      <c r="E6" s="337"/>
      <c r="F6" s="341">
        <f>'תקציב אגף נכסים וביטוח 2021'!U20</f>
        <v>2040000</v>
      </c>
      <c r="I6" s="337"/>
      <c r="J6" s="337"/>
      <c r="K6" s="337"/>
      <c r="L6" s="337"/>
    </row>
    <row r="7" spans="1:17" ht="15.5">
      <c r="B7" s="340"/>
      <c r="C7" s="337"/>
      <c r="D7" s="337"/>
      <c r="E7" s="337"/>
      <c r="F7" s="337"/>
      <c r="H7" s="337"/>
      <c r="I7" s="337"/>
      <c r="J7" s="337"/>
      <c r="K7" s="337"/>
      <c r="L7" s="337"/>
      <c r="M7" s="337"/>
      <c r="N7" s="337"/>
      <c r="O7" s="337"/>
      <c r="P7" s="337"/>
      <c r="Q7" s="337"/>
    </row>
    <row r="8" spans="1:17" ht="15.5">
      <c r="B8" s="340" t="s">
        <v>187</v>
      </c>
      <c r="C8" s="337" t="s">
        <v>326</v>
      </c>
      <c r="D8" s="337"/>
      <c r="E8" s="337"/>
      <c r="F8" s="337"/>
      <c r="G8" s="337"/>
      <c r="H8" s="337"/>
      <c r="I8" s="337"/>
      <c r="J8" s="337"/>
      <c r="K8" s="337"/>
      <c r="L8" s="337"/>
    </row>
    <row r="9" spans="1:17" ht="15.5">
      <c r="B9" s="340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</row>
    <row r="10" spans="1:17" ht="15.5">
      <c r="B10" s="340" t="s">
        <v>187</v>
      </c>
      <c r="C10" s="337" t="s">
        <v>604</v>
      </c>
      <c r="D10" s="337"/>
      <c r="F10" s="337"/>
      <c r="H10" s="342"/>
      <c r="I10" s="337"/>
      <c r="J10" s="337"/>
      <c r="K10" s="337"/>
      <c r="L10" s="337"/>
      <c r="M10" s="337"/>
      <c r="N10" s="337"/>
      <c r="O10" s="337"/>
      <c r="P10" s="337"/>
      <c r="Q10" s="337"/>
    </row>
    <row r="11" spans="1:17" ht="15.5">
      <c r="C11" s="337" t="s">
        <v>327</v>
      </c>
      <c r="D11" s="337"/>
      <c r="E11" s="337"/>
      <c r="F11" s="337"/>
      <c r="H11" s="337"/>
      <c r="I11" s="337"/>
      <c r="J11" s="337"/>
      <c r="K11" s="337"/>
      <c r="L11" s="337"/>
    </row>
    <row r="12" spans="1:17" ht="15.5">
      <c r="B12" s="340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</row>
    <row r="13" spans="1:17" ht="15.5">
      <c r="B13" s="340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showZeros="0" rightToLeft="1" zoomScaleNormal="100" workbookViewId="0">
      <pane xSplit="3" ySplit="4" topLeftCell="D17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36328125" style="165" customWidth="1"/>
    <col min="2" max="2" width="4.81640625" style="164" customWidth="1"/>
    <col min="3" max="3" width="30.453125" style="164" customWidth="1"/>
    <col min="4" max="5" width="10.81640625" style="168" customWidth="1"/>
    <col min="6" max="6" width="9.81640625" style="168" customWidth="1"/>
    <col min="7" max="11" width="9.81640625" style="168" hidden="1" customWidth="1"/>
    <col min="12" max="15" width="9.81640625" style="168" customWidth="1"/>
    <col min="16" max="19" width="9.81640625" style="168" hidden="1" customWidth="1"/>
    <col min="20" max="20" width="9.81640625" style="168" customWidth="1"/>
    <col min="21" max="22" width="9.81640625" style="164" customWidth="1"/>
    <col min="23" max="23" width="11.90625" style="164" hidden="1" customWidth="1"/>
    <col min="24" max="26" width="10.08984375" style="164" hidden="1" customWidth="1"/>
    <col min="27" max="27" width="9.6328125" style="164" hidden="1" customWidth="1"/>
    <col min="28" max="28" width="32.6328125" style="164" customWidth="1"/>
    <col min="29" max="29" width="7.90625" style="164" hidden="1" customWidth="1"/>
    <col min="30" max="16384" width="9.08984375" style="164"/>
  </cols>
  <sheetData>
    <row r="1" spans="1:31" s="189" customFormat="1" ht="18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spans="1:31" ht="18">
      <c r="A2" s="208" t="s">
        <v>456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31" ht="21" customHeight="1"/>
    <row r="4" spans="1:31" s="190" customFormat="1" ht="86.25" customHeight="1">
      <c r="A4" s="163" t="s">
        <v>0</v>
      </c>
      <c r="B4" s="163" t="s">
        <v>1</v>
      </c>
      <c r="C4" s="163" t="s">
        <v>2</v>
      </c>
      <c r="D4" s="163" t="s">
        <v>3</v>
      </c>
      <c r="E4" s="163" t="s">
        <v>4</v>
      </c>
      <c r="F4" s="163" t="s">
        <v>5</v>
      </c>
      <c r="G4" s="163" t="s">
        <v>6</v>
      </c>
      <c r="H4" s="163" t="s">
        <v>7</v>
      </c>
      <c r="I4" s="163" t="s">
        <v>9</v>
      </c>
      <c r="J4" s="163" t="s">
        <v>178</v>
      </c>
      <c r="K4" s="163" t="s">
        <v>10</v>
      </c>
      <c r="L4" s="163" t="s">
        <v>11</v>
      </c>
      <c r="M4" s="9" t="s">
        <v>936</v>
      </c>
      <c r="N4" s="9" t="s">
        <v>937</v>
      </c>
      <c r="O4" s="9" t="s">
        <v>938</v>
      </c>
      <c r="P4" s="9" t="s">
        <v>12</v>
      </c>
      <c r="Q4" s="9" t="s">
        <v>939</v>
      </c>
      <c r="R4" s="9" t="s">
        <v>940</v>
      </c>
      <c r="S4" s="9" t="s">
        <v>941</v>
      </c>
      <c r="T4" s="9" t="s">
        <v>942</v>
      </c>
      <c r="U4" s="9" t="s">
        <v>943</v>
      </c>
      <c r="V4" s="163" t="s">
        <v>13</v>
      </c>
      <c r="W4" s="163" t="s">
        <v>14</v>
      </c>
      <c r="X4" s="163" t="s">
        <v>15</v>
      </c>
      <c r="Y4" s="163" t="s">
        <v>301</v>
      </c>
      <c r="Z4" s="163" t="s">
        <v>1391</v>
      </c>
      <c r="AA4" s="163" t="s">
        <v>91</v>
      </c>
      <c r="AB4" s="561" t="s">
        <v>344</v>
      </c>
      <c r="AC4" s="163" t="s">
        <v>16</v>
      </c>
    </row>
    <row r="5" spans="1:31" s="170" customFormat="1" ht="30" customHeight="1">
      <c r="A5" s="171">
        <v>1</v>
      </c>
      <c r="B5" s="172">
        <v>470</v>
      </c>
      <c r="C5" s="171" t="s">
        <v>69</v>
      </c>
      <c r="D5" s="152">
        <v>2130000</v>
      </c>
      <c r="E5" s="152">
        <v>2130000</v>
      </c>
      <c r="F5" s="152">
        <f t="shared" ref="F5:F17" si="0">D5-E5</f>
        <v>0</v>
      </c>
      <c r="G5" s="152">
        <v>1830000</v>
      </c>
      <c r="H5" s="152">
        <v>1737007</v>
      </c>
      <c r="I5" s="152">
        <v>0</v>
      </c>
      <c r="J5" s="152">
        <v>0</v>
      </c>
      <c r="K5" s="152">
        <f>SUM(I5:J5)</f>
        <v>0</v>
      </c>
      <c r="L5" s="152">
        <f t="shared" ref="L5:L19" si="1">H5+K5</f>
        <v>1737007</v>
      </c>
      <c r="M5" s="152">
        <f t="shared" ref="M5:M19" si="2">P5+S5</f>
        <v>92993</v>
      </c>
      <c r="N5" s="152"/>
      <c r="O5" s="152">
        <f t="shared" ref="O5:O19" si="3">D5-L5-M5-N5</f>
        <v>300000</v>
      </c>
      <c r="P5" s="152">
        <f t="shared" ref="P5:P19" si="4">G5-L5</f>
        <v>92993</v>
      </c>
      <c r="Q5" s="152"/>
      <c r="R5" s="152"/>
      <c r="S5" s="152">
        <f t="shared" ref="S5:S19" si="5">SUM(Q5:R5)</f>
        <v>0</v>
      </c>
      <c r="T5" s="152">
        <f t="shared" ref="T5:T19" si="6">P5-M5+S5</f>
        <v>0</v>
      </c>
      <c r="U5" s="152">
        <f t="shared" ref="U5:U19" si="7">N5-T5</f>
        <v>0</v>
      </c>
      <c r="V5" s="152">
        <f t="shared" ref="V5:V19" si="8">U5-W5-Z5-AA5</f>
        <v>0</v>
      </c>
      <c r="W5" s="152"/>
      <c r="X5" s="152"/>
      <c r="Y5" s="152"/>
      <c r="Z5" s="152"/>
      <c r="AA5" s="171"/>
      <c r="AB5" s="418" t="s">
        <v>452</v>
      </c>
      <c r="AC5" s="171">
        <v>935000</v>
      </c>
      <c r="AD5" s="311"/>
      <c r="AE5" s="311"/>
    </row>
    <row r="6" spans="1:31" s="170" customFormat="1" ht="30" customHeight="1">
      <c r="A6" s="171">
        <f>A5+1</f>
        <v>2</v>
      </c>
      <c r="B6" s="172">
        <v>1066</v>
      </c>
      <c r="C6" s="171" t="s">
        <v>70</v>
      </c>
      <c r="D6" s="152">
        <v>75000</v>
      </c>
      <c r="E6" s="152">
        <v>75000</v>
      </c>
      <c r="F6" s="152">
        <f t="shared" si="0"/>
        <v>0</v>
      </c>
      <c r="G6" s="152">
        <v>75000</v>
      </c>
      <c r="H6" s="152">
        <v>40172</v>
      </c>
      <c r="I6" s="152">
        <v>0</v>
      </c>
      <c r="J6" s="152">
        <v>0</v>
      </c>
      <c r="K6" s="152">
        <f t="shared" ref="K6:K19" si="9">SUM(I6:J6)</f>
        <v>0</v>
      </c>
      <c r="L6" s="152">
        <f t="shared" si="1"/>
        <v>40172</v>
      </c>
      <c r="M6" s="152">
        <f t="shared" si="2"/>
        <v>34828</v>
      </c>
      <c r="N6" s="152"/>
      <c r="O6" s="152">
        <f t="shared" si="3"/>
        <v>0</v>
      </c>
      <c r="P6" s="152">
        <f t="shared" si="4"/>
        <v>34828</v>
      </c>
      <c r="Q6" s="152"/>
      <c r="R6" s="152"/>
      <c r="S6" s="152">
        <f t="shared" si="5"/>
        <v>0</v>
      </c>
      <c r="T6" s="152">
        <f t="shared" si="6"/>
        <v>0</v>
      </c>
      <c r="U6" s="152">
        <f t="shared" si="7"/>
        <v>0</v>
      </c>
      <c r="V6" s="152">
        <f t="shared" si="8"/>
        <v>0</v>
      </c>
      <c r="W6" s="152"/>
      <c r="X6" s="152"/>
      <c r="Y6" s="152"/>
      <c r="Z6" s="152"/>
      <c r="AA6" s="171"/>
      <c r="AB6" s="419" t="s">
        <v>488</v>
      </c>
      <c r="AC6" s="171">
        <v>935000</v>
      </c>
      <c r="AD6" s="311"/>
      <c r="AE6" s="311"/>
    </row>
    <row r="7" spans="1:31" s="170" customFormat="1" ht="30" customHeight="1">
      <c r="A7" s="171">
        <f t="shared" ref="A7:A19" si="10">A6+1</f>
        <v>3</v>
      </c>
      <c r="B7" s="172">
        <v>1177</v>
      </c>
      <c r="C7" s="171" t="s">
        <v>71</v>
      </c>
      <c r="D7" s="152">
        <v>41850000</v>
      </c>
      <c r="E7" s="152">
        <v>41850000</v>
      </c>
      <c r="F7" s="152">
        <f t="shared" si="0"/>
        <v>0</v>
      </c>
      <c r="G7" s="152">
        <v>28957000</v>
      </c>
      <c r="H7" s="152">
        <v>26727455</v>
      </c>
      <c r="I7" s="152">
        <v>0</v>
      </c>
      <c r="J7" s="152">
        <v>0</v>
      </c>
      <c r="K7" s="152">
        <f t="shared" si="9"/>
        <v>0</v>
      </c>
      <c r="L7" s="152">
        <f t="shared" si="1"/>
        <v>26727455</v>
      </c>
      <c r="M7" s="152">
        <f t="shared" si="2"/>
        <v>2229545</v>
      </c>
      <c r="N7" s="152"/>
      <c r="O7" s="152">
        <f t="shared" si="3"/>
        <v>12893000</v>
      </c>
      <c r="P7" s="152">
        <f t="shared" si="4"/>
        <v>2229545</v>
      </c>
      <c r="Q7" s="152"/>
      <c r="R7" s="152"/>
      <c r="S7" s="152">
        <f t="shared" si="5"/>
        <v>0</v>
      </c>
      <c r="T7" s="152">
        <f t="shared" si="6"/>
        <v>0</v>
      </c>
      <c r="U7" s="152">
        <f t="shared" si="7"/>
        <v>0</v>
      </c>
      <c r="V7" s="152">
        <f t="shared" si="8"/>
        <v>0</v>
      </c>
      <c r="W7" s="152"/>
      <c r="X7" s="152"/>
      <c r="Y7" s="152"/>
      <c r="Z7" s="152"/>
      <c r="AA7" s="171"/>
      <c r="AB7" s="419" t="s">
        <v>489</v>
      </c>
      <c r="AC7" s="171">
        <v>930000</v>
      </c>
      <c r="AD7" s="311"/>
      <c r="AE7" s="311"/>
    </row>
    <row r="8" spans="1:31" s="170" customFormat="1" ht="30" customHeight="1">
      <c r="A8" s="171">
        <f t="shared" si="10"/>
        <v>4</v>
      </c>
      <c r="B8" s="172">
        <v>1258</v>
      </c>
      <c r="C8" s="171" t="s">
        <v>72</v>
      </c>
      <c r="D8" s="152">
        <v>1400000</v>
      </c>
      <c r="E8" s="152">
        <v>1400000</v>
      </c>
      <c r="F8" s="152">
        <f t="shared" si="0"/>
        <v>0</v>
      </c>
      <c r="G8" s="152">
        <v>950000</v>
      </c>
      <c r="H8" s="152">
        <v>887543</v>
      </c>
      <c r="I8" s="152">
        <v>0</v>
      </c>
      <c r="J8" s="152">
        <v>0</v>
      </c>
      <c r="K8" s="152">
        <f t="shared" si="9"/>
        <v>0</v>
      </c>
      <c r="L8" s="152">
        <f t="shared" si="1"/>
        <v>887543</v>
      </c>
      <c r="M8" s="152">
        <f t="shared" si="2"/>
        <v>62457</v>
      </c>
      <c r="N8" s="152"/>
      <c r="O8" s="152">
        <f t="shared" si="3"/>
        <v>450000</v>
      </c>
      <c r="P8" s="152">
        <f t="shared" si="4"/>
        <v>62457</v>
      </c>
      <c r="Q8" s="152"/>
      <c r="R8" s="152"/>
      <c r="S8" s="152">
        <f t="shared" si="5"/>
        <v>0</v>
      </c>
      <c r="T8" s="152">
        <f t="shared" si="6"/>
        <v>0</v>
      </c>
      <c r="U8" s="152">
        <f t="shared" si="7"/>
        <v>0</v>
      </c>
      <c r="V8" s="152">
        <f t="shared" si="8"/>
        <v>0</v>
      </c>
      <c r="W8" s="152"/>
      <c r="X8" s="152"/>
      <c r="Y8" s="152"/>
      <c r="Z8" s="152"/>
      <c r="AA8" s="171"/>
      <c r="AB8" s="420" t="s">
        <v>339</v>
      </c>
      <c r="AC8" s="171">
        <v>930000</v>
      </c>
      <c r="AD8" s="311"/>
      <c r="AE8" s="311"/>
    </row>
    <row r="9" spans="1:31" s="170" customFormat="1" ht="30" customHeight="1">
      <c r="A9" s="171">
        <f t="shared" si="10"/>
        <v>5</v>
      </c>
      <c r="B9" s="172">
        <v>1330</v>
      </c>
      <c r="C9" s="171" t="s">
        <v>73</v>
      </c>
      <c r="D9" s="152">
        <v>60700000</v>
      </c>
      <c r="E9" s="152">
        <v>60700000</v>
      </c>
      <c r="F9" s="152">
        <f t="shared" si="0"/>
        <v>0</v>
      </c>
      <c r="G9" s="152">
        <v>17249825</v>
      </c>
      <c r="H9" s="152">
        <v>6557693</v>
      </c>
      <c r="I9" s="152">
        <v>0</v>
      </c>
      <c r="J9" s="152">
        <v>0</v>
      </c>
      <c r="K9" s="152">
        <f t="shared" si="9"/>
        <v>0</v>
      </c>
      <c r="L9" s="152">
        <f t="shared" si="1"/>
        <v>6557693</v>
      </c>
      <c r="M9" s="152">
        <f t="shared" si="2"/>
        <v>10692132</v>
      </c>
      <c r="N9" s="152"/>
      <c r="O9" s="152">
        <f t="shared" si="3"/>
        <v>43450175</v>
      </c>
      <c r="P9" s="152">
        <f t="shared" si="4"/>
        <v>10692132</v>
      </c>
      <c r="Q9" s="152"/>
      <c r="R9" s="152"/>
      <c r="S9" s="152">
        <f t="shared" si="5"/>
        <v>0</v>
      </c>
      <c r="T9" s="152">
        <f t="shared" si="6"/>
        <v>0</v>
      </c>
      <c r="U9" s="152">
        <f t="shared" si="7"/>
        <v>0</v>
      </c>
      <c r="V9" s="152">
        <f t="shared" si="8"/>
        <v>0</v>
      </c>
      <c r="W9" s="152"/>
      <c r="X9" s="152"/>
      <c r="Y9" s="152"/>
      <c r="Z9" s="152"/>
      <c r="AA9" s="171"/>
      <c r="AB9" s="419" t="s">
        <v>490</v>
      </c>
      <c r="AC9" s="171">
        <v>930000</v>
      </c>
      <c r="AD9" s="311"/>
      <c r="AE9" s="311"/>
    </row>
    <row r="10" spans="1:31" s="170" customFormat="1" ht="56">
      <c r="A10" s="171">
        <f t="shared" si="10"/>
        <v>6</v>
      </c>
      <c r="B10" s="172">
        <v>1369</v>
      </c>
      <c r="C10" s="171" t="s">
        <v>74</v>
      </c>
      <c r="D10" s="152">
        <v>4000000</v>
      </c>
      <c r="E10" s="152">
        <v>4000000</v>
      </c>
      <c r="F10" s="152">
        <f t="shared" si="0"/>
        <v>0</v>
      </c>
      <c r="G10" s="152">
        <v>1670700</v>
      </c>
      <c r="H10" s="152">
        <v>1396855</v>
      </c>
      <c r="I10" s="152">
        <v>0</v>
      </c>
      <c r="J10" s="152">
        <v>0</v>
      </c>
      <c r="K10" s="152">
        <f t="shared" si="9"/>
        <v>0</v>
      </c>
      <c r="L10" s="152">
        <f t="shared" si="1"/>
        <v>1396855</v>
      </c>
      <c r="M10" s="152">
        <f t="shared" si="2"/>
        <v>273845</v>
      </c>
      <c r="N10" s="152"/>
      <c r="O10" s="152">
        <f t="shared" si="3"/>
        <v>2329300</v>
      </c>
      <c r="P10" s="152">
        <f t="shared" si="4"/>
        <v>273845</v>
      </c>
      <c r="Q10" s="152"/>
      <c r="R10" s="152"/>
      <c r="S10" s="152">
        <f t="shared" si="5"/>
        <v>0</v>
      </c>
      <c r="T10" s="152">
        <f t="shared" si="6"/>
        <v>0</v>
      </c>
      <c r="U10" s="152">
        <f t="shared" si="7"/>
        <v>0</v>
      </c>
      <c r="V10" s="152">
        <f t="shared" si="8"/>
        <v>0</v>
      </c>
      <c r="W10" s="152"/>
      <c r="X10" s="152"/>
      <c r="Y10" s="152"/>
      <c r="Z10" s="152"/>
      <c r="AA10" s="171"/>
      <c r="AB10" s="418" t="s">
        <v>453</v>
      </c>
      <c r="AC10" s="171">
        <v>930000</v>
      </c>
      <c r="AD10" s="311"/>
      <c r="AE10" s="311"/>
    </row>
    <row r="11" spans="1:31" s="170" customFormat="1" ht="42">
      <c r="A11" s="171">
        <f t="shared" si="10"/>
        <v>7</v>
      </c>
      <c r="B11" s="171">
        <v>1704</v>
      </c>
      <c r="C11" s="171" t="s">
        <v>75</v>
      </c>
      <c r="D11" s="152">
        <v>5784000</v>
      </c>
      <c r="E11" s="152">
        <v>5784000</v>
      </c>
      <c r="F11" s="152">
        <f t="shared" si="0"/>
        <v>0</v>
      </c>
      <c r="G11" s="152">
        <v>40000</v>
      </c>
      <c r="H11" s="152">
        <v>37961</v>
      </c>
      <c r="I11" s="152">
        <v>0</v>
      </c>
      <c r="J11" s="152">
        <v>0</v>
      </c>
      <c r="K11" s="152">
        <f t="shared" si="9"/>
        <v>0</v>
      </c>
      <c r="L11" s="152">
        <f t="shared" si="1"/>
        <v>37961</v>
      </c>
      <c r="M11" s="152">
        <f t="shared" si="2"/>
        <v>2039</v>
      </c>
      <c r="N11" s="152">
        <v>1540000</v>
      </c>
      <c r="O11" s="152">
        <f t="shared" si="3"/>
        <v>4204000</v>
      </c>
      <c r="P11" s="152">
        <f t="shared" si="4"/>
        <v>2039</v>
      </c>
      <c r="Q11" s="152"/>
      <c r="R11" s="152"/>
      <c r="S11" s="152">
        <f t="shared" si="5"/>
        <v>0</v>
      </c>
      <c r="T11" s="152">
        <f t="shared" si="6"/>
        <v>0</v>
      </c>
      <c r="U11" s="152">
        <f t="shared" si="7"/>
        <v>1540000</v>
      </c>
      <c r="V11" s="152">
        <f t="shared" si="8"/>
        <v>1540000</v>
      </c>
      <c r="W11" s="152"/>
      <c r="X11" s="152"/>
      <c r="Y11" s="152"/>
      <c r="Z11" s="152"/>
      <c r="AA11" s="171"/>
      <c r="AB11" s="420" t="s">
        <v>454</v>
      </c>
      <c r="AC11" s="171">
        <v>930000</v>
      </c>
      <c r="AD11" s="311"/>
      <c r="AE11" s="311"/>
    </row>
    <row r="12" spans="1:31" s="170" customFormat="1" ht="42">
      <c r="A12" s="171">
        <f t="shared" si="10"/>
        <v>8</v>
      </c>
      <c r="B12" s="172">
        <v>1791</v>
      </c>
      <c r="C12" s="171" t="s">
        <v>76</v>
      </c>
      <c r="D12" s="152">
        <v>570000</v>
      </c>
      <c r="E12" s="152">
        <v>570000</v>
      </c>
      <c r="F12" s="152">
        <f t="shared" si="0"/>
        <v>0</v>
      </c>
      <c r="G12" s="152">
        <v>500000</v>
      </c>
      <c r="H12" s="152">
        <v>404150</v>
      </c>
      <c r="I12" s="152">
        <v>0</v>
      </c>
      <c r="J12" s="152">
        <v>0</v>
      </c>
      <c r="K12" s="152">
        <f t="shared" si="9"/>
        <v>0</v>
      </c>
      <c r="L12" s="152">
        <f t="shared" si="1"/>
        <v>404150</v>
      </c>
      <c r="M12" s="152">
        <f t="shared" si="2"/>
        <v>95850</v>
      </c>
      <c r="N12" s="152"/>
      <c r="O12" s="152">
        <f t="shared" si="3"/>
        <v>70000</v>
      </c>
      <c r="P12" s="152">
        <f t="shared" si="4"/>
        <v>95850</v>
      </c>
      <c r="Q12" s="152"/>
      <c r="R12" s="152"/>
      <c r="S12" s="152">
        <f t="shared" si="5"/>
        <v>0</v>
      </c>
      <c r="T12" s="152">
        <f t="shared" si="6"/>
        <v>0</v>
      </c>
      <c r="U12" s="152">
        <f t="shared" si="7"/>
        <v>0</v>
      </c>
      <c r="V12" s="152">
        <f t="shared" si="8"/>
        <v>0</v>
      </c>
      <c r="W12" s="152"/>
      <c r="X12" s="152"/>
      <c r="Y12" s="152"/>
      <c r="Z12" s="152"/>
      <c r="AA12" s="171"/>
      <c r="AB12" s="419" t="s">
        <v>782</v>
      </c>
      <c r="AC12" s="171">
        <v>930000</v>
      </c>
      <c r="AD12" s="311"/>
      <c r="AE12" s="311"/>
    </row>
    <row r="13" spans="1:31" s="170" customFormat="1" ht="30" customHeight="1">
      <c r="A13" s="171">
        <f t="shared" si="10"/>
        <v>9</v>
      </c>
      <c r="B13" s="172">
        <v>1983</v>
      </c>
      <c r="C13" s="171" t="s">
        <v>165</v>
      </c>
      <c r="D13" s="152">
        <v>800000</v>
      </c>
      <c r="E13" s="152">
        <v>800000</v>
      </c>
      <c r="F13" s="152">
        <f t="shared" si="0"/>
        <v>0</v>
      </c>
      <c r="G13" s="152">
        <v>100000</v>
      </c>
      <c r="H13" s="152">
        <v>10249</v>
      </c>
      <c r="I13" s="152">
        <v>0</v>
      </c>
      <c r="J13" s="152">
        <v>0</v>
      </c>
      <c r="K13" s="152">
        <f t="shared" si="9"/>
        <v>0</v>
      </c>
      <c r="L13" s="152">
        <f t="shared" si="1"/>
        <v>10249</v>
      </c>
      <c r="M13" s="152">
        <f t="shared" si="2"/>
        <v>89751</v>
      </c>
      <c r="N13" s="152"/>
      <c r="O13" s="152">
        <f t="shared" si="3"/>
        <v>700000</v>
      </c>
      <c r="P13" s="152">
        <f t="shared" si="4"/>
        <v>89751</v>
      </c>
      <c r="Q13" s="152"/>
      <c r="R13" s="152"/>
      <c r="S13" s="152">
        <f t="shared" si="5"/>
        <v>0</v>
      </c>
      <c r="T13" s="152">
        <f t="shared" si="6"/>
        <v>0</v>
      </c>
      <c r="U13" s="152">
        <f t="shared" si="7"/>
        <v>0</v>
      </c>
      <c r="V13" s="152">
        <f t="shared" si="8"/>
        <v>0</v>
      </c>
      <c r="W13" s="152"/>
      <c r="X13" s="152"/>
      <c r="Y13" s="152"/>
      <c r="Z13" s="152"/>
      <c r="AA13" s="171"/>
      <c r="AB13" s="420" t="s">
        <v>340</v>
      </c>
      <c r="AC13" s="171">
        <v>930000</v>
      </c>
      <c r="AD13" s="311"/>
      <c r="AE13" s="311"/>
    </row>
    <row r="14" spans="1:31" s="170" customFormat="1" ht="30" customHeight="1">
      <c r="A14" s="171">
        <f t="shared" si="10"/>
        <v>10</v>
      </c>
      <c r="B14" s="172">
        <v>1985</v>
      </c>
      <c r="C14" s="171" t="s">
        <v>166</v>
      </c>
      <c r="D14" s="152">
        <v>600000</v>
      </c>
      <c r="E14" s="152">
        <v>600000</v>
      </c>
      <c r="F14" s="152">
        <f t="shared" si="0"/>
        <v>0</v>
      </c>
      <c r="G14" s="152">
        <v>100000</v>
      </c>
      <c r="H14" s="152">
        <v>0</v>
      </c>
      <c r="I14" s="152">
        <v>0</v>
      </c>
      <c r="J14" s="152">
        <v>0</v>
      </c>
      <c r="K14" s="152">
        <f t="shared" si="9"/>
        <v>0</v>
      </c>
      <c r="L14" s="152">
        <f t="shared" si="1"/>
        <v>0</v>
      </c>
      <c r="M14" s="152">
        <f t="shared" si="2"/>
        <v>100000</v>
      </c>
      <c r="N14" s="152"/>
      <c r="O14" s="152">
        <f t="shared" si="3"/>
        <v>500000</v>
      </c>
      <c r="P14" s="152">
        <f t="shared" si="4"/>
        <v>100000</v>
      </c>
      <c r="Q14" s="152"/>
      <c r="R14" s="152"/>
      <c r="S14" s="152">
        <f t="shared" si="5"/>
        <v>0</v>
      </c>
      <c r="T14" s="152">
        <f t="shared" si="6"/>
        <v>0</v>
      </c>
      <c r="U14" s="152">
        <f t="shared" si="7"/>
        <v>0</v>
      </c>
      <c r="V14" s="152">
        <f t="shared" si="8"/>
        <v>0</v>
      </c>
      <c r="W14" s="152"/>
      <c r="X14" s="152"/>
      <c r="Y14" s="152"/>
      <c r="Z14" s="152"/>
      <c r="AA14" s="171"/>
      <c r="AB14" s="420" t="s">
        <v>341</v>
      </c>
      <c r="AC14" s="171">
        <v>930000</v>
      </c>
      <c r="AD14" s="311"/>
      <c r="AE14" s="311"/>
    </row>
    <row r="15" spans="1:31" s="170" customFormat="1" ht="30" customHeight="1">
      <c r="A15" s="171">
        <f t="shared" si="10"/>
        <v>11</v>
      </c>
      <c r="B15" s="172">
        <v>1993</v>
      </c>
      <c r="C15" s="171" t="s">
        <v>186</v>
      </c>
      <c r="D15" s="152">
        <v>6000000</v>
      </c>
      <c r="E15" s="152">
        <v>6000000</v>
      </c>
      <c r="F15" s="152">
        <f t="shared" si="0"/>
        <v>0</v>
      </c>
      <c r="G15" s="152">
        <v>6000000</v>
      </c>
      <c r="H15" s="152">
        <v>1866680</v>
      </c>
      <c r="I15" s="152">
        <v>3336952</v>
      </c>
      <c r="J15" s="152">
        <v>0</v>
      </c>
      <c r="K15" s="152">
        <f t="shared" si="9"/>
        <v>3336952</v>
      </c>
      <c r="L15" s="152">
        <f t="shared" si="1"/>
        <v>5203632</v>
      </c>
      <c r="M15" s="152">
        <f t="shared" si="2"/>
        <v>796368</v>
      </c>
      <c r="N15" s="152"/>
      <c r="O15" s="152">
        <f t="shared" si="3"/>
        <v>0</v>
      </c>
      <c r="P15" s="152">
        <f t="shared" si="4"/>
        <v>796368</v>
      </c>
      <c r="Q15" s="152"/>
      <c r="R15" s="152"/>
      <c r="S15" s="152">
        <f t="shared" si="5"/>
        <v>0</v>
      </c>
      <c r="T15" s="152">
        <f t="shared" si="6"/>
        <v>0</v>
      </c>
      <c r="U15" s="152">
        <f t="shared" si="7"/>
        <v>0</v>
      </c>
      <c r="V15" s="152">
        <f t="shared" si="8"/>
        <v>0</v>
      </c>
      <c r="W15" s="152"/>
      <c r="X15" s="152"/>
      <c r="Y15" s="152"/>
      <c r="Z15" s="152"/>
      <c r="AA15" s="171"/>
      <c r="AB15" s="419" t="s">
        <v>455</v>
      </c>
      <c r="AC15" s="171">
        <v>930000</v>
      </c>
      <c r="AD15" s="311"/>
      <c r="AE15" s="311"/>
    </row>
    <row r="16" spans="1:31" s="170" customFormat="1" ht="30" customHeight="1">
      <c r="A16" s="171">
        <f t="shared" si="10"/>
        <v>12</v>
      </c>
      <c r="B16" s="172">
        <v>2055</v>
      </c>
      <c r="C16" s="171" t="s">
        <v>448</v>
      </c>
      <c r="D16" s="152">
        <v>220000</v>
      </c>
      <c r="E16" s="152">
        <v>220000</v>
      </c>
      <c r="F16" s="152">
        <f t="shared" si="0"/>
        <v>0</v>
      </c>
      <c r="G16" s="152">
        <v>200000</v>
      </c>
      <c r="H16" s="152">
        <v>122292</v>
      </c>
      <c r="I16" s="152">
        <v>0</v>
      </c>
      <c r="J16" s="152">
        <v>0</v>
      </c>
      <c r="K16" s="152">
        <f t="shared" si="9"/>
        <v>0</v>
      </c>
      <c r="L16" s="152">
        <f t="shared" si="1"/>
        <v>122292</v>
      </c>
      <c r="M16" s="152">
        <f t="shared" si="2"/>
        <v>77708</v>
      </c>
      <c r="N16" s="152"/>
      <c r="O16" s="152">
        <f t="shared" si="3"/>
        <v>20000</v>
      </c>
      <c r="P16" s="152">
        <f t="shared" si="4"/>
        <v>77708</v>
      </c>
      <c r="Q16" s="152"/>
      <c r="R16" s="152"/>
      <c r="S16" s="152">
        <f t="shared" si="5"/>
        <v>0</v>
      </c>
      <c r="T16" s="152">
        <f t="shared" si="6"/>
        <v>0</v>
      </c>
      <c r="U16" s="152">
        <f t="shared" si="7"/>
        <v>0</v>
      </c>
      <c r="V16" s="152">
        <f t="shared" si="8"/>
        <v>0</v>
      </c>
      <c r="W16" s="152"/>
      <c r="X16" s="152"/>
      <c r="Y16" s="152"/>
      <c r="Z16" s="152"/>
      <c r="AA16" s="171"/>
      <c r="AB16" s="419" t="s">
        <v>492</v>
      </c>
      <c r="AC16" s="171">
        <v>930000</v>
      </c>
      <c r="AD16" s="311"/>
      <c r="AE16" s="311"/>
    </row>
    <row r="17" spans="1:31" s="170" customFormat="1" ht="30" customHeight="1">
      <c r="A17" s="171">
        <f t="shared" si="10"/>
        <v>13</v>
      </c>
      <c r="B17" s="172">
        <v>2056</v>
      </c>
      <c r="C17" s="171" t="s">
        <v>449</v>
      </c>
      <c r="D17" s="152">
        <v>1400000</v>
      </c>
      <c r="E17" s="152">
        <v>1400000</v>
      </c>
      <c r="F17" s="152">
        <f t="shared" si="0"/>
        <v>0</v>
      </c>
      <c r="G17" s="152">
        <v>580000</v>
      </c>
      <c r="H17" s="152">
        <v>347498</v>
      </c>
      <c r="I17" s="152">
        <v>0</v>
      </c>
      <c r="J17" s="152">
        <v>0</v>
      </c>
      <c r="K17" s="152">
        <f t="shared" si="9"/>
        <v>0</v>
      </c>
      <c r="L17" s="152">
        <f t="shared" si="1"/>
        <v>347498</v>
      </c>
      <c r="M17" s="152">
        <f t="shared" si="2"/>
        <v>232502</v>
      </c>
      <c r="N17" s="152"/>
      <c r="O17" s="152">
        <f t="shared" si="3"/>
        <v>820000</v>
      </c>
      <c r="P17" s="152">
        <f t="shared" si="4"/>
        <v>232502</v>
      </c>
      <c r="Q17" s="152"/>
      <c r="R17" s="152"/>
      <c r="S17" s="152">
        <f t="shared" si="5"/>
        <v>0</v>
      </c>
      <c r="T17" s="152">
        <f t="shared" si="6"/>
        <v>0</v>
      </c>
      <c r="U17" s="152">
        <f t="shared" si="7"/>
        <v>0</v>
      </c>
      <c r="V17" s="152">
        <f t="shared" si="8"/>
        <v>0</v>
      </c>
      <c r="W17" s="152"/>
      <c r="X17" s="152"/>
      <c r="Y17" s="152"/>
      <c r="Z17" s="152"/>
      <c r="AA17" s="171"/>
      <c r="AB17" s="420" t="s">
        <v>342</v>
      </c>
      <c r="AC17" s="171">
        <v>930000</v>
      </c>
      <c r="AD17" s="311"/>
      <c r="AE17" s="311"/>
    </row>
    <row r="18" spans="1:31" s="170" customFormat="1" ht="30" customHeight="1">
      <c r="A18" s="171">
        <f t="shared" si="10"/>
        <v>14</v>
      </c>
      <c r="B18" s="172">
        <v>2072</v>
      </c>
      <c r="C18" s="171" t="s">
        <v>574</v>
      </c>
      <c r="D18" s="152">
        <v>100000</v>
      </c>
      <c r="E18" s="152">
        <v>100000</v>
      </c>
      <c r="F18" s="152">
        <f>D18-E18</f>
        <v>0</v>
      </c>
      <c r="G18" s="152">
        <v>100000</v>
      </c>
      <c r="H18" s="152">
        <v>21470</v>
      </c>
      <c r="I18" s="152">
        <v>0</v>
      </c>
      <c r="J18" s="152">
        <v>3597</v>
      </c>
      <c r="K18" s="152">
        <f t="shared" si="9"/>
        <v>3597</v>
      </c>
      <c r="L18" s="152">
        <f t="shared" si="1"/>
        <v>25067</v>
      </c>
      <c r="M18" s="152">
        <f t="shared" si="2"/>
        <v>74933</v>
      </c>
      <c r="N18" s="152"/>
      <c r="O18" s="152">
        <f t="shared" si="3"/>
        <v>0</v>
      </c>
      <c r="P18" s="152">
        <f t="shared" si="4"/>
        <v>74933</v>
      </c>
      <c r="Q18" s="152"/>
      <c r="R18" s="152"/>
      <c r="S18" s="152">
        <f t="shared" si="5"/>
        <v>0</v>
      </c>
      <c r="T18" s="152">
        <f t="shared" si="6"/>
        <v>0</v>
      </c>
      <c r="U18" s="152">
        <f t="shared" si="7"/>
        <v>0</v>
      </c>
      <c r="V18" s="152">
        <f t="shared" si="8"/>
        <v>0</v>
      </c>
      <c r="W18" s="152"/>
      <c r="X18" s="152"/>
      <c r="Y18" s="152"/>
      <c r="Z18" s="152"/>
      <c r="AA18" s="171"/>
      <c r="AB18" s="419" t="s">
        <v>493</v>
      </c>
      <c r="AC18" s="171">
        <v>930000</v>
      </c>
      <c r="AD18" s="311"/>
      <c r="AE18" s="311"/>
    </row>
    <row r="19" spans="1:31" s="170" customFormat="1" ht="30" customHeight="1">
      <c r="A19" s="171">
        <f t="shared" si="10"/>
        <v>15</v>
      </c>
      <c r="B19" s="172">
        <v>2223</v>
      </c>
      <c r="C19" s="171" t="s">
        <v>1255</v>
      </c>
      <c r="D19" s="152">
        <v>500000</v>
      </c>
      <c r="E19" s="152"/>
      <c r="F19" s="152">
        <f>D19-E19</f>
        <v>500000</v>
      </c>
      <c r="G19" s="152"/>
      <c r="H19" s="152"/>
      <c r="I19" s="152">
        <v>0</v>
      </c>
      <c r="J19" s="152"/>
      <c r="K19" s="152">
        <f t="shared" si="9"/>
        <v>0</v>
      </c>
      <c r="L19" s="152">
        <f t="shared" si="1"/>
        <v>0</v>
      </c>
      <c r="M19" s="152">
        <f t="shared" si="2"/>
        <v>0</v>
      </c>
      <c r="N19" s="152">
        <v>500000</v>
      </c>
      <c r="O19" s="152">
        <f t="shared" si="3"/>
        <v>0</v>
      </c>
      <c r="P19" s="152">
        <f t="shared" si="4"/>
        <v>0</v>
      </c>
      <c r="Q19" s="152"/>
      <c r="R19" s="152"/>
      <c r="S19" s="152">
        <f t="shared" si="5"/>
        <v>0</v>
      </c>
      <c r="T19" s="152">
        <f t="shared" si="6"/>
        <v>0</v>
      </c>
      <c r="U19" s="152">
        <f t="shared" si="7"/>
        <v>500000</v>
      </c>
      <c r="V19" s="152">
        <f t="shared" si="8"/>
        <v>500000</v>
      </c>
      <c r="W19" s="152"/>
      <c r="X19" s="152"/>
      <c r="Y19" s="152"/>
      <c r="Z19" s="152"/>
      <c r="AA19" s="171"/>
      <c r="AB19" s="419" t="s">
        <v>1256</v>
      </c>
      <c r="AC19" s="171">
        <v>930000</v>
      </c>
      <c r="AD19" s="311"/>
      <c r="AE19" s="311"/>
    </row>
    <row r="20" spans="1:31" s="174" customFormat="1" ht="30" customHeight="1">
      <c r="A20" s="175">
        <f>A19</f>
        <v>15</v>
      </c>
      <c r="B20" s="175"/>
      <c r="C20" s="178" t="s">
        <v>469</v>
      </c>
      <c r="D20" s="181">
        <f t="shared" ref="D20:AA20" si="11">SUM(D5:D19)</f>
        <v>126129000</v>
      </c>
      <c r="E20" s="181">
        <f t="shared" si="11"/>
        <v>125629000</v>
      </c>
      <c r="F20" s="181">
        <f t="shared" si="11"/>
        <v>500000</v>
      </c>
      <c r="G20" s="181">
        <f t="shared" si="11"/>
        <v>58352525</v>
      </c>
      <c r="H20" s="181">
        <f t="shared" si="11"/>
        <v>40157025</v>
      </c>
      <c r="I20" s="181">
        <f t="shared" si="11"/>
        <v>3336952</v>
      </c>
      <c r="J20" s="181">
        <f t="shared" si="11"/>
        <v>3597</v>
      </c>
      <c r="K20" s="181">
        <f t="shared" si="11"/>
        <v>3340549</v>
      </c>
      <c r="L20" s="181">
        <f t="shared" si="11"/>
        <v>43497574</v>
      </c>
      <c r="M20" s="181">
        <f t="shared" si="11"/>
        <v>14854951</v>
      </c>
      <c r="N20" s="181">
        <f t="shared" si="11"/>
        <v>2040000</v>
      </c>
      <c r="O20" s="181">
        <f t="shared" si="11"/>
        <v>65736475</v>
      </c>
      <c r="P20" s="181">
        <f t="shared" si="11"/>
        <v>14854951</v>
      </c>
      <c r="Q20" s="181">
        <f t="shared" si="11"/>
        <v>0</v>
      </c>
      <c r="R20" s="181">
        <f t="shared" si="11"/>
        <v>0</v>
      </c>
      <c r="S20" s="181">
        <f t="shared" si="11"/>
        <v>0</v>
      </c>
      <c r="T20" s="181">
        <f t="shared" si="11"/>
        <v>0</v>
      </c>
      <c r="U20" s="181">
        <f t="shared" si="11"/>
        <v>2040000</v>
      </c>
      <c r="V20" s="181">
        <f t="shared" si="11"/>
        <v>2040000</v>
      </c>
      <c r="W20" s="181">
        <f t="shared" si="11"/>
        <v>0</v>
      </c>
      <c r="X20" s="181">
        <f t="shared" si="11"/>
        <v>0</v>
      </c>
      <c r="Y20" s="181">
        <f t="shared" si="11"/>
        <v>0</v>
      </c>
      <c r="Z20" s="181">
        <f t="shared" si="11"/>
        <v>0</v>
      </c>
      <c r="AA20" s="181">
        <f t="shared" si="11"/>
        <v>0</v>
      </c>
      <c r="AB20" s="175"/>
      <c r="AC20" s="175"/>
      <c r="AD20" s="311"/>
      <c r="AE20" s="311"/>
    </row>
    <row r="21" spans="1:31" hidden="1">
      <c r="L21" s="168">
        <f>K20+H20</f>
        <v>43497574</v>
      </c>
      <c r="M21" s="168">
        <f>P21+S20-T20</f>
        <v>14854951</v>
      </c>
      <c r="P21" s="168">
        <f>G20-L21</f>
        <v>14854951</v>
      </c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8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3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showZeros="0" rightToLeft="1" zoomScaleNormal="100" workbookViewId="0">
      <pane xSplit="3" ySplit="4" topLeftCell="D14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08984375" defaultRowHeight="14"/>
  <cols>
    <col min="1" max="1" width="3.36328125" style="165" customWidth="1"/>
    <col min="2" max="2" width="4.81640625" style="164" customWidth="1"/>
    <col min="3" max="3" width="36.90625" style="164" customWidth="1"/>
    <col min="4" max="5" width="10" style="168" customWidth="1"/>
    <col min="6" max="6" width="9.08984375" style="168" customWidth="1"/>
    <col min="7" max="11" width="9.08984375" style="168" hidden="1" customWidth="1"/>
    <col min="12" max="15" width="9.08984375" style="168" customWidth="1"/>
    <col min="16" max="19" width="9.08984375" style="168" hidden="1" customWidth="1"/>
    <col min="20" max="20" width="9.08984375" style="168" customWidth="1"/>
    <col min="21" max="22" width="9.08984375" style="164" customWidth="1"/>
    <col min="23" max="23" width="11.90625" style="164" hidden="1" customWidth="1"/>
    <col min="24" max="26" width="10.08984375" style="164" hidden="1" customWidth="1"/>
    <col min="27" max="27" width="9.6328125" style="164" hidden="1" customWidth="1"/>
    <col min="28" max="28" width="32.6328125" style="164" customWidth="1"/>
    <col min="29" max="29" width="7.90625" style="164" hidden="1" customWidth="1"/>
    <col min="30" max="16384" width="9.08984375" style="164"/>
  </cols>
  <sheetData>
    <row r="1" spans="1:31" s="189" customFormat="1" ht="18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spans="1:31" ht="18">
      <c r="A2" s="208" t="s">
        <v>456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31" ht="21" customHeight="1"/>
    <row r="4" spans="1:31" s="190" customFormat="1" ht="86.25" customHeight="1">
      <c r="A4" s="163" t="s">
        <v>0</v>
      </c>
      <c r="B4" s="163" t="s">
        <v>1</v>
      </c>
      <c r="C4" s="163" t="s">
        <v>2</v>
      </c>
      <c r="D4" s="163" t="s">
        <v>3</v>
      </c>
      <c r="E4" s="163" t="s">
        <v>4</v>
      </c>
      <c r="F4" s="163" t="s">
        <v>5</v>
      </c>
      <c r="G4" s="163" t="s">
        <v>6</v>
      </c>
      <c r="H4" s="163" t="s">
        <v>7</v>
      </c>
      <c r="I4" s="163" t="s">
        <v>9</v>
      </c>
      <c r="J4" s="163" t="s">
        <v>178</v>
      </c>
      <c r="K4" s="163" t="s">
        <v>10</v>
      </c>
      <c r="L4" s="163" t="s">
        <v>11</v>
      </c>
      <c r="M4" s="9" t="s">
        <v>936</v>
      </c>
      <c r="N4" s="9" t="s">
        <v>937</v>
      </c>
      <c r="O4" s="9" t="s">
        <v>938</v>
      </c>
      <c r="P4" s="9" t="s">
        <v>12</v>
      </c>
      <c r="Q4" s="9" t="s">
        <v>939</v>
      </c>
      <c r="R4" s="9" t="s">
        <v>940</v>
      </c>
      <c r="S4" s="9" t="s">
        <v>941</v>
      </c>
      <c r="T4" s="9" t="s">
        <v>942</v>
      </c>
      <c r="U4" s="560" t="s">
        <v>943</v>
      </c>
      <c r="V4" s="163" t="s">
        <v>13</v>
      </c>
      <c r="W4" s="163" t="s">
        <v>14</v>
      </c>
      <c r="X4" s="163" t="s">
        <v>15</v>
      </c>
      <c r="Y4" s="163" t="s">
        <v>301</v>
      </c>
      <c r="Z4" s="163" t="s">
        <v>1391</v>
      </c>
      <c r="AA4" s="163" t="s">
        <v>91</v>
      </c>
      <c r="AB4" s="561" t="s">
        <v>344</v>
      </c>
      <c r="AC4" s="163" t="s">
        <v>16</v>
      </c>
    </row>
    <row r="5" spans="1:31" s="170" customFormat="1" ht="28">
      <c r="A5" s="171">
        <v>1</v>
      </c>
      <c r="B5" s="172">
        <f>'תקציב אגף נכסים וביטוח 2021'!B5</f>
        <v>470</v>
      </c>
      <c r="C5" s="331" t="str">
        <f>'תקציב אגף נכסים וביטוח 2021'!C5</f>
        <v>פצוי והפקעה ב-6525/6 הר' 1704</v>
      </c>
      <c r="D5" s="152">
        <f>'תקציב אגף נכסים וביטוח 2021'!D5</f>
        <v>2130000</v>
      </c>
      <c r="E5" s="152">
        <f>'תקציב אגף נכסים וביטוח 2021'!E5</f>
        <v>2130000</v>
      </c>
      <c r="F5" s="152">
        <f>'תקציב אגף נכסים וביטוח 2021'!F5</f>
        <v>0</v>
      </c>
      <c r="G5" s="152">
        <f>'תקציב אגף נכסים וביטוח 2021'!G5</f>
        <v>1830000</v>
      </c>
      <c r="H5" s="152">
        <f>'תקציב אגף נכסים וביטוח 2021'!H5</f>
        <v>1737007</v>
      </c>
      <c r="I5" s="152">
        <f>'תקציב אגף נכסים וביטוח 2021'!I5</f>
        <v>0</v>
      </c>
      <c r="J5" s="152">
        <f>'תקציב אגף נכסים וביטוח 2021'!J5</f>
        <v>0</v>
      </c>
      <c r="K5" s="152">
        <f>'תקציב אגף נכסים וביטוח 2021'!K5</f>
        <v>0</v>
      </c>
      <c r="L5" s="152">
        <f>'תקציב אגף נכסים וביטוח 2021'!L5</f>
        <v>1737007</v>
      </c>
      <c r="M5" s="152">
        <f>'תקציב אגף נכסים וביטוח 2021'!M5</f>
        <v>92993</v>
      </c>
      <c r="N5" s="152">
        <f>'תקציב אגף נכסים וביטוח 2021'!N5</f>
        <v>0</v>
      </c>
      <c r="O5" s="152">
        <f>'תקציב אגף נכסים וביטוח 2021'!O5</f>
        <v>300000</v>
      </c>
      <c r="P5" s="152">
        <f>'תקציב אגף נכסים וביטוח 2021'!P5</f>
        <v>92993</v>
      </c>
      <c r="Q5" s="152">
        <f>'תקציב אגף נכסים וביטוח 2021'!Q5</f>
        <v>0</v>
      </c>
      <c r="R5" s="152">
        <f>'תקציב אגף נכסים וביטוח 2021'!R5</f>
        <v>0</v>
      </c>
      <c r="S5" s="152">
        <f>'תקציב אגף נכסים וביטוח 2021'!S5</f>
        <v>0</v>
      </c>
      <c r="T5" s="152">
        <f>'תקציב אגף נכסים וביטוח 2021'!T5</f>
        <v>0</v>
      </c>
      <c r="U5" s="152">
        <f>'תקציב אגף נכסים וביטוח 2021'!U5</f>
        <v>0</v>
      </c>
      <c r="V5" s="152">
        <f>'תקציב אגף נכסים וביטוח 2021'!V5</f>
        <v>0</v>
      </c>
      <c r="W5" s="152"/>
      <c r="X5" s="152"/>
      <c r="Y5" s="152"/>
      <c r="Z5" s="152"/>
      <c r="AA5" s="171"/>
      <c r="AB5" s="418" t="str">
        <f>'תקציב אגף נכסים וביטוח 2021'!AB5</f>
        <v>פיצויי הפקעה בגוש 6525/6 הר/ 1704. טרם שולמו הפיצויים ליתרת בעלי המקרקעין.</v>
      </c>
      <c r="AC5" s="171">
        <f>'תקציב אגף נכסים וביטוח 2021'!AC5</f>
        <v>935000</v>
      </c>
      <c r="AD5" s="311"/>
      <c r="AE5" s="311"/>
    </row>
    <row r="6" spans="1:31" s="170" customFormat="1" ht="30" customHeight="1">
      <c r="A6" s="171">
        <f>A5+1</f>
        <v>2</v>
      </c>
      <c r="B6" s="172">
        <f>'תקציב אגף נכסים וביטוח 2021'!B6</f>
        <v>1066</v>
      </c>
      <c r="C6" s="331" t="str">
        <f>'תקציב אגף נכסים וביטוח 2021'!C6</f>
        <v>בית הרמלין-חלקה 92-גוש 6592</v>
      </c>
      <c r="D6" s="152">
        <f>'תקציב אגף נכסים וביטוח 2021'!D6</f>
        <v>75000</v>
      </c>
      <c r="E6" s="152">
        <f>'תקציב אגף נכסים וביטוח 2021'!E6</f>
        <v>75000</v>
      </c>
      <c r="F6" s="152">
        <f>'תקציב אגף נכסים וביטוח 2021'!F6</f>
        <v>0</v>
      </c>
      <c r="G6" s="152">
        <f>'תקציב אגף נכסים וביטוח 2021'!G6</f>
        <v>75000</v>
      </c>
      <c r="H6" s="152">
        <f>'תקציב אגף נכסים וביטוח 2021'!H6</f>
        <v>40172</v>
      </c>
      <c r="I6" s="152">
        <f>'תקציב אגף נכסים וביטוח 2021'!I6</f>
        <v>0</v>
      </c>
      <c r="J6" s="152">
        <f>'תקציב אגף נכסים וביטוח 2021'!J6</f>
        <v>0</v>
      </c>
      <c r="K6" s="152">
        <f>'תקציב אגף נכסים וביטוח 2021'!K6</f>
        <v>0</v>
      </c>
      <c r="L6" s="152">
        <f>'תקציב אגף נכסים וביטוח 2021'!L6</f>
        <v>40172</v>
      </c>
      <c r="M6" s="152">
        <f>'תקציב אגף נכסים וביטוח 2021'!M6</f>
        <v>34828</v>
      </c>
      <c r="N6" s="152">
        <f>'תקציב אגף נכסים וביטוח 2021'!N6</f>
        <v>0</v>
      </c>
      <c r="O6" s="152">
        <f>'תקציב אגף נכסים וביטוח 2021'!O6</f>
        <v>0</v>
      </c>
      <c r="P6" s="152">
        <f>'תקציב אגף נכסים וביטוח 2021'!P6</f>
        <v>34828</v>
      </c>
      <c r="Q6" s="152">
        <f>'תקציב אגף נכסים וביטוח 2021'!Q6</f>
        <v>0</v>
      </c>
      <c r="R6" s="152">
        <f>'תקציב אגף נכסים וביטוח 2021'!R6</f>
        <v>0</v>
      </c>
      <c r="S6" s="152">
        <f>'תקציב אגף נכסים וביטוח 2021'!S6</f>
        <v>0</v>
      </c>
      <c r="T6" s="152">
        <f>'תקציב אגף נכסים וביטוח 2021'!T6</f>
        <v>0</v>
      </c>
      <c r="U6" s="152">
        <f>'תקציב אגף נכסים וביטוח 2021'!U6</f>
        <v>0</v>
      </c>
      <c r="V6" s="152">
        <f>'תקציב אגף נכסים וביטוח 2021'!V6</f>
        <v>0</v>
      </c>
      <c r="W6" s="152"/>
      <c r="X6" s="152"/>
      <c r="Y6" s="152"/>
      <c r="Z6" s="152"/>
      <c r="AA6" s="171"/>
      <c r="AB6" s="418" t="str">
        <f>'תקציב אגף נכסים וביטוח 2021'!AB6</f>
        <v>טרם הסתיים הליך רישום הנכס ע"ש העיריה בפנקסי הרישום.</v>
      </c>
      <c r="AC6" s="171">
        <f>'תקציב אגף נכסים וביטוח 2021'!AC6</f>
        <v>935000</v>
      </c>
      <c r="AD6" s="311"/>
      <c r="AE6" s="311"/>
    </row>
    <row r="7" spans="1:31" s="170" customFormat="1" ht="30" customHeight="1">
      <c r="A7" s="171">
        <f t="shared" ref="A7:A19" si="0">A6+1</f>
        <v>3</v>
      </c>
      <c r="B7" s="172">
        <f>'תקציב אגף נכסים וביטוח 2021'!B7</f>
        <v>1177</v>
      </c>
      <c r="C7" s="331" t="str">
        <f>'תקציב אגף נכסים וביטוח 2021'!C7</f>
        <v>פיצויי הפקעה - פארק הבאסה</v>
      </c>
      <c r="D7" s="152">
        <f>'תקציב אגף נכסים וביטוח 2021'!D7</f>
        <v>41850000</v>
      </c>
      <c r="E7" s="152">
        <f>'תקציב אגף נכסים וביטוח 2021'!E7</f>
        <v>41850000</v>
      </c>
      <c r="F7" s="152">
        <f>'תקציב אגף נכסים וביטוח 2021'!F7</f>
        <v>0</v>
      </c>
      <c r="G7" s="152">
        <f>'תקציב אגף נכסים וביטוח 2021'!G7</f>
        <v>28957000</v>
      </c>
      <c r="H7" s="152">
        <f>'תקציב אגף נכסים וביטוח 2021'!H7</f>
        <v>26727455</v>
      </c>
      <c r="I7" s="152">
        <f>'תקציב אגף נכסים וביטוח 2021'!I7</f>
        <v>0</v>
      </c>
      <c r="J7" s="152">
        <f>'תקציב אגף נכסים וביטוח 2021'!J7</f>
        <v>0</v>
      </c>
      <c r="K7" s="152">
        <f>'תקציב אגף נכסים וביטוח 2021'!K7</f>
        <v>0</v>
      </c>
      <c r="L7" s="152">
        <f>'תקציב אגף נכסים וביטוח 2021'!L7</f>
        <v>26727455</v>
      </c>
      <c r="M7" s="152">
        <f>'תקציב אגף נכסים וביטוח 2021'!M7</f>
        <v>2229545</v>
      </c>
      <c r="N7" s="152">
        <f>'תקציב אגף נכסים וביטוח 2021'!N7</f>
        <v>0</v>
      </c>
      <c r="O7" s="152">
        <f>'תקציב אגף נכסים וביטוח 2021'!O7</f>
        <v>12893000</v>
      </c>
      <c r="P7" s="152">
        <f>'תקציב אגף נכסים וביטוח 2021'!P7</f>
        <v>2229545</v>
      </c>
      <c r="Q7" s="152">
        <f>'תקציב אגף נכסים וביטוח 2021'!Q7</f>
        <v>0</v>
      </c>
      <c r="R7" s="152">
        <f>'תקציב אגף נכסים וביטוח 2021'!R7</f>
        <v>0</v>
      </c>
      <c r="S7" s="152">
        <f>'תקציב אגף נכסים וביטוח 2021'!S7</f>
        <v>0</v>
      </c>
      <c r="T7" s="152">
        <f>'תקציב אגף נכסים וביטוח 2021'!T7</f>
        <v>0</v>
      </c>
      <c r="U7" s="152">
        <f>'תקציב אגף נכסים וביטוח 2021'!U7</f>
        <v>0</v>
      </c>
      <c r="V7" s="152">
        <f>'תקציב אגף נכסים וביטוח 2021'!V7</f>
        <v>0</v>
      </c>
      <c r="W7" s="152"/>
      <c r="X7" s="152"/>
      <c r="Y7" s="152"/>
      <c r="Z7" s="152"/>
      <c r="AA7" s="171"/>
      <c r="AB7" s="418" t="str">
        <f>'תקציב אגף נכסים וביטוח 2021'!AB7</f>
        <v>פיצויי הפקעה בפארק.</v>
      </c>
      <c r="AC7" s="171">
        <f>'תקציב אגף נכסים וביטוח 2021'!AC7</f>
        <v>930000</v>
      </c>
      <c r="AD7" s="311"/>
      <c r="AE7" s="311"/>
    </row>
    <row r="8" spans="1:31" s="170" customFormat="1" ht="30" customHeight="1">
      <c r="A8" s="171">
        <f t="shared" si="0"/>
        <v>4</v>
      </c>
      <c r="B8" s="172">
        <f>'תקציב אגף נכסים וביטוח 2021'!B8</f>
        <v>1258</v>
      </c>
      <c r="C8" s="331" t="str">
        <f>'תקציב אגף נכסים וביטוח 2021'!C8</f>
        <v>עלויות רכישת מקרקעין</v>
      </c>
      <c r="D8" s="152">
        <f>'תקציב אגף נכסים וביטוח 2021'!D8</f>
        <v>1400000</v>
      </c>
      <c r="E8" s="152">
        <f>'תקציב אגף נכסים וביטוח 2021'!E8</f>
        <v>1400000</v>
      </c>
      <c r="F8" s="152">
        <f>'תקציב אגף נכסים וביטוח 2021'!F8</f>
        <v>0</v>
      </c>
      <c r="G8" s="152">
        <f>'תקציב אגף נכסים וביטוח 2021'!G8</f>
        <v>950000</v>
      </c>
      <c r="H8" s="152">
        <f>'תקציב אגף נכסים וביטוח 2021'!H8</f>
        <v>887543</v>
      </c>
      <c r="I8" s="152">
        <f>'תקציב אגף נכסים וביטוח 2021'!I8</f>
        <v>0</v>
      </c>
      <c r="J8" s="152">
        <f>'תקציב אגף נכסים וביטוח 2021'!J8</f>
        <v>0</v>
      </c>
      <c r="K8" s="152">
        <f>'תקציב אגף נכסים וביטוח 2021'!K8</f>
        <v>0</v>
      </c>
      <c r="L8" s="152">
        <f>'תקציב אגף נכסים וביטוח 2021'!L8</f>
        <v>887543</v>
      </c>
      <c r="M8" s="152">
        <f>'תקציב אגף נכסים וביטוח 2021'!M8</f>
        <v>62457</v>
      </c>
      <c r="N8" s="152">
        <f>'תקציב אגף נכסים וביטוח 2021'!N8</f>
        <v>0</v>
      </c>
      <c r="O8" s="152">
        <f>'תקציב אגף נכסים וביטוח 2021'!O8</f>
        <v>450000</v>
      </c>
      <c r="P8" s="152">
        <f>'תקציב אגף נכסים וביטוח 2021'!P8</f>
        <v>62457</v>
      </c>
      <c r="Q8" s="152">
        <f>'תקציב אגף נכסים וביטוח 2021'!Q8</f>
        <v>0</v>
      </c>
      <c r="R8" s="152">
        <f>'תקציב אגף נכסים וביטוח 2021'!R8</f>
        <v>0</v>
      </c>
      <c r="S8" s="152">
        <f>'תקציב אגף נכסים וביטוח 2021'!S8</f>
        <v>0</v>
      </c>
      <c r="T8" s="152">
        <f>'תקציב אגף נכסים וביטוח 2021'!T8</f>
        <v>0</v>
      </c>
      <c r="U8" s="152">
        <f>'תקציב אגף נכסים וביטוח 2021'!U8</f>
        <v>0</v>
      </c>
      <c r="V8" s="152">
        <f>'תקציב אגף נכסים וביטוח 2021'!V8</f>
        <v>0</v>
      </c>
      <c r="W8" s="152"/>
      <c r="X8" s="152"/>
      <c r="Y8" s="152"/>
      <c r="Z8" s="152"/>
      <c r="AA8" s="171"/>
      <c r="AB8" s="418" t="str">
        <f>'תקציב אגף נכסים וביטוח 2021'!AB8</f>
        <v>עלויות כלליות בקשר עם רכישת מקרקעין.</v>
      </c>
      <c r="AC8" s="171">
        <f>'תקציב אגף נכסים וביטוח 2021'!AC8</f>
        <v>930000</v>
      </c>
      <c r="AD8" s="311"/>
      <c r="AE8" s="311"/>
    </row>
    <row r="9" spans="1:31" s="170" customFormat="1" ht="30" customHeight="1">
      <c r="A9" s="171">
        <f t="shared" si="0"/>
        <v>5</v>
      </c>
      <c r="B9" s="172">
        <f>'תקציב אגף נכסים וביטוח 2021'!B9</f>
        <v>1330</v>
      </c>
      <c r="C9" s="331" t="str">
        <f>'תקציב אגף נכסים וביטוח 2021'!C9</f>
        <v>פיצויי הפקעה הר'1941 פארק הבאסה</v>
      </c>
      <c r="D9" s="152">
        <f>'תקציב אגף נכסים וביטוח 2021'!D9</f>
        <v>60700000</v>
      </c>
      <c r="E9" s="152">
        <f>'תקציב אגף נכסים וביטוח 2021'!E9</f>
        <v>60700000</v>
      </c>
      <c r="F9" s="152">
        <f>'תקציב אגף נכסים וביטוח 2021'!F9</f>
        <v>0</v>
      </c>
      <c r="G9" s="152">
        <f>'תקציב אגף נכסים וביטוח 2021'!G9</f>
        <v>17249825</v>
      </c>
      <c r="H9" s="152">
        <f>'תקציב אגף נכסים וביטוח 2021'!H9</f>
        <v>6557693</v>
      </c>
      <c r="I9" s="152">
        <f>'תקציב אגף נכסים וביטוח 2021'!I9</f>
        <v>0</v>
      </c>
      <c r="J9" s="152">
        <f>'תקציב אגף נכסים וביטוח 2021'!J9</f>
        <v>0</v>
      </c>
      <c r="K9" s="152">
        <f>'תקציב אגף נכסים וביטוח 2021'!K9</f>
        <v>0</v>
      </c>
      <c r="L9" s="152">
        <f>'תקציב אגף נכסים וביטוח 2021'!L9</f>
        <v>6557693</v>
      </c>
      <c r="M9" s="152">
        <f>'תקציב אגף נכסים וביטוח 2021'!M9</f>
        <v>10692132</v>
      </c>
      <c r="N9" s="152">
        <f>'תקציב אגף נכסים וביטוח 2021'!N9</f>
        <v>0</v>
      </c>
      <c r="O9" s="152">
        <f>'תקציב אגף נכסים וביטוח 2021'!O9</f>
        <v>43450175</v>
      </c>
      <c r="P9" s="152">
        <f>'תקציב אגף נכסים וביטוח 2021'!P9</f>
        <v>10692132</v>
      </c>
      <c r="Q9" s="152">
        <f>'תקציב אגף נכסים וביטוח 2021'!Q9</f>
        <v>0</v>
      </c>
      <c r="R9" s="152">
        <f>'תקציב אגף נכסים וביטוח 2021'!R9</f>
        <v>0</v>
      </c>
      <c r="S9" s="152">
        <f>'תקציב אגף נכסים וביטוח 2021'!S9</f>
        <v>0</v>
      </c>
      <c r="T9" s="152">
        <f>'תקציב אגף נכסים וביטוח 2021'!T9</f>
        <v>0</v>
      </c>
      <c r="U9" s="152">
        <f>'תקציב אגף נכסים וביטוח 2021'!U9</f>
        <v>0</v>
      </c>
      <c r="V9" s="152">
        <f>'תקציב אגף נכסים וביטוח 2021'!V9</f>
        <v>0</v>
      </c>
      <c r="W9" s="152"/>
      <c r="X9" s="152"/>
      <c r="Y9" s="152"/>
      <c r="Z9" s="152"/>
      <c r="AA9" s="171"/>
      <c r="AB9" s="418" t="str">
        <f>'תקציב אגף נכסים וביטוח 2021'!AB9</f>
        <v>פיצויי הפקעה בפארק תוכנית הר' 1941.</v>
      </c>
      <c r="AC9" s="171">
        <f>'תקציב אגף נכסים וביטוח 2021'!AC9</f>
        <v>930000</v>
      </c>
      <c r="AD9" s="311"/>
      <c r="AE9" s="311"/>
    </row>
    <row r="10" spans="1:31" s="170" customFormat="1" ht="56">
      <c r="A10" s="171">
        <f t="shared" si="0"/>
        <v>6</v>
      </c>
      <c r="B10" s="172">
        <f>'תקציב אגף נכסים וביטוח 2021'!B10</f>
        <v>1369</v>
      </c>
      <c r="C10" s="331" t="str">
        <f>'תקציב אגף נכסים וביטוח 2021'!C10</f>
        <v>פיצויי הפקעה גוש 6525 חל' 130,131</v>
      </c>
      <c r="D10" s="152">
        <f>'תקציב אגף נכסים וביטוח 2021'!D10</f>
        <v>4000000</v>
      </c>
      <c r="E10" s="152">
        <f>'תקציב אגף נכסים וביטוח 2021'!E10</f>
        <v>4000000</v>
      </c>
      <c r="F10" s="152">
        <f>'תקציב אגף נכסים וביטוח 2021'!F10</f>
        <v>0</v>
      </c>
      <c r="G10" s="152">
        <f>'תקציב אגף נכסים וביטוח 2021'!G10</f>
        <v>1670700</v>
      </c>
      <c r="H10" s="152">
        <f>'תקציב אגף נכסים וביטוח 2021'!H10</f>
        <v>1396855</v>
      </c>
      <c r="I10" s="152">
        <f>'תקציב אגף נכסים וביטוח 2021'!I10</f>
        <v>0</v>
      </c>
      <c r="J10" s="152">
        <f>'תקציב אגף נכסים וביטוח 2021'!J10</f>
        <v>0</v>
      </c>
      <c r="K10" s="152">
        <f>'תקציב אגף נכסים וביטוח 2021'!K10</f>
        <v>0</v>
      </c>
      <c r="L10" s="152">
        <f>'תקציב אגף נכסים וביטוח 2021'!L10</f>
        <v>1396855</v>
      </c>
      <c r="M10" s="152">
        <f>'תקציב אגף נכסים וביטוח 2021'!M10</f>
        <v>273845</v>
      </c>
      <c r="N10" s="152">
        <f>'תקציב אגף נכסים וביטוח 2021'!N10</f>
        <v>0</v>
      </c>
      <c r="O10" s="152">
        <f>'תקציב אגף נכסים וביטוח 2021'!O10</f>
        <v>2329300</v>
      </c>
      <c r="P10" s="152">
        <f>'תקציב אגף נכסים וביטוח 2021'!P10</f>
        <v>273845</v>
      </c>
      <c r="Q10" s="152">
        <f>'תקציב אגף נכסים וביטוח 2021'!Q10</f>
        <v>0</v>
      </c>
      <c r="R10" s="152">
        <f>'תקציב אגף נכסים וביטוח 2021'!R10</f>
        <v>0</v>
      </c>
      <c r="S10" s="152">
        <f>'תקציב אגף נכסים וביטוח 2021'!S10</f>
        <v>0</v>
      </c>
      <c r="T10" s="152">
        <f>'תקציב אגף נכסים וביטוח 2021'!T10</f>
        <v>0</v>
      </c>
      <c r="U10" s="152">
        <f>'תקציב אגף נכסים וביטוח 2021'!U10</f>
        <v>0</v>
      </c>
      <c r="V10" s="152">
        <f>'תקציב אגף נכסים וביטוח 2021'!V10</f>
        <v>0</v>
      </c>
      <c r="W10" s="152"/>
      <c r="X10" s="152"/>
      <c r="Y10" s="152"/>
      <c r="Z10" s="152"/>
      <c r="AA10" s="171"/>
      <c r="AB10" s="418" t="str">
        <f>'תקציב אגף נכסים וביטוח 2021'!AB10</f>
        <v>פיצויי הפקעה בגוש 6525 חלקות 130,131 הר/ 1704. טרם שולמו הפיצויים ליתרת בעלי המקרקעין. טרם הסתיים ההליך המשפטי.</v>
      </c>
      <c r="AC10" s="171">
        <f>'תקציב אגף נכסים וביטוח 2021'!AC10</f>
        <v>930000</v>
      </c>
      <c r="AD10" s="311"/>
      <c r="AE10" s="311"/>
    </row>
    <row r="11" spans="1:31" s="170" customFormat="1" ht="42">
      <c r="A11" s="171">
        <f t="shared" si="0"/>
        <v>7</v>
      </c>
      <c r="B11" s="172">
        <f>'תקציב אגף נכסים וביטוח 2021'!B11</f>
        <v>1704</v>
      </c>
      <c r="C11" s="331" t="str">
        <f>'תקציב אגף נכסים וביטוח 2021'!C11</f>
        <v>תביעה פינוי גוש 6521 רחמים</v>
      </c>
      <c r="D11" s="152">
        <f>'תקציב אגף נכסים וביטוח 2021'!D11</f>
        <v>5784000</v>
      </c>
      <c r="E11" s="152">
        <f>'תקציב אגף נכסים וביטוח 2021'!E11</f>
        <v>5784000</v>
      </c>
      <c r="F11" s="152">
        <f>'תקציב אגף נכסים וביטוח 2021'!F11</f>
        <v>0</v>
      </c>
      <c r="G11" s="152">
        <f>'תקציב אגף נכסים וביטוח 2021'!G11</f>
        <v>40000</v>
      </c>
      <c r="H11" s="152">
        <f>'תקציב אגף נכסים וביטוח 2021'!H11</f>
        <v>37961</v>
      </c>
      <c r="I11" s="152">
        <f>'תקציב אגף נכסים וביטוח 2021'!I11</f>
        <v>0</v>
      </c>
      <c r="J11" s="152">
        <f>'תקציב אגף נכסים וביטוח 2021'!J11</f>
        <v>0</v>
      </c>
      <c r="K11" s="152">
        <f>'תקציב אגף נכסים וביטוח 2021'!K11</f>
        <v>0</v>
      </c>
      <c r="L11" s="152">
        <f>'תקציב אגף נכסים וביטוח 2021'!L11</f>
        <v>37961</v>
      </c>
      <c r="M11" s="152">
        <f>'תקציב אגף נכסים וביטוח 2021'!M11</f>
        <v>2039</v>
      </c>
      <c r="N11" s="152">
        <f>'תקציב אגף נכסים וביטוח 2021'!N11</f>
        <v>1540000</v>
      </c>
      <c r="O11" s="152">
        <f>'תקציב אגף נכסים וביטוח 2021'!O11</f>
        <v>4204000</v>
      </c>
      <c r="P11" s="152">
        <f>'תקציב אגף נכסים וביטוח 2021'!P11</f>
        <v>2039</v>
      </c>
      <c r="Q11" s="152">
        <f>'תקציב אגף נכסים וביטוח 2021'!Q11</f>
        <v>0</v>
      </c>
      <c r="R11" s="152">
        <f>'תקציב אגף נכסים וביטוח 2021'!R11</f>
        <v>0</v>
      </c>
      <c r="S11" s="152">
        <f>'תקציב אגף נכסים וביטוח 2021'!S11</f>
        <v>0</v>
      </c>
      <c r="T11" s="152">
        <f>'תקציב אגף נכסים וביטוח 2021'!T11</f>
        <v>0</v>
      </c>
      <c r="U11" s="152">
        <f>'תקציב אגף נכסים וביטוח 2021'!U11</f>
        <v>1540000</v>
      </c>
      <c r="V11" s="152">
        <f>'תקציב אגף נכסים וביטוח 2021'!V11</f>
        <v>1540000</v>
      </c>
      <c r="W11" s="152"/>
      <c r="X11" s="152"/>
      <c r="Y11" s="152"/>
      <c r="Z11" s="152"/>
      <c r="AA11" s="171"/>
      <c r="AB11" s="418" t="str">
        <f>'תקציב אגף נכסים וביטוח 2021'!AB11</f>
        <v>עלויות בקשר עם תביעה של פינוי נכס גוש 6521 חלק' 21-23, 67-68. משפחת רחמים. טרם הסתיים ההליך המשפטי.</v>
      </c>
      <c r="AC11" s="171">
        <f>'תקציב אגף נכסים וביטוח 2021'!AC11</f>
        <v>930000</v>
      </c>
      <c r="AD11" s="311"/>
      <c r="AE11" s="311"/>
    </row>
    <row r="12" spans="1:31" s="170" customFormat="1" ht="37.25" customHeight="1">
      <c r="A12" s="171">
        <f t="shared" si="0"/>
        <v>8</v>
      </c>
      <c r="B12" s="172">
        <f>'תקציב אגף נכסים וביטוח 2021'!B12</f>
        <v>1791</v>
      </c>
      <c r="C12" s="331" t="str">
        <f>'תקציב אגף נכסים וביטוח 2021'!C12</f>
        <v>שיפוץ ב"מ ספריה+חניון גוש 6532 -346</v>
      </c>
      <c r="D12" s="152">
        <f>'תקציב אגף נכסים וביטוח 2021'!D12</f>
        <v>570000</v>
      </c>
      <c r="E12" s="152">
        <f>'תקציב אגף נכסים וביטוח 2021'!E12</f>
        <v>570000</v>
      </c>
      <c r="F12" s="152">
        <f>'תקציב אגף נכסים וביטוח 2021'!F12</f>
        <v>0</v>
      </c>
      <c r="G12" s="152">
        <f>'תקציב אגף נכסים וביטוח 2021'!G12</f>
        <v>500000</v>
      </c>
      <c r="H12" s="152">
        <f>'תקציב אגף נכסים וביטוח 2021'!H12</f>
        <v>404150</v>
      </c>
      <c r="I12" s="152">
        <f>'תקציב אגף נכסים וביטוח 2021'!I12</f>
        <v>0</v>
      </c>
      <c r="J12" s="152">
        <f>'תקציב אגף נכסים וביטוח 2021'!J12</f>
        <v>0</v>
      </c>
      <c r="K12" s="152">
        <f>'תקציב אגף נכסים וביטוח 2021'!K12</f>
        <v>0</v>
      </c>
      <c r="L12" s="152">
        <f>'תקציב אגף נכסים וביטוח 2021'!L12</f>
        <v>404150</v>
      </c>
      <c r="M12" s="152">
        <f>'תקציב אגף נכסים וביטוח 2021'!M12</f>
        <v>95850</v>
      </c>
      <c r="N12" s="152">
        <f>'תקציב אגף נכסים וביטוח 2021'!N12</f>
        <v>0</v>
      </c>
      <c r="O12" s="152">
        <f>'תקציב אגף נכסים וביטוח 2021'!O12</f>
        <v>70000</v>
      </c>
      <c r="P12" s="152">
        <f>'תקציב אגף נכסים וביטוח 2021'!P12</f>
        <v>95850</v>
      </c>
      <c r="Q12" s="152">
        <f>'תקציב אגף נכסים וביטוח 2021'!Q12</f>
        <v>0</v>
      </c>
      <c r="R12" s="152">
        <f>'תקציב אגף נכסים וביטוח 2021'!R12</f>
        <v>0</v>
      </c>
      <c r="S12" s="152">
        <f>'תקציב אגף נכסים וביטוח 2021'!S12</f>
        <v>0</v>
      </c>
      <c r="T12" s="152">
        <f>'תקציב אגף נכסים וביטוח 2021'!T12</f>
        <v>0</v>
      </c>
      <c r="U12" s="152">
        <f>'תקציב אגף נכסים וביטוח 2021'!U12</f>
        <v>0</v>
      </c>
      <c r="V12" s="152">
        <f>'תקציב אגף נכסים וביטוח 2021'!V12</f>
        <v>0</v>
      </c>
      <c r="W12" s="152"/>
      <c r="X12" s="152"/>
      <c r="Y12" s="152"/>
      <c r="Z12" s="152"/>
      <c r="AA12" s="171"/>
      <c r="AB12" s="418" t="str">
        <f>'תקציב אגף נכסים וביטוח 2021'!AB12</f>
        <v>שיפוץ חלקי של בית משותף בו מצויים הספריה והחניון בבעלות העיריה. סוקולוב 56.</v>
      </c>
      <c r="AC12" s="171">
        <f>'תקציב אגף נכסים וביטוח 2021'!AC12</f>
        <v>930000</v>
      </c>
      <c r="AD12" s="311"/>
      <c r="AE12" s="311"/>
    </row>
    <row r="13" spans="1:31" s="170" customFormat="1" ht="30" customHeight="1">
      <c r="A13" s="171">
        <f t="shared" si="0"/>
        <v>9</v>
      </c>
      <c r="B13" s="172">
        <f>'תקציב אגף נכסים וביטוח 2021'!B13</f>
        <v>1983</v>
      </c>
      <c r="C13" s="331" t="str">
        <f>'תקציב אגף נכסים וביטוח 2021'!C13</f>
        <v>פיצויי הפקעה פטריאלי 6524/21,22</v>
      </c>
      <c r="D13" s="152">
        <f>'תקציב אגף נכסים וביטוח 2021'!D13</f>
        <v>800000</v>
      </c>
      <c r="E13" s="152">
        <f>'תקציב אגף נכסים וביטוח 2021'!E13</f>
        <v>800000</v>
      </c>
      <c r="F13" s="152">
        <f>'תקציב אגף נכסים וביטוח 2021'!F13</f>
        <v>0</v>
      </c>
      <c r="G13" s="152">
        <f>'תקציב אגף נכסים וביטוח 2021'!G13</f>
        <v>100000</v>
      </c>
      <c r="H13" s="152">
        <f>'תקציב אגף נכסים וביטוח 2021'!H13</f>
        <v>10249</v>
      </c>
      <c r="I13" s="152">
        <f>'תקציב אגף נכסים וביטוח 2021'!I13</f>
        <v>0</v>
      </c>
      <c r="J13" s="152">
        <f>'תקציב אגף נכסים וביטוח 2021'!J13</f>
        <v>0</v>
      </c>
      <c r="K13" s="152">
        <f>'תקציב אגף נכסים וביטוח 2021'!K13</f>
        <v>0</v>
      </c>
      <c r="L13" s="152">
        <f>'תקציב אגף נכסים וביטוח 2021'!L13</f>
        <v>10249</v>
      </c>
      <c r="M13" s="152">
        <f>'תקציב אגף נכסים וביטוח 2021'!M13</f>
        <v>89751</v>
      </c>
      <c r="N13" s="152">
        <f>'תקציב אגף נכסים וביטוח 2021'!N13</f>
        <v>0</v>
      </c>
      <c r="O13" s="152">
        <f>'תקציב אגף נכסים וביטוח 2021'!O13</f>
        <v>700000</v>
      </c>
      <c r="P13" s="152">
        <f>'תקציב אגף נכסים וביטוח 2021'!P13</f>
        <v>89751</v>
      </c>
      <c r="Q13" s="152">
        <f>'תקציב אגף נכסים וביטוח 2021'!Q13</f>
        <v>0</v>
      </c>
      <c r="R13" s="152">
        <f>'תקציב אגף נכסים וביטוח 2021'!R13</f>
        <v>0</v>
      </c>
      <c r="S13" s="152">
        <f>'תקציב אגף נכסים וביטוח 2021'!S13</f>
        <v>0</v>
      </c>
      <c r="T13" s="152">
        <f>'תקציב אגף נכסים וביטוח 2021'!T13</f>
        <v>0</v>
      </c>
      <c r="U13" s="152">
        <f>'תקציב אגף נכסים וביטוח 2021'!U13</f>
        <v>0</v>
      </c>
      <c r="V13" s="152">
        <f>'תקציב אגף נכסים וביטוח 2021'!V13</f>
        <v>0</v>
      </c>
      <c r="W13" s="152"/>
      <c r="X13" s="152"/>
      <c r="Y13" s="152"/>
      <c r="Z13" s="152"/>
      <c r="AA13" s="171"/>
      <c r="AB13" s="418" t="str">
        <f>'תקציב אגף נכסים וביטוח 2021'!AB13</f>
        <v>פיצויי הפקעה נכס גוש 6524/21,22 פטריאלי.</v>
      </c>
      <c r="AC13" s="171">
        <f>'תקציב אגף נכסים וביטוח 2021'!AC13</f>
        <v>930000</v>
      </c>
      <c r="AD13" s="311"/>
      <c r="AE13" s="311"/>
    </row>
    <row r="14" spans="1:31" s="170" customFormat="1" ht="30" customHeight="1">
      <c r="A14" s="171">
        <f t="shared" si="0"/>
        <v>10</v>
      </c>
      <c r="B14" s="172">
        <f>'תקציב אגף נכסים וביטוח 2021'!B14</f>
        <v>1985</v>
      </c>
      <c r="C14" s="331" t="str">
        <f>'תקציב אגף נכסים וביטוח 2021'!C14</f>
        <v>פיצויי הפקעה הרשקוביץ שושנה 6524/58,68</v>
      </c>
      <c r="D14" s="152">
        <f>'תקציב אגף נכסים וביטוח 2021'!D14</f>
        <v>600000</v>
      </c>
      <c r="E14" s="152">
        <f>'תקציב אגף נכסים וביטוח 2021'!E14</f>
        <v>600000</v>
      </c>
      <c r="F14" s="152">
        <f>'תקציב אגף נכסים וביטוח 2021'!F14</f>
        <v>0</v>
      </c>
      <c r="G14" s="152">
        <f>'תקציב אגף נכסים וביטוח 2021'!G14</f>
        <v>100000</v>
      </c>
      <c r="H14" s="152">
        <f>'תקציב אגף נכסים וביטוח 2021'!H14</f>
        <v>0</v>
      </c>
      <c r="I14" s="152">
        <f>'תקציב אגף נכסים וביטוח 2021'!I14</f>
        <v>0</v>
      </c>
      <c r="J14" s="152">
        <f>'תקציב אגף נכסים וביטוח 2021'!J14</f>
        <v>0</v>
      </c>
      <c r="K14" s="152">
        <f>'תקציב אגף נכסים וביטוח 2021'!K14</f>
        <v>0</v>
      </c>
      <c r="L14" s="152">
        <f>'תקציב אגף נכסים וביטוח 2021'!L14</f>
        <v>0</v>
      </c>
      <c r="M14" s="152">
        <f>'תקציב אגף נכסים וביטוח 2021'!M14</f>
        <v>100000</v>
      </c>
      <c r="N14" s="152">
        <f>'תקציב אגף נכסים וביטוח 2021'!N14</f>
        <v>0</v>
      </c>
      <c r="O14" s="152">
        <f>'תקציב אגף נכסים וביטוח 2021'!O14</f>
        <v>500000</v>
      </c>
      <c r="P14" s="152">
        <f>'תקציב אגף נכסים וביטוח 2021'!P14</f>
        <v>100000</v>
      </c>
      <c r="Q14" s="152">
        <f>'תקציב אגף נכסים וביטוח 2021'!Q14</f>
        <v>0</v>
      </c>
      <c r="R14" s="152">
        <f>'תקציב אגף נכסים וביטוח 2021'!R14</f>
        <v>0</v>
      </c>
      <c r="S14" s="152">
        <f>'תקציב אגף נכסים וביטוח 2021'!S14</f>
        <v>0</v>
      </c>
      <c r="T14" s="152">
        <f>'תקציב אגף נכסים וביטוח 2021'!T14</f>
        <v>0</v>
      </c>
      <c r="U14" s="152">
        <f>'תקציב אגף נכסים וביטוח 2021'!U14</f>
        <v>0</v>
      </c>
      <c r="V14" s="152">
        <f>'תקציב אגף נכסים וביטוח 2021'!V14</f>
        <v>0</v>
      </c>
      <c r="W14" s="152"/>
      <c r="X14" s="152"/>
      <c r="Y14" s="152"/>
      <c r="Z14" s="152"/>
      <c r="AA14" s="171"/>
      <c r="AB14" s="418" t="str">
        <f>'תקציב אגף נכסים וביטוח 2021'!AB14</f>
        <v>פיצויי הפקעה נכס גוש 6524/58,68 הרשקוביץ שושנה.</v>
      </c>
      <c r="AC14" s="171">
        <f>'תקציב אגף נכסים וביטוח 2021'!AC14</f>
        <v>930000</v>
      </c>
      <c r="AD14" s="311"/>
      <c r="AE14" s="311"/>
    </row>
    <row r="15" spans="1:31" s="170" customFormat="1" ht="30" customHeight="1">
      <c r="A15" s="171">
        <f t="shared" si="0"/>
        <v>11</v>
      </c>
      <c r="B15" s="172">
        <f>'תקציב אגף נכסים וביטוח 2021'!B15</f>
        <v>1993</v>
      </c>
      <c r="C15" s="331" t="str">
        <f>'תקציב אגף נכסים וביטוח 2021'!C15</f>
        <v>בניה עצמית ליד המתחם הבינתחומי</v>
      </c>
      <c r="D15" s="152">
        <f>'תקציב אגף נכסים וביטוח 2021'!D15</f>
        <v>6000000</v>
      </c>
      <c r="E15" s="152">
        <f>'תקציב אגף נכסים וביטוח 2021'!E15</f>
        <v>6000000</v>
      </c>
      <c r="F15" s="152">
        <f>'תקציב אגף נכסים וביטוח 2021'!F15</f>
        <v>0</v>
      </c>
      <c r="G15" s="152">
        <f>'תקציב אגף נכסים וביטוח 2021'!G15</f>
        <v>6000000</v>
      </c>
      <c r="H15" s="152">
        <f>'תקציב אגף נכסים וביטוח 2021'!H15</f>
        <v>1866680</v>
      </c>
      <c r="I15" s="152">
        <f>'תקציב אגף נכסים וביטוח 2021'!I15</f>
        <v>3336952</v>
      </c>
      <c r="J15" s="152">
        <f>'תקציב אגף נכסים וביטוח 2021'!J15</f>
        <v>0</v>
      </c>
      <c r="K15" s="152">
        <f>'תקציב אגף נכסים וביטוח 2021'!K15</f>
        <v>3336952</v>
      </c>
      <c r="L15" s="152">
        <f>'תקציב אגף נכסים וביטוח 2021'!L15</f>
        <v>5203632</v>
      </c>
      <c r="M15" s="152">
        <f>'תקציב אגף נכסים וביטוח 2021'!M15</f>
        <v>796368</v>
      </c>
      <c r="N15" s="152">
        <f>'תקציב אגף נכסים וביטוח 2021'!N15</f>
        <v>0</v>
      </c>
      <c r="O15" s="152">
        <f>'תקציב אגף נכסים וביטוח 2021'!O15</f>
        <v>0</v>
      </c>
      <c r="P15" s="152">
        <f>'תקציב אגף נכסים וביטוח 2021'!P15</f>
        <v>796368</v>
      </c>
      <c r="Q15" s="152">
        <f>'תקציב אגף נכסים וביטוח 2021'!Q15</f>
        <v>0</v>
      </c>
      <c r="R15" s="152">
        <f>'תקציב אגף נכסים וביטוח 2021'!R15</f>
        <v>0</v>
      </c>
      <c r="S15" s="152">
        <f>'תקציב אגף נכסים וביטוח 2021'!S15</f>
        <v>0</v>
      </c>
      <c r="T15" s="152">
        <f>'תקציב אגף נכסים וביטוח 2021'!T15</f>
        <v>0</v>
      </c>
      <c r="U15" s="152">
        <f>'תקציב אגף נכסים וביטוח 2021'!U15</f>
        <v>0</v>
      </c>
      <c r="V15" s="152">
        <f>'תקציב אגף נכסים וביטוח 2021'!V15</f>
        <v>0</v>
      </c>
      <c r="W15" s="152"/>
      <c r="X15" s="152"/>
      <c r="Y15" s="152"/>
      <c r="Z15" s="152"/>
      <c r="AA15" s="171"/>
      <c r="AB15" s="418" t="str">
        <f>'תקציב אגף נכסים וביטוח 2021'!AB15</f>
        <v>פרויקט בניה עצמית בו לעיריה 3 יח"ד בבית מגורים משותף.</v>
      </c>
      <c r="AC15" s="171">
        <f>'תקציב אגף נכסים וביטוח 2021'!AC15</f>
        <v>930000</v>
      </c>
      <c r="AD15" s="311"/>
      <c r="AE15" s="311"/>
    </row>
    <row r="16" spans="1:31" s="170" customFormat="1" ht="30" customHeight="1">
      <c r="A16" s="171">
        <f t="shared" si="0"/>
        <v>12</v>
      </c>
      <c r="B16" s="172">
        <f>'תקציב אגף נכסים וביטוח 2021'!B16</f>
        <v>2055</v>
      </c>
      <c r="C16" s="331" t="str">
        <f>'תקציב אגף נכסים וביטוח 2021'!C16</f>
        <v>פיצויי הפקעה הר' 1940 6664/105</v>
      </c>
      <c r="D16" s="152">
        <f>'תקציב אגף נכסים וביטוח 2021'!D16</f>
        <v>220000</v>
      </c>
      <c r="E16" s="152">
        <f>'תקציב אגף נכסים וביטוח 2021'!E16</f>
        <v>220000</v>
      </c>
      <c r="F16" s="152">
        <f>'תקציב אגף נכסים וביטוח 2021'!F16</f>
        <v>0</v>
      </c>
      <c r="G16" s="152">
        <f>'תקציב אגף נכסים וביטוח 2021'!G16</f>
        <v>200000</v>
      </c>
      <c r="H16" s="152">
        <f>'תקציב אגף נכסים וביטוח 2021'!H16</f>
        <v>122292</v>
      </c>
      <c r="I16" s="152">
        <f>'תקציב אגף נכסים וביטוח 2021'!I16</f>
        <v>0</v>
      </c>
      <c r="J16" s="152">
        <f>'תקציב אגף נכסים וביטוח 2021'!J16</f>
        <v>0</v>
      </c>
      <c r="K16" s="152">
        <f>'תקציב אגף נכסים וביטוח 2021'!K16</f>
        <v>0</v>
      </c>
      <c r="L16" s="152">
        <f>'תקציב אגף נכסים וביטוח 2021'!L16</f>
        <v>122292</v>
      </c>
      <c r="M16" s="152">
        <f>'תקציב אגף נכסים וביטוח 2021'!M16</f>
        <v>77708</v>
      </c>
      <c r="N16" s="152">
        <f>'תקציב אגף נכסים וביטוח 2021'!N16</f>
        <v>0</v>
      </c>
      <c r="O16" s="152">
        <f>'תקציב אגף נכסים וביטוח 2021'!O16</f>
        <v>20000</v>
      </c>
      <c r="P16" s="152">
        <f>'תקציב אגף נכסים וביטוח 2021'!P16</f>
        <v>77708</v>
      </c>
      <c r="Q16" s="152">
        <f>'תקציב אגף נכסים וביטוח 2021'!Q16</f>
        <v>0</v>
      </c>
      <c r="R16" s="152">
        <f>'תקציב אגף נכסים וביטוח 2021'!R16</f>
        <v>0</v>
      </c>
      <c r="S16" s="152">
        <f>'תקציב אגף נכסים וביטוח 2021'!S16</f>
        <v>0</v>
      </c>
      <c r="T16" s="152">
        <f>'תקציב אגף נכסים וביטוח 2021'!T16</f>
        <v>0</v>
      </c>
      <c r="U16" s="152">
        <f>'תקציב אגף נכסים וביטוח 2021'!U16</f>
        <v>0</v>
      </c>
      <c r="V16" s="152">
        <f>'תקציב אגף נכסים וביטוח 2021'!V16</f>
        <v>0</v>
      </c>
      <c r="W16" s="152"/>
      <c r="X16" s="152"/>
      <c r="Y16" s="152"/>
      <c r="Z16" s="152"/>
      <c r="AA16" s="171"/>
      <c r="AB16" s="418" t="str">
        <f>'תקציב אגף נכסים וביטוח 2021'!AB16</f>
        <v>תשלום פיצויי הפקעה בקשר עם תוכנית  הר' 1940 6664/105.</v>
      </c>
      <c r="AC16" s="171">
        <f>'תקציב אגף נכסים וביטוח 2021'!AC16</f>
        <v>930000</v>
      </c>
      <c r="AD16" s="311"/>
      <c r="AE16" s="311"/>
    </row>
    <row r="17" spans="1:31" s="170" customFormat="1" ht="42">
      <c r="A17" s="171">
        <f t="shared" si="0"/>
        <v>13</v>
      </c>
      <c r="B17" s="172">
        <f>'תקציב אגף נכסים וביטוח 2021'!B17</f>
        <v>2056</v>
      </c>
      <c r="C17" s="331" t="str">
        <f>'תקציב אגף נכסים וביטוח 2021'!C17</f>
        <v>פיצויי הפקעה הר'1929 6424/52</v>
      </c>
      <c r="D17" s="152">
        <f>'תקציב אגף נכסים וביטוח 2021'!D17</f>
        <v>1400000</v>
      </c>
      <c r="E17" s="152">
        <f>'תקציב אגף נכסים וביטוח 2021'!E17</f>
        <v>1400000</v>
      </c>
      <c r="F17" s="152">
        <f>'תקציב אגף נכסים וביטוח 2021'!F17</f>
        <v>0</v>
      </c>
      <c r="G17" s="152">
        <f>'תקציב אגף נכסים וביטוח 2021'!G17</f>
        <v>580000</v>
      </c>
      <c r="H17" s="152">
        <f>'תקציב אגף נכסים וביטוח 2021'!H17</f>
        <v>347498</v>
      </c>
      <c r="I17" s="152">
        <f>'תקציב אגף נכסים וביטוח 2021'!I17</f>
        <v>0</v>
      </c>
      <c r="J17" s="152">
        <f>'תקציב אגף נכסים וביטוח 2021'!J17</f>
        <v>0</v>
      </c>
      <c r="K17" s="152">
        <f>'תקציב אגף נכסים וביטוח 2021'!K17</f>
        <v>0</v>
      </c>
      <c r="L17" s="152">
        <f>'תקציב אגף נכסים וביטוח 2021'!L17</f>
        <v>347498</v>
      </c>
      <c r="M17" s="152">
        <f>'תקציב אגף נכסים וביטוח 2021'!M17</f>
        <v>232502</v>
      </c>
      <c r="N17" s="152">
        <f>'תקציב אגף נכסים וביטוח 2021'!N17</f>
        <v>0</v>
      </c>
      <c r="O17" s="152">
        <f>'תקציב אגף נכסים וביטוח 2021'!O17</f>
        <v>820000</v>
      </c>
      <c r="P17" s="152">
        <f>'תקציב אגף נכסים וביטוח 2021'!P17</f>
        <v>232502</v>
      </c>
      <c r="Q17" s="152">
        <f>'תקציב אגף נכסים וביטוח 2021'!Q17</f>
        <v>0</v>
      </c>
      <c r="R17" s="152">
        <f>'תקציב אגף נכסים וביטוח 2021'!R17</f>
        <v>0</v>
      </c>
      <c r="S17" s="152">
        <f>'תקציב אגף נכסים וביטוח 2021'!S17</f>
        <v>0</v>
      </c>
      <c r="T17" s="152">
        <f>'תקציב אגף נכסים וביטוח 2021'!T17</f>
        <v>0</v>
      </c>
      <c r="U17" s="152">
        <f>'תקציב אגף נכסים וביטוח 2021'!U17</f>
        <v>0</v>
      </c>
      <c r="V17" s="152">
        <f>'תקציב אגף נכסים וביטוח 2021'!V17</f>
        <v>0</v>
      </c>
      <c r="W17" s="152"/>
      <c r="X17" s="152"/>
      <c r="Y17" s="152"/>
      <c r="Z17" s="152"/>
      <c r="AA17" s="171"/>
      <c r="AB17" s="418" t="str">
        <f>'תקציב אגף נכסים וביטוח 2021'!AB17</f>
        <v>פיצויי הפקעה נכס הר' 1982,1929 גוש 6524/52. הרחבת ז'בוטינסקי ושטח הפארק.</v>
      </c>
      <c r="AC17" s="171">
        <f>'תקציב אגף נכסים וביטוח 2021'!AC17</f>
        <v>930000</v>
      </c>
      <c r="AD17" s="311"/>
      <c r="AE17" s="311"/>
    </row>
    <row r="18" spans="1:31" s="170" customFormat="1" ht="30" customHeight="1">
      <c r="A18" s="171">
        <f t="shared" si="0"/>
        <v>14</v>
      </c>
      <c r="B18" s="172">
        <f>'תקציב אגף נכסים וביטוח 2021'!B18</f>
        <v>2072</v>
      </c>
      <c r="C18" s="331" t="str">
        <f>'תקציב אגף נכסים וביטוח 2021'!C18</f>
        <v>הכנת תצ"ר רישום זכויות תבע 574א</v>
      </c>
      <c r="D18" s="152">
        <f>'תקציב אגף נכסים וביטוח 2021'!D18</f>
        <v>100000</v>
      </c>
      <c r="E18" s="152">
        <f>'תקציב אגף נכסים וביטוח 2021'!E18</f>
        <v>100000</v>
      </c>
      <c r="F18" s="152">
        <f>'תקציב אגף נכסים וביטוח 2021'!F18</f>
        <v>0</v>
      </c>
      <c r="G18" s="152">
        <f>'תקציב אגף נכסים וביטוח 2021'!G18</f>
        <v>100000</v>
      </c>
      <c r="H18" s="152">
        <f>'תקציב אגף נכסים וביטוח 2021'!H18</f>
        <v>21470</v>
      </c>
      <c r="I18" s="152">
        <f>'תקציב אגף נכסים וביטוח 2021'!I18</f>
        <v>0</v>
      </c>
      <c r="J18" s="152">
        <f>'תקציב אגף נכסים וביטוח 2021'!J18</f>
        <v>3597</v>
      </c>
      <c r="K18" s="152">
        <f>'תקציב אגף נכסים וביטוח 2021'!K18</f>
        <v>3597</v>
      </c>
      <c r="L18" s="152">
        <f>'תקציב אגף נכסים וביטוח 2021'!L18</f>
        <v>25067</v>
      </c>
      <c r="M18" s="152">
        <f>'תקציב אגף נכסים וביטוח 2021'!M18</f>
        <v>74933</v>
      </c>
      <c r="N18" s="152">
        <f>'תקציב אגף נכסים וביטוח 2021'!N18</f>
        <v>0</v>
      </c>
      <c r="O18" s="152">
        <f>'תקציב אגף נכסים וביטוח 2021'!O18</f>
        <v>0</v>
      </c>
      <c r="P18" s="152">
        <f>'תקציב אגף נכסים וביטוח 2021'!P18</f>
        <v>74933</v>
      </c>
      <c r="Q18" s="152">
        <f>'תקציב אגף נכסים וביטוח 2021'!Q18</f>
        <v>0</v>
      </c>
      <c r="R18" s="152">
        <f>'תקציב אגף נכסים וביטוח 2021'!R18</f>
        <v>0</v>
      </c>
      <c r="S18" s="152">
        <f>'תקציב אגף נכסים וביטוח 2021'!S18</f>
        <v>0</v>
      </c>
      <c r="T18" s="152">
        <f>'תקציב אגף נכסים וביטוח 2021'!T18</f>
        <v>0</v>
      </c>
      <c r="U18" s="152">
        <f>'תקציב אגף נכסים וביטוח 2021'!U18</f>
        <v>0</v>
      </c>
      <c r="V18" s="152">
        <f>'תקציב אגף נכסים וביטוח 2021'!V18</f>
        <v>0</v>
      </c>
      <c r="W18" s="152"/>
      <c r="X18" s="152"/>
      <c r="Y18" s="152"/>
      <c r="Z18" s="152"/>
      <c r="AA18" s="171"/>
      <c r="AB18" s="418" t="str">
        <f>'תקציב אגף נכסים וביטוח 2021'!AB18</f>
        <v>הכנת תוכנית לצרכי רישום מתחם מלון דניאל.</v>
      </c>
      <c r="AC18" s="171">
        <f>'תקציב אגף נכסים וביטוח 2021'!AC18</f>
        <v>930000</v>
      </c>
      <c r="AD18" s="311"/>
      <c r="AE18" s="311"/>
    </row>
    <row r="19" spans="1:31" s="170" customFormat="1" ht="30" customHeight="1">
      <c r="A19" s="171">
        <f t="shared" si="0"/>
        <v>15</v>
      </c>
      <c r="B19" s="172">
        <f>'תקציב אגף נכסים וביטוח 2021'!B19</f>
        <v>2223</v>
      </c>
      <c r="C19" s="331" t="str">
        <f>'תקציב אגף נכסים וביטוח 2021'!C19</f>
        <v>פינוי דיירים מוגנים גוש 6558 חלקה 151</v>
      </c>
      <c r="D19" s="152">
        <f>'תקציב אגף נכסים וביטוח 2021'!D19</f>
        <v>500000</v>
      </c>
      <c r="E19" s="152">
        <f>'תקציב אגף נכסים וביטוח 2021'!E19</f>
        <v>0</v>
      </c>
      <c r="F19" s="152">
        <f>'תקציב אגף נכסים וביטוח 2021'!F19</f>
        <v>500000</v>
      </c>
      <c r="G19" s="152">
        <f>'תקציב אגף נכסים וביטוח 2021'!G19</f>
        <v>0</v>
      </c>
      <c r="H19" s="152">
        <f>'תקציב אגף נכסים וביטוח 2021'!H19</f>
        <v>0</v>
      </c>
      <c r="I19" s="152">
        <f>'תקציב אגף נכסים וביטוח 2021'!I19</f>
        <v>0</v>
      </c>
      <c r="J19" s="152">
        <f>'תקציב אגף נכסים וביטוח 2021'!J19</f>
        <v>0</v>
      </c>
      <c r="K19" s="152">
        <f>'תקציב אגף נכסים וביטוח 2021'!K19</f>
        <v>0</v>
      </c>
      <c r="L19" s="152">
        <f>'תקציב אגף נכסים וביטוח 2021'!L19</f>
        <v>0</v>
      </c>
      <c r="M19" s="152">
        <f>'תקציב אגף נכסים וביטוח 2021'!M19</f>
        <v>0</v>
      </c>
      <c r="N19" s="152">
        <f>'תקציב אגף נכסים וביטוח 2021'!N19</f>
        <v>500000</v>
      </c>
      <c r="O19" s="152">
        <f>'תקציב אגף נכסים וביטוח 2021'!O19</f>
        <v>0</v>
      </c>
      <c r="P19" s="152">
        <f>'תקציב אגף נכסים וביטוח 2021'!P19</f>
        <v>0</v>
      </c>
      <c r="Q19" s="152">
        <f>'תקציב אגף נכסים וביטוח 2021'!Q19</f>
        <v>0</v>
      </c>
      <c r="R19" s="152">
        <f>'תקציב אגף נכסים וביטוח 2021'!R19</f>
        <v>0</v>
      </c>
      <c r="S19" s="152">
        <f>'תקציב אגף נכסים וביטוח 2021'!S19</f>
        <v>0</v>
      </c>
      <c r="T19" s="152">
        <f>'תקציב אגף נכסים וביטוח 2021'!T19</f>
        <v>0</v>
      </c>
      <c r="U19" s="152">
        <f>'תקציב אגף נכסים וביטוח 2021'!U19</f>
        <v>500000</v>
      </c>
      <c r="V19" s="152">
        <f>'תקציב אגף נכסים וביטוח 2021'!V19</f>
        <v>500000</v>
      </c>
      <c r="W19" s="152"/>
      <c r="X19" s="152"/>
      <c r="Y19" s="152"/>
      <c r="Z19" s="152"/>
      <c r="AA19" s="171"/>
      <c r="AB19" s="418" t="str">
        <f>'תקציב אגף נכסים וביטוח 2021'!AB19</f>
        <v>פינוי  2 דיירים מוגנים מרכז מסחרי כצלנסון גוש 6558 חלקה 151.</v>
      </c>
      <c r="AC19" s="171">
        <f>'תקציב אגף נכסים וביטוח 2021'!AC19</f>
        <v>930000</v>
      </c>
      <c r="AD19" s="311"/>
      <c r="AE19" s="311"/>
    </row>
    <row r="20" spans="1:31" s="174" customFormat="1" ht="30" customHeight="1">
      <c r="A20" s="175">
        <f>A19</f>
        <v>15</v>
      </c>
      <c r="B20" s="175"/>
      <c r="C20" s="178" t="s">
        <v>1487</v>
      </c>
      <c r="D20" s="181">
        <f t="shared" ref="D20:AA20" si="1">SUM(D5:D19)</f>
        <v>126129000</v>
      </c>
      <c r="E20" s="181">
        <f t="shared" si="1"/>
        <v>125629000</v>
      </c>
      <c r="F20" s="181">
        <f t="shared" si="1"/>
        <v>500000</v>
      </c>
      <c r="G20" s="181">
        <f t="shared" si="1"/>
        <v>58352525</v>
      </c>
      <c r="H20" s="181">
        <f t="shared" si="1"/>
        <v>40157025</v>
      </c>
      <c r="I20" s="181">
        <f t="shared" si="1"/>
        <v>3336952</v>
      </c>
      <c r="J20" s="181">
        <f t="shared" si="1"/>
        <v>3597</v>
      </c>
      <c r="K20" s="181">
        <f t="shared" si="1"/>
        <v>3340549</v>
      </c>
      <c r="L20" s="181">
        <f t="shared" si="1"/>
        <v>43497574</v>
      </c>
      <c r="M20" s="181">
        <f t="shared" si="1"/>
        <v>14854951</v>
      </c>
      <c r="N20" s="181">
        <f t="shared" si="1"/>
        <v>2040000</v>
      </c>
      <c r="O20" s="181">
        <f t="shared" si="1"/>
        <v>65736475</v>
      </c>
      <c r="P20" s="181">
        <f t="shared" si="1"/>
        <v>14854951</v>
      </c>
      <c r="Q20" s="181">
        <f t="shared" si="1"/>
        <v>0</v>
      </c>
      <c r="R20" s="181">
        <f t="shared" si="1"/>
        <v>0</v>
      </c>
      <c r="S20" s="181">
        <f t="shared" si="1"/>
        <v>0</v>
      </c>
      <c r="T20" s="181">
        <f t="shared" si="1"/>
        <v>0</v>
      </c>
      <c r="U20" s="181">
        <f t="shared" si="1"/>
        <v>2040000</v>
      </c>
      <c r="V20" s="181">
        <f t="shared" si="1"/>
        <v>2040000</v>
      </c>
      <c r="W20" s="181">
        <f t="shared" si="1"/>
        <v>0</v>
      </c>
      <c r="X20" s="181">
        <f t="shared" si="1"/>
        <v>0</v>
      </c>
      <c r="Y20" s="181">
        <f t="shared" si="1"/>
        <v>0</v>
      </c>
      <c r="Z20" s="181">
        <f t="shared" si="1"/>
        <v>0</v>
      </c>
      <c r="AA20" s="181">
        <f t="shared" si="1"/>
        <v>0</v>
      </c>
      <c r="AB20" s="175"/>
      <c r="AC20" s="175"/>
      <c r="AD20" s="311"/>
      <c r="AE20" s="311"/>
    </row>
    <row r="21" spans="1:31" hidden="1">
      <c r="L21" s="168">
        <f>K20+H20</f>
        <v>43497574</v>
      </c>
      <c r="M21" s="168">
        <f>P21+S20-T20</f>
        <v>14854951</v>
      </c>
      <c r="P21" s="168">
        <f>G20-L21</f>
        <v>14854951</v>
      </c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84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3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showZeros="0" rightToLeft="1" zoomScaleNormal="100" workbookViewId="0">
      <selection activeCell="U40" sqref="U40"/>
    </sheetView>
  </sheetViews>
  <sheetFormatPr defaultColWidth="9.08984375" defaultRowHeight="14"/>
  <cols>
    <col min="1" max="3" width="4.08984375" style="233" customWidth="1"/>
    <col min="4" max="4" width="34.90625" style="233" customWidth="1"/>
    <col min="5" max="5" width="30.453125" style="233" customWidth="1"/>
    <col min="6" max="6" width="10.90625" style="233" customWidth="1"/>
    <col min="7" max="16384" width="9.08984375" style="233"/>
  </cols>
  <sheetData>
    <row r="3" spans="1:8" ht="20.5">
      <c r="A3" s="232"/>
      <c r="C3" s="234" t="s">
        <v>288</v>
      </c>
      <c r="D3" s="232"/>
      <c r="E3" s="232"/>
      <c r="F3" s="232"/>
    </row>
    <row r="4" spans="1:8" ht="21" thickBot="1">
      <c r="A4" s="232"/>
      <c r="C4" s="234"/>
      <c r="D4" s="232"/>
      <c r="E4" s="232"/>
      <c r="F4" s="232"/>
    </row>
    <row r="5" spans="1:8" ht="16" thickBot="1">
      <c r="A5" s="232"/>
      <c r="B5" s="235" t="s">
        <v>187</v>
      </c>
      <c r="C5" s="232" t="s">
        <v>1183</v>
      </c>
      <c r="D5" s="232"/>
      <c r="E5" s="232"/>
      <c r="F5" s="236">
        <f>'תקציב מינהל כללי 2021  '!U14</f>
        <v>3891457</v>
      </c>
    </row>
    <row r="6" spans="1:8" ht="15.5">
      <c r="B6" s="235"/>
      <c r="C6" s="232"/>
      <c r="D6" s="232"/>
      <c r="E6" s="232"/>
      <c r="F6" s="232"/>
      <c r="G6" s="232"/>
      <c r="H6" s="232"/>
    </row>
    <row r="7" spans="1:8" ht="15.5">
      <c r="B7" s="235" t="s">
        <v>187</v>
      </c>
      <c r="C7" s="232" t="s">
        <v>310</v>
      </c>
      <c r="D7" s="232"/>
      <c r="E7" s="232"/>
      <c r="F7" s="232"/>
    </row>
    <row r="8" spans="1:8" ht="16" thickBot="1">
      <c r="B8" s="232"/>
      <c r="C8" s="232"/>
      <c r="D8" s="232"/>
      <c r="E8" s="232"/>
      <c r="F8" s="232"/>
      <c r="G8" s="232"/>
      <c r="H8" s="232"/>
    </row>
    <row r="9" spans="1:8" ht="15.5">
      <c r="D9" s="245" t="s">
        <v>311</v>
      </c>
      <c r="E9" s="246" t="s">
        <v>312</v>
      </c>
      <c r="F9" s="247" t="s">
        <v>314</v>
      </c>
      <c r="G9" s="232"/>
      <c r="H9" s="232"/>
    </row>
    <row r="10" spans="1:8" ht="15.5">
      <c r="C10" s="235"/>
      <c r="D10" s="239" t="s">
        <v>13</v>
      </c>
      <c r="E10" s="248">
        <f>'תקציב מינהל כללי 2021  '!V14</f>
        <v>-508725</v>
      </c>
      <c r="F10" s="256">
        <f>E10/$E$13</f>
        <v>-0.13072867052109274</v>
      </c>
      <c r="G10" s="232"/>
      <c r="H10" s="232"/>
    </row>
    <row r="11" spans="1:8" ht="15.5">
      <c r="C11" s="235"/>
      <c r="D11" s="239" t="s">
        <v>14</v>
      </c>
      <c r="E11" s="248">
        <f>'תקציב מינהל כללי 2021  '!W14</f>
        <v>3689887</v>
      </c>
      <c r="F11" s="256">
        <f t="shared" ref="F11:F12" si="0">E11/$E$13</f>
        <v>0.94820192025763106</v>
      </c>
      <c r="G11" s="232"/>
      <c r="H11" s="232"/>
    </row>
    <row r="12" spans="1:8" ht="15.5">
      <c r="C12" s="235"/>
      <c r="D12" s="252" t="s">
        <v>91</v>
      </c>
      <c r="E12" s="343">
        <f>'תקציב מינהל כללי 2021  '!AA14</f>
        <v>710295</v>
      </c>
      <c r="F12" s="256">
        <f t="shared" si="0"/>
        <v>0.18252675026346174</v>
      </c>
      <c r="G12" s="232"/>
      <c r="H12" s="232"/>
    </row>
    <row r="13" spans="1:8" ht="16" thickBot="1">
      <c r="C13" s="235"/>
      <c r="D13" s="242" t="s">
        <v>105</v>
      </c>
      <c r="E13" s="250">
        <f>SUM(E10:E12)</f>
        <v>3891457</v>
      </c>
      <c r="F13" s="359">
        <f>SUM(F10:F12)</f>
        <v>1</v>
      </c>
      <c r="G13" s="232"/>
      <c r="H13" s="232"/>
    </row>
    <row r="14" spans="1:8" ht="15.5">
      <c r="C14" s="235"/>
      <c r="D14" s="238"/>
      <c r="E14" s="259"/>
      <c r="F14" s="262"/>
      <c r="G14" s="232"/>
      <c r="H14" s="232"/>
    </row>
    <row r="15" spans="1:8" ht="15.5">
      <c r="C15" s="235"/>
      <c r="D15" s="238"/>
      <c r="E15" s="259"/>
      <c r="F15" s="262"/>
      <c r="G15" s="232"/>
      <c r="H15" s="232"/>
    </row>
    <row r="16" spans="1:8" ht="15.5">
      <c r="B16" s="235"/>
      <c r="C16" s="232"/>
      <c r="D16" s="232"/>
      <c r="E16" s="232"/>
      <c r="F16" s="232"/>
    </row>
    <row r="17" spans="2:8" ht="15.5">
      <c r="B17" s="235" t="s">
        <v>187</v>
      </c>
      <c r="C17" s="232" t="s">
        <v>1178</v>
      </c>
      <c r="D17" s="232"/>
      <c r="F17" s="232"/>
      <c r="G17" s="232"/>
      <c r="H17" s="232"/>
    </row>
    <row r="18" spans="2:8" ht="15.5">
      <c r="C18" s="232" t="s">
        <v>621</v>
      </c>
      <c r="D18" s="232"/>
      <c r="E18" s="232"/>
      <c r="F18" s="232"/>
    </row>
    <row r="19" spans="2:8" ht="15.5">
      <c r="B19" s="235"/>
      <c r="C19" s="232" t="s">
        <v>333</v>
      </c>
      <c r="D19" s="232"/>
      <c r="E19" s="232"/>
      <c r="F19" s="232"/>
      <c r="G19" s="232"/>
      <c r="H19" s="232"/>
    </row>
    <row r="20" spans="2:8" ht="15.5">
      <c r="B20" s="235"/>
      <c r="C20" s="232"/>
      <c r="D20" s="232"/>
      <c r="E20" s="232"/>
      <c r="F20" s="232"/>
      <c r="G20" s="232"/>
      <c r="H20" s="232"/>
    </row>
    <row r="21" spans="2:8" ht="15.5">
      <c r="C21" s="356" t="s">
        <v>1503</v>
      </c>
      <c r="D21" s="358"/>
    </row>
    <row r="36" spans="3:3">
      <c r="C36" s="357"/>
    </row>
  </sheetData>
  <sortState ref="C20">
    <sortCondition ref="C2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showZeros="0" rightToLeft="1" workbookViewId="0">
      <selection activeCell="U40" sqref="U40"/>
    </sheetView>
  </sheetViews>
  <sheetFormatPr defaultColWidth="9.08984375" defaultRowHeight="14"/>
  <cols>
    <col min="1" max="2" width="4.08984375" style="96" customWidth="1"/>
    <col min="3" max="3" width="34" style="96" customWidth="1"/>
    <col min="4" max="4" width="9.90625" style="96" customWidth="1"/>
    <col min="5" max="7" width="12.08984375" style="96" customWidth="1"/>
    <col min="8" max="8" width="12.08984375" style="96" hidden="1" customWidth="1"/>
    <col min="9" max="9" width="7.90625" style="96" customWidth="1"/>
    <col min="10" max="16384" width="9.08984375" style="96"/>
  </cols>
  <sheetData>
    <row r="3" spans="1:16" ht="20.5">
      <c r="D3" s="97"/>
    </row>
    <row r="4" spans="1:16" ht="15.5">
      <c r="A4" s="98"/>
      <c r="C4" s="98"/>
      <c r="D4" s="98"/>
      <c r="E4" s="98"/>
      <c r="F4" s="98"/>
      <c r="G4" s="98"/>
      <c r="H4" s="98"/>
      <c r="I4" s="98"/>
      <c r="J4" s="98"/>
      <c r="K4" s="98"/>
      <c r="N4" s="98"/>
      <c r="O4" s="98"/>
      <c r="P4" s="98"/>
    </row>
    <row r="5" spans="1:16" ht="15.5">
      <c r="A5" s="98">
        <v>3.3</v>
      </c>
      <c r="C5" s="98" t="s">
        <v>1686</v>
      </c>
      <c r="D5" s="98"/>
      <c r="E5" s="98"/>
      <c r="F5" s="98"/>
      <c r="G5" s="98"/>
      <c r="H5" s="98"/>
      <c r="I5" s="98"/>
      <c r="J5" s="98"/>
      <c r="K5" s="98"/>
      <c r="N5" s="98"/>
      <c r="O5" s="98"/>
      <c r="P5" s="98"/>
    </row>
    <row r="6" spans="1:16" ht="16" thickBot="1">
      <c r="A6" s="98"/>
      <c r="C6" s="98"/>
      <c r="D6" s="98"/>
      <c r="E6" s="98"/>
      <c r="F6" s="98"/>
      <c r="G6" s="98"/>
      <c r="H6" s="98"/>
      <c r="I6" s="98"/>
      <c r="J6" s="98"/>
      <c r="K6" s="98"/>
      <c r="N6" s="98"/>
      <c r="O6" s="98"/>
      <c r="P6" s="98"/>
    </row>
    <row r="7" spans="1:16" ht="20.149999999999999" customHeight="1">
      <c r="A7" s="98"/>
      <c r="C7" s="119" t="s">
        <v>241</v>
      </c>
      <c r="D7" s="369" t="s">
        <v>584</v>
      </c>
      <c r="E7" s="122" t="s">
        <v>1244</v>
      </c>
      <c r="F7" s="123" t="s">
        <v>626</v>
      </c>
      <c r="N7" s="98"/>
      <c r="O7" s="98"/>
      <c r="P7" s="98"/>
    </row>
    <row r="8" spans="1:16" ht="20.149999999999999" customHeight="1">
      <c r="A8" s="98"/>
      <c r="C8" s="124" t="s">
        <v>622</v>
      </c>
      <c r="D8" s="212">
        <v>81</v>
      </c>
      <c r="E8" s="212">
        <f>'ריכוז פרקים'!S11/1000</f>
        <v>245535.80799999999</v>
      </c>
      <c r="F8" s="193">
        <v>213194.97099999999</v>
      </c>
      <c r="H8" s="273">
        <f t="shared" ref="H8:H20" si="0">E8/$E$21</f>
        <v>0.53859028300954603</v>
      </c>
      <c r="N8" s="98"/>
      <c r="O8" s="98"/>
      <c r="P8" s="98"/>
    </row>
    <row r="9" spans="1:16" ht="20.149999999999999" customHeight="1">
      <c r="A9" s="98"/>
      <c r="C9" s="124" t="s">
        <v>285</v>
      </c>
      <c r="D9" s="212">
        <v>74</v>
      </c>
      <c r="E9" s="212">
        <f>'ריכוז פרקים'!S8/1000</f>
        <v>82151.827999999994</v>
      </c>
      <c r="F9" s="375">
        <v>153631.31700000001</v>
      </c>
      <c r="H9" s="273">
        <f t="shared" si="0"/>
        <v>0.18020254012103826</v>
      </c>
      <c r="N9" s="98"/>
      <c r="O9" s="98"/>
      <c r="P9" s="98"/>
    </row>
    <row r="10" spans="1:16" ht="20.149999999999999" customHeight="1">
      <c r="A10" s="98"/>
      <c r="C10" s="124" t="s">
        <v>623</v>
      </c>
      <c r="D10" s="212">
        <v>82</v>
      </c>
      <c r="E10" s="212">
        <f>'ריכוז פרקים'!S12/1000</f>
        <v>45751.16</v>
      </c>
      <c r="F10" s="193">
        <v>53297.228999999999</v>
      </c>
      <c r="H10" s="273">
        <f t="shared" si="0"/>
        <v>0.10035656474356287</v>
      </c>
      <c r="N10" s="98"/>
      <c r="O10" s="98"/>
      <c r="P10" s="98"/>
    </row>
    <row r="11" spans="1:16" ht="20.149999999999999" customHeight="1">
      <c r="A11" s="98"/>
      <c r="C11" s="124" t="s">
        <v>289</v>
      </c>
      <c r="D11" s="212">
        <v>76</v>
      </c>
      <c r="E11" s="212">
        <f>'ריכוז פרקים'!S10/1000</f>
        <v>20170</v>
      </c>
      <c r="F11" s="193">
        <v>16600</v>
      </c>
      <c r="H11" s="273">
        <f t="shared" si="0"/>
        <v>4.4243510129091002E-2</v>
      </c>
      <c r="N11" s="98"/>
      <c r="O11" s="98"/>
      <c r="P11" s="98"/>
    </row>
    <row r="12" spans="1:16" ht="20.149999999999999" customHeight="1">
      <c r="A12" s="98"/>
      <c r="C12" s="131" t="s">
        <v>590</v>
      </c>
      <c r="D12" s="212">
        <v>764</v>
      </c>
      <c r="E12" s="212">
        <f>'ריכוז פרקים'!S17/1000</f>
        <v>19300</v>
      </c>
      <c r="F12" s="193">
        <v>17500</v>
      </c>
      <c r="H12" s="273">
        <f t="shared" si="0"/>
        <v>4.2335138596502543E-2</v>
      </c>
      <c r="N12" s="98"/>
      <c r="O12" s="98"/>
      <c r="P12" s="98"/>
    </row>
    <row r="13" spans="1:16" ht="20.149999999999999" customHeight="1">
      <c r="A13" s="98"/>
      <c r="C13" s="124" t="s">
        <v>287</v>
      </c>
      <c r="D13" s="212">
        <v>73</v>
      </c>
      <c r="E13" s="212">
        <f>'ריכוז פרקים'!S7/1000</f>
        <v>13230</v>
      </c>
      <c r="F13" s="193">
        <v>16243.338</v>
      </c>
      <c r="H13" s="273">
        <f t="shared" si="0"/>
        <v>2.902040847832791E-2</v>
      </c>
      <c r="N13" s="98"/>
      <c r="O13" s="98"/>
      <c r="P13" s="98"/>
    </row>
    <row r="14" spans="1:16" ht="20.149999999999999" customHeight="1">
      <c r="A14" s="98"/>
      <c r="C14" s="131" t="s">
        <v>94</v>
      </c>
      <c r="D14" s="212">
        <v>87</v>
      </c>
      <c r="E14" s="212">
        <f>'ריכוז פרקים'!S15/1000</f>
        <v>12291</v>
      </c>
      <c r="F14" s="193">
        <v>10300</v>
      </c>
      <c r="H14" s="273">
        <f t="shared" si="0"/>
        <v>2.6960683341430716E-2</v>
      </c>
      <c r="N14" s="98"/>
      <c r="O14" s="98"/>
      <c r="P14" s="98"/>
    </row>
    <row r="15" spans="1:16" ht="20.149999999999999" customHeight="1">
      <c r="A15" s="98"/>
      <c r="C15" s="124" t="s">
        <v>286</v>
      </c>
      <c r="D15" s="212">
        <v>93</v>
      </c>
      <c r="E15" s="212">
        <f>'ריכוז פרקים'!S18/1000</f>
        <v>5821</v>
      </c>
      <c r="F15" s="193">
        <v>12524.3</v>
      </c>
      <c r="H15" s="273">
        <f t="shared" si="0"/>
        <v>1.2768541024364836E-2</v>
      </c>
      <c r="N15" s="98"/>
      <c r="O15" s="98"/>
      <c r="P15" s="98"/>
    </row>
    <row r="16" spans="1:16" ht="20.149999999999999" customHeight="1">
      <c r="A16" s="98"/>
      <c r="C16" s="124" t="s">
        <v>290</v>
      </c>
      <c r="D16" s="212">
        <v>85</v>
      </c>
      <c r="E16" s="212">
        <f>'ריכוז פרקים'!S14/1000</f>
        <v>3050</v>
      </c>
      <c r="F16" s="193">
        <v>1050</v>
      </c>
      <c r="H16" s="273">
        <f t="shared" si="0"/>
        <v>6.6902680165457388E-3</v>
      </c>
      <c r="N16" s="98"/>
      <c r="O16" s="98"/>
      <c r="P16" s="98"/>
    </row>
    <row r="17" spans="1:16" ht="20.149999999999999" customHeight="1">
      <c r="A17" s="98"/>
      <c r="C17" s="124" t="s">
        <v>92</v>
      </c>
      <c r="D17" s="212">
        <v>747</v>
      </c>
      <c r="E17" s="212">
        <f>'ריכוז פרקים'!S9/1000</f>
        <v>3035.2750000000001</v>
      </c>
      <c r="F17" s="193">
        <v>2234.971</v>
      </c>
      <c r="H17" s="273">
        <f t="shared" si="0"/>
        <v>6.6579682799740554E-3</v>
      </c>
      <c r="N17" s="98"/>
      <c r="O17" s="98"/>
      <c r="P17" s="98"/>
    </row>
    <row r="18" spans="1:16" ht="20.149999999999999" customHeight="1">
      <c r="A18" s="98"/>
      <c r="C18" s="124" t="s">
        <v>589</v>
      </c>
      <c r="D18" s="212">
        <v>848</v>
      </c>
      <c r="E18" s="212">
        <f>'ריכוז פרקים'!S16/1000</f>
        <v>2900</v>
      </c>
      <c r="F18" s="193">
        <v>3600</v>
      </c>
      <c r="H18" s="273">
        <f t="shared" si="0"/>
        <v>6.3612384419615229E-3</v>
      </c>
      <c r="M18" s="135"/>
      <c r="N18" s="98"/>
      <c r="O18" s="98"/>
      <c r="P18" s="98"/>
    </row>
    <row r="19" spans="1:16" ht="20.149999999999999" customHeight="1">
      <c r="A19" s="98"/>
      <c r="C19" s="124" t="s">
        <v>624</v>
      </c>
      <c r="D19" s="212">
        <v>84</v>
      </c>
      <c r="E19" s="212">
        <f>'ריכוז פרקים'!S13/1000</f>
        <v>2600</v>
      </c>
      <c r="F19" s="193">
        <v>2550</v>
      </c>
      <c r="H19" s="273">
        <f t="shared" si="0"/>
        <v>5.7031792927930893E-3</v>
      </c>
      <c r="N19" s="98"/>
      <c r="O19" s="98"/>
      <c r="P19" s="98"/>
    </row>
    <row r="20" spans="1:16" ht="20.149999999999999" customHeight="1">
      <c r="A20" s="98"/>
      <c r="C20" s="124" t="s">
        <v>288</v>
      </c>
      <c r="D20" s="212">
        <v>61</v>
      </c>
      <c r="E20" s="212">
        <f>'ריכוז פרקים'!S6/1000</f>
        <v>50</v>
      </c>
      <c r="F20" s="193">
        <v>100</v>
      </c>
      <c r="H20" s="273">
        <f t="shared" si="0"/>
        <v>1.0967652486140556E-4</v>
      </c>
      <c r="N20" s="98"/>
      <c r="O20" s="98"/>
      <c r="P20" s="98"/>
    </row>
    <row r="21" spans="1:16" ht="20.149999999999999" customHeight="1" thickBot="1">
      <c r="A21" s="98"/>
      <c r="C21" s="194" t="s">
        <v>105</v>
      </c>
      <c r="D21" s="195"/>
      <c r="E21" s="201">
        <f>SUM(E8:E20)</f>
        <v>455886.071</v>
      </c>
      <c r="F21" s="202">
        <f>SUM(F8:F20)</f>
        <v>502826.12599999999</v>
      </c>
      <c r="H21" s="196">
        <f>SUM(H8:H20)</f>
        <v>0.99999999999999989</v>
      </c>
      <c r="N21" s="98"/>
      <c r="O21" s="98"/>
      <c r="P21" s="98"/>
    </row>
    <row r="22" spans="1:16" ht="15.5">
      <c r="A22" s="98"/>
      <c r="M22" s="98"/>
      <c r="N22" s="98"/>
      <c r="O22" s="98"/>
      <c r="P22" s="98"/>
    </row>
    <row r="23" spans="1:16" s="373" customFormat="1" ht="15.5">
      <c r="A23" s="372"/>
      <c r="C23" s="374"/>
      <c r="M23" s="372"/>
      <c r="N23" s="372"/>
      <c r="O23" s="372"/>
      <c r="P23" s="372"/>
    </row>
    <row r="24" spans="1:16" ht="15.5">
      <c r="A24" s="98"/>
      <c r="B24" s="105"/>
      <c r="C24" s="105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16" ht="15.5">
      <c r="A25" s="105"/>
      <c r="B25" s="105"/>
      <c r="C25" s="105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5.5"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ht="15.5"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</sheetData>
  <sortState ref="A8:Q20">
    <sortCondition descending="1" ref="E8:E2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"/>
  <sheetViews>
    <sheetView showZeros="0" rightToLeft="1" zoomScaleNormal="100" workbookViewId="0">
      <pane xSplit="3" ySplit="4" topLeftCell="D11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86" customWidth="1"/>
    <col min="2" max="2" width="5.08984375" style="166" customWidth="1"/>
    <col min="3" max="3" width="20.1796875" style="166" customWidth="1"/>
    <col min="4" max="5" width="10.81640625" style="167" customWidth="1"/>
    <col min="6" max="6" width="8.81640625" style="167" customWidth="1"/>
    <col min="7" max="11" width="8.81640625" style="167" hidden="1" customWidth="1"/>
    <col min="12" max="13" width="9.81640625" style="167" customWidth="1"/>
    <col min="14" max="14" width="8.81640625" style="167" customWidth="1"/>
    <col min="15" max="15" width="9.81640625" style="167" customWidth="1"/>
    <col min="16" max="19" width="8.81640625" style="167" hidden="1" customWidth="1"/>
    <col min="20" max="20" width="8.81640625" style="167" customWidth="1"/>
    <col min="21" max="21" width="8.81640625" style="166" customWidth="1"/>
    <col min="22" max="22" width="9.81640625" style="166" customWidth="1"/>
    <col min="23" max="23" width="8.81640625" style="166" customWidth="1"/>
    <col min="24" max="26" width="8.81640625" style="166" hidden="1" customWidth="1"/>
    <col min="27" max="27" width="7.453125" style="166" customWidth="1"/>
    <col min="28" max="28" width="31.6328125" style="183" customWidth="1"/>
    <col min="29" max="29" width="7.90625" style="166" hidden="1" customWidth="1"/>
    <col min="30" max="30" width="21.08984375" style="284" customWidth="1"/>
    <col min="31" max="31" width="15.08984375" style="284" customWidth="1"/>
    <col min="32" max="32" width="11.54296875" style="284" customWidth="1"/>
    <col min="33" max="33" width="9.08984375" style="166" customWidth="1"/>
    <col min="34" max="16384" width="9.08984375" style="166"/>
  </cols>
  <sheetData>
    <row r="1" spans="1:33" s="284" customFormat="1">
      <c r="A1" s="768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312"/>
      <c r="Y1" s="312"/>
      <c r="Z1" s="312"/>
      <c r="AB1" s="285"/>
    </row>
    <row r="2" spans="1:33">
      <c r="A2" s="282" t="s">
        <v>288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4" spans="1:33" s="308" customFormat="1" ht="86.25" customHeight="1">
      <c r="A4" s="192" t="s">
        <v>0</v>
      </c>
      <c r="B4" s="192" t="s">
        <v>1</v>
      </c>
      <c r="C4" s="192" t="s">
        <v>2</v>
      </c>
      <c r="D4" s="192" t="s">
        <v>3</v>
      </c>
      <c r="E4" s="192" t="s">
        <v>4</v>
      </c>
      <c r="F4" s="192" t="s">
        <v>5</v>
      </c>
      <c r="G4" s="192" t="s">
        <v>6</v>
      </c>
      <c r="H4" s="192" t="s">
        <v>7</v>
      </c>
      <c r="I4" s="192" t="s">
        <v>9</v>
      </c>
      <c r="J4" s="192" t="s">
        <v>178</v>
      </c>
      <c r="K4" s="192" t="s">
        <v>10</v>
      </c>
      <c r="L4" s="192" t="s">
        <v>11</v>
      </c>
      <c r="M4" s="9" t="s">
        <v>936</v>
      </c>
      <c r="N4" s="9" t="s">
        <v>937</v>
      </c>
      <c r="O4" s="9" t="s">
        <v>938</v>
      </c>
      <c r="P4" s="9" t="s">
        <v>12</v>
      </c>
      <c r="Q4" s="9" t="s">
        <v>939</v>
      </c>
      <c r="R4" s="9" t="s">
        <v>940</v>
      </c>
      <c r="S4" s="9" t="s">
        <v>941</v>
      </c>
      <c r="T4" s="9" t="s">
        <v>942</v>
      </c>
      <c r="U4" s="9" t="s">
        <v>943</v>
      </c>
      <c r="V4" s="192" t="s">
        <v>13</v>
      </c>
      <c r="W4" s="192" t="s">
        <v>14</v>
      </c>
      <c r="X4" s="192" t="s">
        <v>15</v>
      </c>
      <c r="Y4" s="192" t="s">
        <v>301</v>
      </c>
      <c r="Z4" s="192" t="s">
        <v>1391</v>
      </c>
      <c r="AA4" s="192" t="s">
        <v>91</v>
      </c>
      <c r="AB4" s="592" t="s">
        <v>344</v>
      </c>
      <c r="AC4" s="192" t="s">
        <v>16</v>
      </c>
      <c r="AD4" s="284"/>
      <c r="AE4" s="284"/>
      <c r="AF4" s="284"/>
    </row>
    <row r="5" spans="1:33" s="5" customFormat="1" ht="56">
      <c r="A5" s="3">
        <v>1</v>
      </c>
      <c r="B5" s="3">
        <v>529</v>
      </c>
      <c r="C5" s="3" t="s">
        <v>67</v>
      </c>
      <c r="D5" s="4">
        <v>700000</v>
      </c>
      <c r="E5" s="4">
        <v>700000</v>
      </c>
      <c r="F5" s="4">
        <f t="shared" ref="F5:F11" si="0">D5-E5</f>
        <v>0</v>
      </c>
      <c r="G5" s="4">
        <v>700000</v>
      </c>
      <c r="H5" s="4">
        <v>511921</v>
      </c>
      <c r="I5" s="4">
        <v>0</v>
      </c>
      <c r="J5" s="4">
        <v>0</v>
      </c>
      <c r="K5" s="4">
        <f>I5+J5</f>
        <v>0</v>
      </c>
      <c r="L5" s="4">
        <f>H5+K5</f>
        <v>511921</v>
      </c>
      <c r="M5" s="4">
        <f>P5+S5</f>
        <v>188079</v>
      </c>
      <c r="N5" s="4"/>
      <c r="O5" s="4">
        <f>D5-L5-M5-N5</f>
        <v>0</v>
      </c>
      <c r="P5" s="4">
        <f>G5-L5</f>
        <v>188079</v>
      </c>
      <c r="Q5" s="4"/>
      <c r="R5" s="4"/>
      <c r="S5" s="4">
        <f>SUM(Q5:R5)</f>
        <v>0</v>
      </c>
      <c r="T5" s="4">
        <f>P5-M5+S5</f>
        <v>0</v>
      </c>
      <c r="U5" s="4">
        <f>N5-T5</f>
        <v>0</v>
      </c>
      <c r="V5" s="4">
        <f>U5-W5-Z5-AA5</f>
        <v>0</v>
      </c>
      <c r="W5" s="4"/>
      <c r="X5" s="4"/>
      <c r="Y5" s="4"/>
      <c r="Z5" s="4"/>
      <c r="AA5" s="4"/>
      <c r="AB5" s="172" t="s">
        <v>451</v>
      </c>
      <c r="AC5" s="3">
        <v>840000</v>
      </c>
      <c r="AD5" s="32"/>
      <c r="AE5" s="12"/>
      <c r="AF5" s="12"/>
      <c r="AG5" s="12"/>
    </row>
    <row r="6" spans="1:33" s="5" customFormat="1" ht="42">
      <c r="A6" s="172">
        <f>A5+1</f>
        <v>2</v>
      </c>
      <c r="B6" s="3">
        <v>1032</v>
      </c>
      <c r="C6" s="3" t="s">
        <v>156</v>
      </c>
      <c r="D6" s="4">
        <v>40500000</v>
      </c>
      <c r="E6" s="4">
        <v>40500000</v>
      </c>
      <c r="F6" s="4">
        <f t="shared" si="0"/>
        <v>0</v>
      </c>
      <c r="G6" s="4">
        <v>30940000</v>
      </c>
      <c r="H6" s="4">
        <v>28014837</v>
      </c>
      <c r="I6" s="4">
        <v>0</v>
      </c>
      <c r="J6" s="4">
        <v>1758860</v>
      </c>
      <c r="K6" s="4">
        <f t="shared" ref="K6:K12" si="1">I6+J6</f>
        <v>1758860</v>
      </c>
      <c r="L6" s="4">
        <f t="shared" ref="L6:L12" si="2">H6+K6</f>
        <v>29773697</v>
      </c>
      <c r="M6" s="4">
        <f t="shared" ref="M6:M11" si="3">P6+S6</f>
        <v>1166303</v>
      </c>
      <c r="N6" s="4">
        <f>6000000-2000000-1000000</f>
        <v>3000000</v>
      </c>
      <c r="O6" s="4">
        <f t="shared" ref="O6:O12" si="4">D6-L6-M6-N6</f>
        <v>6560000</v>
      </c>
      <c r="P6" s="4">
        <f t="shared" ref="P6:P12" si="5">G6-L6</f>
        <v>1166303</v>
      </c>
      <c r="Q6" s="4"/>
      <c r="R6" s="4"/>
      <c r="S6" s="4">
        <f t="shared" ref="S6:S12" si="6">SUM(Q6:R6)</f>
        <v>0</v>
      </c>
      <c r="T6" s="4">
        <f t="shared" ref="T6:T12" si="7">P6-M6+S6</f>
        <v>0</v>
      </c>
      <c r="U6" s="4">
        <f t="shared" ref="U6:U12" si="8">N6-T6</f>
        <v>3000000</v>
      </c>
      <c r="V6" s="4"/>
      <c r="W6" s="4">
        <f>U6-V6-AA6</f>
        <v>2289705</v>
      </c>
      <c r="X6" s="4"/>
      <c r="Y6" s="4"/>
      <c r="Z6" s="4"/>
      <c r="AA6" s="4">
        <v>710295</v>
      </c>
      <c r="AB6" s="172" t="s">
        <v>1643</v>
      </c>
      <c r="AC6" s="3">
        <v>742000</v>
      </c>
      <c r="AD6" s="32"/>
      <c r="AE6" s="284"/>
      <c r="AF6" s="284"/>
      <c r="AG6" s="43"/>
    </row>
    <row r="7" spans="1:33" s="176" customFormat="1" ht="56">
      <c r="A7" s="172">
        <f t="shared" ref="A7:A13" si="9">A6+1</f>
        <v>3</v>
      </c>
      <c r="B7" s="172">
        <v>1130</v>
      </c>
      <c r="C7" s="172" t="s">
        <v>32</v>
      </c>
      <c r="D7" s="173">
        <v>16000000</v>
      </c>
      <c r="E7" s="173">
        <v>16000000</v>
      </c>
      <c r="F7" s="173">
        <f t="shared" si="0"/>
        <v>0</v>
      </c>
      <c r="G7" s="173">
        <v>13981894</v>
      </c>
      <c r="H7" s="173">
        <v>13203937</v>
      </c>
      <c r="I7" s="173">
        <v>0</v>
      </c>
      <c r="J7" s="173">
        <v>486670</v>
      </c>
      <c r="K7" s="4">
        <f t="shared" si="1"/>
        <v>486670</v>
      </c>
      <c r="L7" s="4">
        <f t="shared" si="2"/>
        <v>13690607</v>
      </c>
      <c r="M7" s="4">
        <f t="shared" si="3"/>
        <v>291287</v>
      </c>
      <c r="N7" s="4">
        <f>600000-100000-200000</f>
        <v>300000</v>
      </c>
      <c r="O7" s="4">
        <f t="shared" si="4"/>
        <v>1718106</v>
      </c>
      <c r="P7" s="4">
        <f t="shared" si="5"/>
        <v>291287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300000</v>
      </c>
      <c r="V7" s="4">
        <f t="shared" ref="V7:V11" si="10">U7-W7-Z7-AA7</f>
        <v>0</v>
      </c>
      <c r="W7" s="4">
        <v>300000</v>
      </c>
      <c r="X7" s="4"/>
      <c r="Y7" s="4"/>
      <c r="Z7" s="4"/>
      <c r="AA7" s="4"/>
      <c r="AB7" s="172" t="s">
        <v>1289</v>
      </c>
      <c r="AC7" s="172">
        <v>742000</v>
      </c>
      <c r="AD7" s="32"/>
      <c r="AE7" s="284"/>
      <c r="AF7" s="284"/>
      <c r="AG7" s="43"/>
    </row>
    <row r="8" spans="1:33" s="176" customFormat="1" ht="30" customHeight="1">
      <c r="A8" s="172">
        <f t="shared" si="9"/>
        <v>4</v>
      </c>
      <c r="B8" s="172">
        <v>1259</v>
      </c>
      <c r="C8" s="172" t="s">
        <v>60</v>
      </c>
      <c r="D8" s="173">
        <v>5460000</v>
      </c>
      <c r="E8" s="173">
        <v>5460000</v>
      </c>
      <c r="F8" s="173">
        <f t="shared" si="0"/>
        <v>0</v>
      </c>
      <c r="G8" s="173">
        <v>4110000</v>
      </c>
      <c r="H8" s="173">
        <v>3756135</v>
      </c>
      <c r="I8" s="173">
        <v>0</v>
      </c>
      <c r="J8" s="173">
        <v>42710</v>
      </c>
      <c r="K8" s="4">
        <f t="shared" si="1"/>
        <v>42710</v>
      </c>
      <c r="L8" s="4">
        <f t="shared" si="2"/>
        <v>3798845</v>
      </c>
      <c r="M8" s="4">
        <f t="shared" si="3"/>
        <v>311155</v>
      </c>
      <c r="N8" s="4">
        <v>500000</v>
      </c>
      <c r="O8" s="4">
        <f t="shared" si="4"/>
        <v>850000</v>
      </c>
      <c r="P8" s="4">
        <f t="shared" si="5"/>
        <v>311155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500000</v>
      </c>
      <c r="V8" s="4">
        <f t="shared" si="10"/>
        <v>0</v>
      </c>
      <c r="W8" s="4">
        <v>500000</v>
      </c>
      <c r="X8" s="4"/>
      <c r="Y8" s="4"/>
      <c r="Z8" s="4"/>
      <c r="AA8" s="4"/>
      <c r="AB8" s="172" t="s">
        <v>337</v>
      </c>
      <c r="AC8" s="172">
        <v>760000</v>
      </c>
      <c r="AD8" s="32"/>
      <c r="AE8" s="284"/>
      <c r="AF8" s="284"/>
      <c r="AG8" s="43"/>
    </row>
    <row r="9" spans="1:33" s="176" customFormat="1" ht="30" customHeight="1">
      <c r="A9" s="172">
        <f t="shared" si="9"/>
        <v>5</v>
      </c>
      <c r="B9" s="172">
        <v>1260</v>
      </c>
      <c r="C9" s="172" t="s">
        <v>61</v>
      </c>
      <c r="D9" s="173">
        <f>8608000+500000</f>
        <v>9108000</v>
      </c>
      <c r="E9" s="173">
        <v>8608000</v>
      </c>
      <c r="F9" s="173">
        <f t="shared" si="0"/>
        <v>500000</v>
      </c>
      <c r="G9" s="173">
        <v>8608000</v>
      </c>
      <c r="H9" s="173">
        <v>8330412</v>
      </c>
      <c r="I9" s="173">
        <v>0</v>
      </c>
      <c r="J9" s="173">
        <v>144787</v>
      </c>
      <c r="K9" s="4">
        <f t="shared" si="1"/>
        <v>144787</v>
      </c>
      <c r="L9" s="4">
        <f t="shared" si="2"/>
        <v>8475199</v>
      </c>
      <c r="M9" s="4">
        <f t="shared" si="3"/>
        <v>132801</v>
      </c>
      <c r="N9" s="4">
        <v>500000</v>
      </c>
      <c r="O9" s="4">
        <f t="shared" si="4"/>
        <v>0</v>
      </c>
      <c r="P9" s="4">
        <f t="shared" si="5"/>
        <v>132801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500000</v>
      </c>
      <c r="V9" s="4">
        <f t="shared" si="10"/>
        <v>0</v>
      </c>
      <c r="W9" s="4">
        <v>500000</v>
      </c>
      <c r="X9" s="4"/>
      <c r="Y9" s="4"/>
      <c r="Z9" s="4"/>
      <c r="AA9" s="4"/>
      <c r="AB9" s="172" t="s">
        <v>338</v>
      </c>
      <c r="AC9" s="172">
        <v>760000</v>
      </c>
      <c r="AD9" s="32"/>
      <c r="AE9" s="284"/>
      <c r="AF9" s="284"/>
      <c r="AG9" s="43"/>
    </row>
    <row r="10" spans="1:33" s="176" customFormat="1" ht="42">
      <c r="A10" s="172">
        <f t="shared" si="9"/>
        <v>6</v>
      </c>
      <c r="B10" s="172">
        <v>1422</v>
      </c>
      <c r="C10" s="172" t="s">
        <v>62</v>
      </c>
      <c r="D10" s="173">
        <v>30257000</v>
      </c>
      <c r="E10" s="173">
        <v>30257000</v>
      </c>
      <c r="F10" s="173">
        <f t="shared" si="0"/>
        <v>0</v>
      </c>
      <c r="G10" s="173">
        <v>14182000</v>
      </c>
      <c r="H10" s="173">
        <v>7257000</v>
      </c>
      <c r="I10" s="173">
        <v>0</v>
      </c>
      <c r="J10" s="173">
        <v>0</v>
      </c>
      <c r="K10" s="4">
        <f t="shared" si="1"/>
        <v>0</v>
      </c>
      <c r="L10" s="4">
        <f t="shared" si="2"/>
        <v>7257000</v>
      </c>
      <c r="M10" s="4">
        <f t="shared" si="3"/>
        <v>6925000</v>
      </c>
      <c r="N10" s="4"/>
      <c r="O10" s="4">
        <f t="shared" si="4"/>
        <v>16075000</v>
      </c>
      <c r="P10" s="4">
        <f t="shared" si="5"/>
        <v>6925000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0</v>
      </c>
      <c r="V10" s="4">
        <f t="shared" si="10"/>
        <v>0</v>
      </c>
      <c r="W10" s="4"/>
      <c r="X10" s="4"/>
      <c r="Y10" s="4"/>
      <c r="Z10" s="4"/>
      <c r="AA10" s="4"/>
      <c r="AB10" s="172" t="s">
        <v>485</v>
      </c>
      <c r="AC10" s="172">
        <v>730000</v>
      </c>
      <c r="AD10" s="32"/>
      <c r="AE10" s="284"/>
      <c r="AF10" s="284"/>
      <c r="AG10" s="43"/>
    </row>
    <row r="11" spans="1:33" s="176" customFormat="1" ht="30" customHeight="1">
      <c r="A11" s="172">
        <f t="shared" si="9"/>
        <v>7</v>
      </c>
      <c r="B11" s="172">
        <v>1688</v>
      </c>
      <c r="C11" s="172" t="s">
        <v>63</v>
      </c>
      <c r="D11" s="173">
        <v>15133000</v>
      </c>
      <c r="E11" s="173">
        <v>15133000</v>
      </c>
      <c r="F11" s="173">
        <f t="shared" si="0"/>
        <v>0</v>
      </c>
      <c r="G11" s="173">
        <v>15133000</v>
      </c>
      <c r="H11" s="173">
        <v>15133000</v>
      </c>
      <c r="I11" s="173">
        <v>0</v>
      </c>
      <c r="J11" s="173">
        <v>0</v>
      </c>
      <c r="K11" s="4">
        <f t="shared" si="1"/>
        <v>0</v>
      </c>
      <c r="L11" s="4">
        <f t="shared" si="2"/>
        <v>15133000</v>
      </c>
      <c r="M11" s="4">
        <f t="shared" si="3"/>
        <v>0</v>
      </c>
      <c r="N11" s="4"/>
      <c r="O11" s="4">
        <f t="shared" si="4"/>
        <v>0</v>
      </c>
      <c r="P11" s="4">
        <f t="shared" si="5"/>
        <v>0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0</v>
      </c>
      <c r="V11" s="4">
        <f t="shared" si="10"/>
        <v>0</v>
      </c>
      <c r="W11" s="4"/>
      <c r="X11" s="4"/>
      <c r="Y11" s="4"/>
      <c r="Z11" s="4"/>
      <c r="AA11" s="4"/>
      <c r="AB11" s="172" t="s">
        <v>486</v>
      </c>
      <c r="AC11" s="172">
        <v>990000</v>
      </c>
      <c r="AD11" s="32"/>
      <c r="AE11" s="284"/>
      <c r="AF11" s="284"/>
      <c r="AG11" s="43"/>
    </row>
    <row r="12" spans="1:33" s="176" customFormat="1" ht="56">
      <c r="A12" s="172">
        <f t="shared" si="9"/>
        <v>8</v>
      </c>
      <c r="B12" s="172">
        <v>2100</v>
      </c>
      <c r="C12" s="172" t="s">
        <v>483</v>
      </c>
      <c r="D12" s="173">
        <f>8874955-1000000</f>
        <v>7874955</v>
      </c>
      <c r="E12" s="173">
        <v>8874955</v>
      </c>
      <c r="F12" s="173">
        <f>D12-E12</f>
        <v>-1000000</v>
      </c>
      <c r="G12" s="173">
        <v>8874955</v>
      </c>
      <c r="H12" s="173">
        <v>1275167</v>
      </c>
      <c r="I12" s="173">
        <v>9100</v>
      </c>
      <c r="J12" s="173">
        <v>938892</v>
      </c>
      <c r="K12" s="4">
        <f t="shared" si="1"/>
        <v>947992</v>
      </c>
      <c r="L12" s="4">
        <f t="shared" si="2"/>
        <v>2223159</v>
      </c>
      <c r="M12" s="4">
        <f>P12+S12-1000000-3000000-32543-376000</f>
        <v>2243253</v>
      </c>
      <c r="N12" s="4"/>
      <c r="O12" s="4">
        <f t="shared" si="4"/>
        <v>3408543</v>
      </c>
      <c r="P12" s="4">
        <f t="shared" si="5"/>
        <v>6651796</v>
      </c>
      <c r="Q12" s="4"/>
      <c r="R12" s="4"/>
      <c r="S12" s="4">
        <f t="shared" si="6"/>
        <v>0</v>
      </c>
      <c r="T12" s="4">
        <f t="shared" si="7"/>
        <v>4408543</v>
      </c>
      <c r="U12" s="4">
        <f t="shared" si="8"/>
        <v>-4408543</v>
      </c>
      <c r="V12" s="4">
        <f>-475269-33456</f>
        <v>-508725</v>
      </c>
      <c r="W12" s="4">
        <f>U12-V12</f>
        <v>-3899818</v>
      </c>
      <c r="X12" s="4"/>
      <c r="Y12" s="4"/>
      <c r="Z12" s="4"/>
      <c r="AA12" s="4"/>
      <c r="AB12" s="172" t="s">
        <v>484</v>
      </c>
      <c r="AC12" s="172">
        <v>742000</v>
      </c>
      <c r="AD12" s="284"/>
      <c r="AE12" s="284"/>
      <c r="AF12" s="284"/>
    </row>
    <row r="13" spans="1:33" s="5" customFormat="1" ht="56">
      <c r="A13" s="172">
        <f t="shared" si="9"/>
        <v>9</v>
      </c>
      <c r="B13" s="31">
        <v>2222</v>
      </c>
      <c r="C13" s="172" t="s">
        <v>1729</v>
      </c>
      <c r="D13" s="4">
        <v>10000000</v>
      </c>
      <c r="E13" s="4"/>
      <c r="F13" s="4">
        <f>D13-E13</f>
        <v>10000000</v>
      </c>
      <c r="G13" s="4">
        <v>0</v>
      </c>
      <c r="H13" s="4">
        <v>0</v>
      </c>
      <c r="I13" s="4">
        <v>0</v>
      </c>
      <c r="J13" s="4">
        <v>0</v>
      </c>
      <c r="K13" s="4">
        <f>SUM(I13:J13)</f>
        <v>0</v>
      </c>
      <c r="L13" s="4">
        <f>H13+K13</f>
        <v>0</v>
      </c>
      <c r="M13" s="4">
        <f>P13+S13</f>
        <v>0</v>
      </c>
      <c r="N13" s="4">
        <f>5000000-1000000</f>
        <v>4000000</v>
      </c>
      <c r="O13" s="4">
        <f>D13-L13-M13-N13</f>
        <v>6000000</v>
      </c>
      <c r="P13" s="4">
        <f>G13-L13</f>
        <v>0</v>
      </c>
      <c r="Q13" s="4"/>
      <c r="R13" s="4"/>
      <c r="S13" s="4">
        <f>SUM(Q13:R13)</f>
        <v>0</v>
      </c>
      <c r="T13" s="4">
        <f>P13-M13+S13</f>
        <v>0</v>
      </c>
      <c r="U13" s="4">
        <f>N13-T13</f>
        <v>4000000</v>
      </c>
      <c r="V13" s="4"/>
      <c r="W13" s="4">
        <f>U13-V13</f>
        <v>4000000</v>
      </c>
      <c r="X13" s="4"/>
      <c r="Y13" s="4"/>
      <c r="Z13" s="4"/>
      <c r="AA13" s="4"/>
      <c r="AB13" s="172" t="s">
        <v>1441</v>
      </c>
      <c r="AC13" s="3">
        <v>742000</v>
      </c>
      <c r="AD13" s="6"/>
      <c r="AE13" s="6"/>
    </row>
    <row r="14" spans="1:33" s="426" customFormat="1" ht="30" customHeight="1">
      <c r="A14" s="346">
        <f>A13</f>
        <v>9</v>
      </c>
      <c r="B14" s="346"/>
      <c r="C14" s="33" t="s">
        <v>473</v>
      </c>
      <c r="D14" s="425">
        <f>SUM(D5:D13)</f>
        <v>135032955</v>
      </c>
      <c r="E14" s="425">
        <f t="shared" ref="E14:AA14" si="11">SUM(E5:E13)</f>
        <v>125532955</v>
      </c>
      <c r="F14" s="425">
        <f t="shared" si="11"/>
        <v>9500000</v>
      </c>
      <c r="G14" s="425">
        <f t="shared" si="11"/>
        <v>96529849</v>
      </c>
      <c r="H14" s="425">
        <f t="shared" si="11"/>
        <v>77482409</v>
      </c>
      <c r="I14" s="425">
        <f t="shared" si="11"/>
        <v>9100</v>
      </c>
      <c r="J14" s="425">
        <f t="shared" si="11"/>
        <v>3371919</v>
      </c>
      <c r="K14" s="425">
        <f t="shared" si="11"/>
        <v>3381019</v>
      </c>
      <c r="L14" s="425">
        <f t="shared" si="11"/>
        <v>80863428</v>
      </c>
      <c r="M14" s="425">
        <f t="shared" si="11"/>
        <v>11257878</v>
      </c>
      <c r="N14" s="425">
        <f t="shared" si="11"/>
        <v>8300000</v>
      </c>
      <c r="O14" s="425">
        <f t="shared" si="11"/>
        <v>34611649</v>
      </c>
      <c r="P14" s="425">
        <f t="shared" si="11"/>
        <v>15666421</v>
      </c>
      <c r="Q14" s="425">
        <f t="shared" si="11"/>
        <v>0</v>
      </c>
      <c r="R14" s="425">
        <f t="shared" si="11"/>
        <v>0</v>
      </c>
      <c r="S14" s="425">
        <f t="shared" si="11"/>
        <v>0</v>
      </c>
      <c r="T14" s="425">
        <f t="shared" si="11"/>
        <v>4408543</v>
      </c>
      <c r="U14" s="425">
        <f t="shared" si="11"/>
        <v>3891457</v>
      </c>
      <c r="V14" s="425">
        <f t="shared" si="11"/>
        <v>-508725</v>
      </c>
      <c r="W14" s="425">
        <f t="shared" si="11"/>
        <v>3689887</v>
      </c>
      <c r="X14" s="425">
        <f t="shared" si="11"/>
        <v>0</v>
      </c>
      <c r="Y14" s="425">
        <f t="shared" si="11"/>
        <v>0</v>
      </c>
      <c r="Z14" s="425">
        <f t="shared" si="11"/>
        <v>0</v>
      </c>
      <c r="AA14" s="425">
        <f t="shared" si="11"/>
        <v>710295</v>
      </c>
      <c r="AB14" s="425"/>
      <c r="AC14" s="346"/>
    </row>
    <row r="15" spans="1:33" hidden="1">
      <c r="L15" s="167">
        <f>K14+H14</f>
        <v>80863428</v>
      </c>
      <c r="M15" s="167">
        <f>P15+S14-T14</f>
        <v>11257878</v>
      </c>
      <c r="P15" s="167">
        <f>G14-L15</f>
        <v>15666421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 AD13:AE14">
    <cfRule type="cellIs" dxfId="18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8" max="16383" man="1"/>
  </rowBreaks>
  <drawing r:id="rId2"/>
  <legacy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0"/>
  <sheetViews>
    <sheetView showZeros="0" rightToLeft="1" zoomScaleNormal="100" workbookViewId="0">
      <pane xSplit="3" ySplit="4" topLeftCell="D14" activePane="bottomRight" state="frozen"/>
      <selection activeCell="C44" sqref="C44"/>
      <selection pane="topRight" activeCell="C44" sqref="C44"/>
      <selection pane="bottomLeft" activeCell="C44" sqref="C44"/>
      <selection pane="bottomRight" activeCell="AC1" sqref="AC1:AC1048576"/>
    </sheetView>
  </sheetViews>
  <sheetFormatPr defaultColWidth="9.08984375" defaultRowHeight="18"/>
  <cols>
    <col min="1" max="1" width="3.36328125" style="286" customWidth="1"/>
    <col min="2" max="2" width="4.81640625" style="166" customWidth="1"/>
    <col min="3" max="3" width="22.6328125" style="166" customWidth="1"/>
    <col min="4" max="4" width="9.81640625" style="167" customWidth="1"/>
    <col min="5" max="5" width="10" style="167" hidden="1" customWidth="1"/>
    <col min="6" max="6" width="9" style="167" hidden="1" customWidth="1"/>
    <col min="7" max="11" width="9.6328125" style="167" hidden="1" customWidth="1"/>
    <col min="12" max="12" width="9" style="167" customWidth="1"/>
    <col min="13" max="13" width="9.08984375" style="167" customWidth="1"/>
    <col min="14" max="14" width="9" style="167" customWidth="1"/>
    <col min="15" max="15" width="9.81640625" style="167" customWidth="1"/>
    <col min="16" max="19" width="9.6328125" style="167" hidden="1" customWidth="1"/>
    <col min="20" max="20" width="8.453125" style="167" customWidth="1"/>
    <col min="21" max="21" width="9.453125" style="166" customWidth="1"/>
    <col min="22" max="22" width="9.54296875" style="166" customWidth="1"/>
    <col min="23" max="23" width="8.08984375" style="166" customWidth="1"/>
    <col min="24" max="26" width="11.90625" style="166" hidden="1" customWidth="1"/>
    <col min="27" max="27" width="7" style="166" customWidth="1"/>
    <col min="28" max="28" width="34" style="183" customWidth="1"/>
    <col min="29" max="29" width="7.90625" style="166" hidden="1" customWidth="1"/>
    <col min="30" max="30" width="21.08984375" style="284" customWidth="1"/>
    <col min="31" max="31" width="15.08984375" style="284" customWidth="1"/>
    <col min="32" max="32" width="11.54296875" style="284" customWidth="1"/>
    <col min="33" max="33" width="9.08984375" style="166" customWidth="1"/>
    <col min="34" max="16384" width="9.08984375" style="166"/>
  </cols>
  <sheetData>
    <row r="1" spans="1:33" s="284" customFormat="1">
      <c r="A1" s="768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312"/>
      <c r="Y1" s="312"/>
      <c r="Z1" s="312"/>
      <c r="AB1" s="285"/>
    </row>
    <row r="2" spans="1:33">
      <c r="A2" s="282" t="s">
        <v>288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4" spans="1:33" s="308" customFormat="1" ht="86.25" customHeight="1">
      <c r="A4" s="192" t="s">
        <v>0</v>
      </c>
      <c r="B4" s="192" t="s">
        <v>1</v>
      </c>
      <c r="C4" s="192" t="s">
        <v>2</v>
      </c>
      <c r="D4" s="192" t="s">
        <v>3</v>
      </c>
      <c r="E4" s="192" t="s">
        <v>4</v>
      </c>
      <c r="F4" s="192" t="s">
        <v>5</v>
      </c>
      <c r="G4" s="192" t="s">
        <v>6</v>
      </c>
      <c r="H4" s="192" t="s">
        <v>7</v>
      </c>
      <c r="I4" s="192" t="s">
        <v>9</v>
      </c>
      <c r="J4" s="192" t="s">
        <v>178</v>
      </c>
      <c r="K4" s="192" t="s">
        <v>10</v>
      </c>
      <c r="L4" s="192" t="s">
        <v>11</v>
      </c>
      <c r="M4" s="9" t="s">
        <v>936</v>
      </c>
      <c r="N4" s="9" t="s">
        <v>937</v>
      </c>
      <c r="O4" s="9" t="s">
        <v>938</v>
      </c>
      <c r="P4" s="9" t="s">
        <v>12</v>
      </c>
      <c r="Q4" s="9" t="s">
        <v>939</v>
      </c>
      <c r="R4" s="9" t="s">
        <v>940</v>
      </c>
      <c r="S4" s="9" t="s">
        <v>941</v>
      </c>
      <c r="T4" s="9" t="s">
        <v>942</v>
      </c>
      <c r="U4" s="560" t="s">
        <v>943</v>
      </c>
      <c r="V4" s="192" t="s">
        <v>13</v>
      </c>
      <c r="W4" s="192" t="s">
        <v>14</v>
      </c>
      <c r="X4" s="192" t="s">
        <v>15</v>
      </c>
      <c r="Y4" s="192" t="s">
        <v>301</v>
      </c>
      <c r="Z4" s="192" t="s">
        <v>1391</v>
      </c>
      <c r="AA4" s="192" t="s">
        <v>91</v>
      </c>
      <c r="AB4" s="592" t="s">
        <v>344</v>
      </c>
      <c r="AC4" s="192" t="s">
        <v>16</v>
      </c>
      <c r="AD4" s="284"/>
      <c r="AE4" s="284"/>
      <c r="AF4" s="284"/>
    </row>
    <row r="5" spans="1:33" s="5" customFormat="1" ht="41.4" customHeight="1">
      <c r="A5" s="172">
        <v>1</v>
      </c>
      <c r="B5" s="3">
        <f>'תקציב מינהל כללי 2021  '!B10</f>
        <v>1422</v>
      </c>
      <c r="C5" s="280" t="str">
        <f>'תקציב מינהל כללי 2021  '!C10</f>
        <v>הפרשה בגין תביעות תלויות</v>
      </c>
      <c r="D5" s="4">
        <f>'תקציב מינהל כללי 2021  '!D10</f>
        <v>30257000</v>
      </c>
      <c r="E5" s="4">
        <f>'תקציב מינהל כללי 2021  '!E10</f>
        <v>30257000</v>
      </c>
      <c r="F5" s="4">
        <f>'תקציב מינהל כללי 2021  '!F10</f>
        <v>0</v>
      </c>
      <c r="G5" s="4">
        <f>'תקציב מינהל כללי 2021  '!G10</f>
        <v>14182000</v>
      </c>
      <c r="H5" s="4">
        <f>'תקציב מינהל כללי 2021  '!H10</f>
        <v>7257000</v>
      </c>
      <c r="I5" s="4">
        <f>'תקציב מינהל כללי 2021  '!I10</f>
        <v>0</v>
      </c>
      <c r="J5" s="4">
        <f>'תקציב מינהל כללי 2021  '!J10</f>
        <v>0</v>
      </c>
      <c r="K5" s="4">
        <f>'תקציב מינהל כללי 2021  '!K10</f>
        <v>0</v>
      </c>
      <c r="L5" s="4">
        <f>'תקציב מינהל כללי 2021  '!L10</f>
        <v>7257000</v>
      </c>
      <c r="M5" s="4">
        <f>'תקציב מינהל כללי 2021  '!M10</f>
        <v>6925000</v>
      </c>
      <c r="N5" s="4">
        <f>'תקציב מינהל כללי 2021  '!N10</f>
        <v>0</v>
      </c>
      <c r="O5" s="4">
        <f>'תקציב מינהל כללי 2021  '!O10</f>
        <v>16075000</v>
      </c>
      <c r="P5" s="4">
        <f>'תקציב מינהל כללי 2021  '!P10</f>
        <v>6925000</v>
      </c>
      <c r="Q5" s="4">
        <f>'תקציב מינהל כללי 2021  '!Q10</f>
        <v>0</v>
      </c>
      <c r="R5" s="4">
        <f>'תקציב מינהל כללי 2021  '!R10</f>
        <v>0</v>
      </c>
      <c r="S5" s="4">
        <f>'תקציב מינהל כללי 2021  '!S10</f>
        <v>0</v>
      </c>
      <c r="T5" s="4">
        <f>'תקציב מינהל כללי 2021  '!T10</f>
        <v>0</v>
      </c>
      <c r="U5" s="4">
        <f>'תקציב מינהל כללי 2021  '!U10</f>
        <v>0</v>
      </c>
      <c r="V5" s="4">
        <f>'תקציב מינהל כללי 2021  '!V10</f>
        <v>0</v>
      </c>
      <c r="W5" s="4">
        <f>'תקציב מינהל כללי 2021  '!W10</f>
        <v>0</v>
      </c>
      <c r="X5" s="4">
        <f>'תקציב מינהל כללי 2021  '!X10</f>
        <v>0</v>
      </c>
      <c r="Y5" s="4">
        <f>'תקציב מינהל כללי 2021  '!Y10</f>
        <v>0</v>
      </c>
      <c r="Z5" s="4">
        <f>'תקציב מינהל כללי 2021  '!Z10</f>
        <v>0</v>
      </c>
      <c r="AA5" s="4">
        <f>'תקציב מינהל כללי 2021  '!AA10</f>
        <v>0</v>
      </c>
      <c r="AB5" s="326" t="str">
        <f>'תקציב מינהל כללי 2021  '!AB10</f>
        <v>הפרשה לתביעות תלויות בעקבות הנחיית אגף הביקורת של משה"פ במסגרת הדוחות הכספיים.</v>
      </c>
      <c r="AC5" s="3">
        <f>'תקציב מינהל כללי 2021  '!AC10</f>
        <v>730000</v>
      </c>
      <c r="AD5" s="32"/>
      <c r="AE5" s="284"/>
      <c r="AF5" s="284"/>
      <c r="AG5" s="43"/>
    </row>
    <row r="6" spans="1:33" s="70" customFormat="1" ht="41.4" customHeight="1">
      <c r="A6" s="291"/>
      <c r="B6" s="33"/>
      <c r="C6" s="412" t="s">
        <v>1476</v>
      </c>
      <c r="D6" s="73">
        <f>SUM(D5)</f>
        <v>30257000</v>
      </c>
      <c r="E6" s="73">
        <f t="shared" ref="E6:AA6" si="0">SUM(E5)</f>
        <v>30257000</v>
      </c>
      <c r="F6" s="73">
        <f t="shared" si="0"/>
        <v>0</v>
      </c>
      <c r="G6" s="73">
        <f t="shared" si="0"/>
        <v>14182000</v>
      </c>
      <c r="H6" s="73">
        <f t="shared" si="0"/>
        <v>7257000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7257000</v>
      </c>
      <c r="M6" s="73">
        <f t="shared" si="0"/>
        <v>6925000</v>
      </c>
      <c r="N6" s="73">
        <f t="shared" si="0"/>
        <v>0</v>
      </c>
      <c r="O6" s="73">
        <f t="shared" si="0"/>
        <v>16075000</v>
      </c>
      <c r="P6" s="73">
        <f t="shared" si="0"/>
        <v>6925000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73">
        <f t="shared" si="0"/>
        <v>0</v>
      </c>
      <c r="AA6" s="73">
        <f t="shared" si="0"/>
        <v>0</v>
      </c>
      <c r="AB6" s="423"/>
      <c r="AC6" s="33"/>
      <c r="AD6" s="333"/>
      <c r="AE6" s="334"/>
      <c r="AF6" s="334"/>
      <c r="AG6" s="335"/>
    </row>
    <row r="7" spans="1:33" s="5" customFormat="1" ht="42">
      <c r="A7" s="172">
        <f>A5+1</f>
        <v>2</v>
      </c>
      <c r="B7" s="3">
        <f>'תקציב מינהל כללי 2021  '!B6</f>
        <v>1032</v>
      </c>
      <c r="C7" s="280" t="str">
        <f>'תקציב מינהל כללי 2021  '!C6</f>
        <v>נגישות לאנשים עם מוגבלויות</v>
      </c>
      <c r="D7" s="4">
        <f>'תקציב מינהל כללי 2021  '!D6</f>
        <v>40500000</v>
      </c>
      <c r="E7" s="4">
        <f>'תקציב מינהל כללי 2021  '!E6</f>
        <v>40500000</v>
      </c>
      <c r="F7" s="4">
        <f>'תקציב מינהל כללי 2021  '!F6</f>
        <v>0</v>
      </c>
      <c r="G7" s="4">
        <f>'תקציב מינהל כללי 2021  '!G6</f>
        <v>30940000</v>
      </c>
      <c r="H7" s="4">
        <f>'תקציב מינהל כללי 2021  '!H6</f>
        <v>28014837</v>
      </c>
      <c r="I7" s="4">
        <f>'תקציב מינהל כללי 2021  '!I6</f>
        <v>0</v>
      </c>
      <c r="J7" s="4">
        <f>'תקציב מינהל כללי 2021  '!J6</f>
        <v>1758860</v>
      </c>
      <c r="K7" s="4">
        <f>'תקציב מינהל כללי 2021  '!K6</f>
        <v>1758860</v>
      </c>
      <c r="L7" s="4">
        <f>'תקציב מינהל כללי 2021  '!L6</f>
        <v>29773697</v>
      </c>
      <c r="M7" s="4">
        <f>'תקציב מינהל כללי 2021  '!M6</f>
        <v>1166303</v>
      </c>
      <c r="N7" s="4">
        <f>'תקציב מינהל כללי 2021  '!N6</f>
        <v>3000000</v>
      </c>
      <c r="O7" s="4">
        <f>'תקציב מינהל כללי 2021  '!O6</f>
        <v>6560000</v>
      </c>
      <c r="P7" s="4">
        <f>'תקציב מינהל כללי 2021  '!P6</f>
        <v>1166303</v>
      </c>
      <c r="Q7" s="4">
        <f>'תקציב מינהל כללי 2021  '!Q6</f>
        <v>0</v>
      </c>
      <c r="R7" s="4">
        <f>'תקציב מינהל כללי 2021  '!R6</f>
        <v>0</v>
      </c>
      <c r="S7" s="4">
        <f>'תקציב מינהל כללי 2021  '!S6</f>
        <v>0</v>
      </c>
      <c r="T7" s="4">
        <f>'תקציב מינהל כללי 2021  '!T6</f>
        <v>0</v>
      </c>
      <c r="U7" s="4">
        <f>'תקציב מינהל כללי 2021  '!U6</f>
        <v>3000000</v>
      </c>
      <c r="V7" s="4">
        <f>'תקציב מינהל כללי 2021  '!V6</f>
        <v>0</v>
      </c>
      <c r="W7" s="4">
        <f>'תקציב מינהל כללי 2021  '!W6</f>
        <v>2289705</v>
      </c>
      <c r="X7" s="4">
        <f>'תקציב מינהל כללי 2021  '!X6</f>
        <v>0</v>
      </c>
      <c r="Y7" s="4">
        <f>'תקציב מינהל כללי 2021  '!Y6</f>
        <v>0</v>
      </c>
      <c r="Z7" s="4">
        <f>'תקציב מינהל כללי 2021  '!Z6</f>
        <v>0</v>
      </c>
      <c r="AA7" s="4">
        <f>'תקציב מינהל כללי 2021  '!AA6</f>
        <v>710295</v>
      </c>
      <c r="AB7" s="326" t="str">
        <f>'תקציב מינהל כללי 2021  '!AB6</f>
        <v xml:space="preserve">עבודות הנגשה של מרחב ציבורי ומבני ציבור כנדרש עפ"י החוק עפ"י תוכנית רב שנתית. 2021-מימון מ. החינוך רעות. </v>
      </c>
      <c r="AC7" s="3">
        <f>'תקציב מינהל כללי 2021  '!AC6</f>
        <v>742000</v>
      </c>
      <c r="AD7" s="32"/>
      <c r="AE7" s="284"/>
      <c r="AF7" s="284"/>
      <c r="AG7" s="43"/>
    </row>
    <row r="8" spans="1:33" s="176" customFormat="1" ht="56">
      <c r="A8" s="172">
        <f t="shared" ref="A8:A13" si="1">A7+1</f>
        <v>3</v>
      </c>
      <c r="B8" s="3">
        <f>'תקציב מינהל כללי 2021  '!B7</f>
        <v>1130</v>
      </c>
      <c r="C8" s="280" t="str">
        <f>'תקציב מינהל כללי 2021  '!C7</f>
        <v>פרויקטים תחבורתיים בעיר</v>
      </c>
      <c r="D8" s="4">
        <f>'תקציב מינהל כללי 2021  '!D7</f>
        <v>16000000</v>
      </c>
      <c r="E8" s="4">
        <f>'תקציב מינהל כללי 2021  '!E7</f>
        <v>16000000</v>
      </c>
      <c r="F8" s="4">
        <f>'תקציב מינהל כללי 2021  '!F7</f>
        <v>0</v>
      </c>
      <c r="G8" s="4">
        <f>'תקציב מינהל כללי 2021  '!G7</f>
        <v>13981894</v>
      </c>
      <c r="H8" s="4">
        <f>'תקציב מינהל כללי 2021  '!H7</f>
        <v>13203937</v>
      </c>
      <c r="I8" s="4">
        <f>'תקציב מינהל כללי 2021  '!I7</f>
        <v>0</v>
      </c>
      <c r="J8" s="4">
        <f>'תקציב מינהל כללי 2021  '!J7</f>
        <v>486670</v>
      </c>
      <c r="K8" s="4">
        <f>'תקציב מינהל כללי 2021  '!K7</f>
        <v>486670</v>
      </c>
      <c r="L8" s="4">
        <f>'תקציב מינהל כללי 2021  '!L7</f>
        <v>13690607</v>
      </c>
      <c r="M8" s="4">
        <f>'תקציב מינהל כללי 2021  '!M7</f>
        <v>291287</v>
      </c>
      <c r="N8" s="4">
        <f>'תקציב מינהל כללי 2021  '!N7</f>
        <v>300000</v>
      </c>
      <c r="O8" s="4">
        <f>'תקציב מינהל כללי 2021  '!O7</f>
        <v>1718106</v>
      </c>
      <c r="P8" s="4">
        <f>'תקציב מינהל כללי 2021  '!P7</f>
        <v>291287</v>
      </c>
      <c r="Q8" s="4">
        <f>'תקציב מינהל כללי 2021  '!Q7</f>
        <v>0</v>
      </c>
      <c r="R8" s="4">
        <f>'תקציב מינהל כללי 2021  '!R7</f>
        <v>0</v>
      </c>
      <c r="S8" s="4">
        <f>'תקציב מינהל כללי 2021  '!S7</f>
        <v>0</v>
      </c>
      <c r="T8" s="4">
        <f>'תקציב מינהל כללי 2021  '!T7</f>
        <v>0</v>
      </c>
      <c r="U8" s="4">
        <f>'תקציב מינהל כללי 2021  '!U7</f>
        <v>300000</v>
      </c>
      <c r="V8" s="4">
        <f>'תקציב מינהל כללי 2021  '!V7</f>
        <v>0</v>
      </c>
      <c r="W8" s="4">
        <f>'תקציב מינהל כללי 2021  '!W7</f>
        <v>300000</v>
      </c>
      <c r="X8" s="4">
        <f>'תקציב מינהל כללי 2021  '!X7</f>
        <v>0</v>
      </c>
      <c r="Y8" s="4">
        <f>'תקציב מינהל כללי 2021  '!Y7</f>
        <v>0</v>
      </c>
      <c r="Z8" s="4">
        <f>'תקציב מינהל כללי 2021  '!Z7</f>
        <v>0</v>
      </c>
      <c r="AA8" s="4">
        <f>'תקציב מינהל כללי 2021  '!AA7</f>
        <v>0</v>
      </c>
      <c r="AB8" s="326" t="str">
        <f>'תקציב מינהל כללי 2021  '!AB7</f>
        <v xml:space="preserve">מסגרת עבודות של  פרויקטים תחבורתיים עפ"י החלטות ועדת תנועה ופניות הציבור : הסדרים בטיחותיים של צמתים , הסדרי חניה ותכנון תנועתי חדש. </v>
      </c>
      <c r="AC8" s="3">
        <f>'תקציב מינהל כללי 2021  '!AC7</f>
        <v>742000</v>
      </c>
      <c r="AD8" s="32"/>
      <c r="AE8" s="284"/>
      <c r="AF8" s="284"/>
      <c r="AG8" s="43"/>
    </row>
    <row r="9" spans="1:33" s="176" customFormat="1" ht="42">
      <c r="A9" s="172">
        <f t="shared" si="1"/>
        <v>4</v>
      </c>
      <c r="B9" s="3">
        <f>'תקציב מינהל כללי 2021  '!B12</f>
        <v>2100</v>
      </c>
      <c r="C9" s="280" t="str">
        <f>'תקציב מינהל כללי 2021  '!C12</f>
        <v>פרויקטים דחופים בצ"מ 2019/2020</v>
      </c>
      <c r="D9" s="4">
        <f>'תקציב מינהל כללי 2021  '!D12</f>
        <v>7874955</v>
      </c>
      <c r="E9" s="4">
        <f>'תקציב מינהל כללי 2021  '!E12</f>
        <v>8874955</v>
      </c>
      <c r="F9" s="4">
        <f>'תקציב מינהל כללי 2021  '!F12</f>
        <v>-1000000</v>
      </c>
      <c r="G9" s="4">
        <f>'תקציב מינהל כללי 2021  '!G12</f>
        <v>8874955</v>
      </c>
      <c r="H9" s="4">
        <f>'תקציב מינהל כללי 2021  '!H12</f>
        <v>1275167</v>
      </c>
      <c r="I9" s="4">
        <f>'תקציב מינהל כללי 2021  '!I12</f>
        <v>9100</v>
      </c>
      <c r="J9" s="4">
        <f>'תקציב מינהל כללי 2021  '!J12</f>
        <v>938892</v>
      </c>
      <c r="K9" s="4">
        <f>'תקציב מינהל כללי 2021  '!K12</f>
        <v>947992</v>
      </c>
      <c r="L9" s="4">
        <f>'תקציב מינהל כללי 2021  '!L12</f>
        <v>2223159</v>
      </c>
      <c r="M9" s="4">
        <f>'תקציב מינהל כללי 2021  '!M12</f>
        <v>2243253</v>
      </c>
      <c r="N9" s="4">
        <f>'תקציב מינהל כללי 2021  '!N12</f>
        <v>0</v>
      </c>
      <c r="O9" s="4">
        <f>'תקציב מינהל כללי 2021  '!O12</f>
        <v>3408543</v>
      </c>
      <c r="P9" s="4">
        <f>'תקציב מינהל כללי 2021  '!P12</f>
        <v>6651796</v>
      </c>
      <c r="Q9" s="4">
        <f>'תקציב מינהל כללי 2021  '!Q12</f>
        <v>0</v>
      </c>
      <c r="R9" s="4">
        <f>'תקציב מינהל כללי 2021  '!R12</f>
        <v>0</v>
      </c>
      <c r="S9" s="4">
        <f>'תקציב מינהל כללי 2021  '!S12</f>
        <v>0</v>
      </c>
      <c r="T9" s="4">
        <f>'תקציב מינהל כללי 2021  '!T12</f>
        <v>4408543</v>
      </c>
      <c r="U9" s="4">
        <f>'תקציב מינהל כללי 2021  '!U12</f>
        <v>-4408543</v>
      </c>
      <c r="V9" s="4">
        <f>'תקציב מינהל כללי 2021  '!V12</f>
        <v>-508725</v>
      </c>
      <c r="W9" s="4">
        <f>'תקציב מינהל כללי 2021  '!W12</f>
        <v>-3899818</v>
      </c>
      <c r="X9" s="4">
        <f>'תקציב מינהל כללי 2021  '!X12</f>
        <v>0</v>
      </c>
      <c r="Y9" s="4">
        <f>'תקציב מינהל כללי 2021  '!Y12</f>
        <v>0</v>
      </c>
      <c r="Z9" s="4">
        <f>'תקציב מינהל כללי 2021  '!Z12</f>
        <v>0</v>
      </c>
      <c r="AA9" s="4">
        <f>'תקציב מינהל כללי 2021  '!AA12</f>
        <v>0</v>
      </c>
      <c r="AB9" s="326" t="str">
        <f>'תקציב מינהל כללי 2021  '!AB12</f>
        <v>עב' פיתוח דחופות בלתי צפויות, מימוני ביניים, שיתעוררו במהלך השנה ויבוצעו עפ"י החלטות הנהלת העיר. שנים 2019/2020.</v>
      </c>
      <c r="AC9" s="3">
        <f>'תקציב מינהל כללי 2021  '!AC12</f>
        <v>742000</v>
      </c>
      <c r="AD9" s="284"/>
      <c r="AE9" s="284"/>
      <c r="AF9" s="284"/>
    </row>
    <row r="10" spans="1:33" s="176" customFormat="1" ht="41.4" customHeight="1">
      <c r="A10" s="172">
        <f t="shared" si="1"/>
        <v>5</v>
      </c>
      <c r="B10" s="3">
        <f>'תקציב מינהל כללי 2021  '!B13</f>
        <v>2222</v>
      </c>
      <c r="C10" s="280" t="str">
        <f>'תקציב מינהל כללי 2021  '!C13</f>
        <v>פרויקטים דחופים בצ"מ 2021/2022</v>
      </c>
      <c r="D10" s="4">
        <f>'תקציב מינהל כללי 2021  '!D13</f>
        <v>10000000</v>
      </c>
      <c r="E10" s="4">
        <f>'תקציב מינהל כללי 2021  '!E13</f>
        <v>0</v>
      </c>
      <c r="F10" s="4">
        <f>'תקציב מינהל כללי 2021  '!F13</f>
        <v>10000000</v>
      </c>
      <c r="G10" s="4">
        <f>'תקציב מינהל כללי 2021  '!G13</f>
        <v>0</v>
      </c>
      <c r="H10" s="4">
        <f>'תקציב מינהל כללי 2021  '!H13</f>
        <v>0</v>
      </c>
      <c r="I10" s="4">
        <f>'תקציב מינהל כללי 2021  '!I13</f>
        <v>0</v>
      </c>
      <c r="J10" s="4">
        <f>'תקציב מינהל כללי 2021  '!J13</f>
        <v>0</v>
      </c>
      <c r="K10" s="4">
        <f>'תקציב מינהל כללי 2021  '!K13</f>
        <v>0</v>
      </c>
      <c r="L10" s="4">
        <f>'תקציב מינהל כללי 2021  '!L13</f>
        <v>0</v>
      </c>
      <c r="M10" s="4">
        <f>'תקציב מינהל כללי 2021  '!M13</f>
        <v>0</v>
      </c>
      <c r="N10" s="4">
        <f>'תקציב מינהל כללי 2021  '!N13</f>
        <v>4000000</v>
      </c>
      <c r="O10" s="4">
        <f>'תקציב מינהל כללי 2021  '!O13</f>
        <v>6000000</v>
      </c>
      <c r="P10" s="4">
        <f>'תקציב מינהל כללי 2021  '!P13</f>
        <v>0</v>
      </c>
      <c r="Q10" s="4">
        <f>'תקציב מינהל כללי 2021  '!Q13</f>
        <v>0</v>
      </c>
      <c r="R10" s="4">
        <f>'תקציב מינהל כללי 2021  '!R13</f>
        <v>0</v>
      </c>
      <c r="S10" s="4">
        <f>'תקציב מינהל כללי 2021  '!S13</f>
        <v>0</v>
      </c>
      <c r="T10" s="4">
        <f>'תקציב מינהל כללי 2021  '!T13</f>
        <v>0</v>
      </c>
      <c r="U10" s="4">
        <f>'תקציב מינהל כללי 2021  '!U13</f>
        <v>4000000</v>
      </c>
      <c r="V10" s="4">
        <f>'תקציב מינהל כללי 2021  '!V13</f>
        <v>0</v>
      </c>
      <c r="W10" s="4">
        <f>'תקציב מינהל כללי 2021  '!W13</f>
        <v>4000000</v>
      </c>
      <c r="X10" s="4">
        <f>'תקציב מינהל כללי 2021  '!X13</f>
        <v>0</v>
      </c>
      <c r="Y10" s="4">
        <f>'תקציב מינהל כללי 2021  '!Y13</f>
        <v>0</v>
      </c>
      <c r="Z10" s="4">
        <f>'תקציב מינהל כללי 2021  '!Z13</f>
        <v>0</v>
      </c>
      <c r="AA10" s="4">
        <f>'תקציב מינהל כללי 2021  '!AA13</f>
        <v>0</v>
      </c>
      <c r="AB10" s="326" t="str">
        <f>'תקציב מינהל כללי 2021  '!AB13</f>
        <v xml:space="preserve">עב' פיתוח דחופות בלתי צפויות, מימוני ביניים, שיתעוררו במהלך השנה ויבוצעו עפ"י החלטות הנהלת העיר. שנים 2021/2022. </v>
      </c>
      <c r="AC10" s="3">
        <f>'תקציב מינהל כללי 2021  '!AC13</f>
        <v>742000</v>
      </c>
      <c r="AD10" s="6"/>
      <c r="AE10" s="6"/>
      <c r="AF10" s="5"/>
      <c r="AG10" s="5"/>
    </row>
    <row r="11" spans="1:33" s="332" customFormat="1" ht="41.4" customHeight="1">
      <c r="A11" s="291"/>
      <c r="B11" s="33"/>
      <c r="C11" s="412" t="s">
        <v>1477</v>
      </c>
      <c r="D11" s="73">
        <f>SUM(D7:D10)</f>
        <v>74374955</v>
      </c>
      <c r="E11" s="73">
        <f t="shared" ref="E11:AA11" si="2">SUM(E7:E10)</f>
        <v>65374955</v>
      </c>
      <c r="F11" s="73">
        <f t="shared" si="2"/>
        <v>9000000</v>
      </c>
      <c r="G11" s="73">
        <f t="shared" si="2"/>
        <v>53796849</v>
      </c>
      <c r="H11" s="73">
        <f t="shared" si="2"/>
        <v>42493941</v>
      </c>
      <c r="I11" s="73">
        <f t="shared" si="2"/>
        <v>9100</v>
      </c>
      <c r="J11" s="73">
        <f t="shared" si="2"/>
        <v>3184422</v>
      </c>
      <c r="K11" s="73">
        <f t="shared" si="2"/>
        <v>3193522</v>
      </c>
      <c r="L11" s="73">
        <f t="shared" si="2"/>
        <v>45687463</v>
      </c>
      <c r="M11" s="73">
        <f t="shared" si="2"/>
        <v>3700843</v>
      </c>
      <c r="N11" s="73">
        <f t="shared" si="2"/>
        <v>7300000</v>
      </c>
      <c r="O11" s="73">
        <f t="shared" si="2"/>
        <v>17686649</v>
      </c>
      <c r="P11" s="73">
        <f t="shared" si="2"/>
        <v>8109386</v>
      </c>
      <c r="Q11" s="73">
        <f t="shared" si="2"/>
        <v>0</v>
      </c>
      <c r="R11" s="73">
        <f t="shared" si="2"/>
        <v>0</v>
      </c>
      <c r="S11" s="73">
        <f t="shared" si="2"/>
        <v>0</v>
      </c>
      <c r="T11" s="73">
        <f t="shared" si="2"/>
        <v>4408543</v>
      </c>
      <c r="U11" s="73">
        <f t="shared" si="2"/>
        <v>2891457</v>
      </c>
      <c r="V11" s="73">
        <f t="shared" si="2"/>
        <v>-508725</v>
      </c>
      <c r="W11" s="73">
        <f t="shared" si="2"/>
        <v>2689887</v>
      </c>
      <c r="X11" s="73">
        <f t="shared" si="2"/>
        <v>0</v>
      </c>
      <c r="Y11" s="73">
        <f t="shared" si="2"/>
        <v>0</v>
      </c>
      <c r="Z11" s="73">
        <f t="shared" si="2"/>
        <v>0</v>
      </c>
      <c r="AA11" s="73">
        <f t="shared" si="2"/>
        <v>710295</v>
      </c>
      <c r="AB11" s="423"/>
      <c r="AC11" s="33"/>
      <c r="AD11" s="70"/>
      <c r="AE11" s="70"/>
      <c r="AF11" s="70"/>
      <c r="AG11" s="70"/>
    </row>
    <row r="12" spans="1:33" s="176" customFormat="1" ht="28">
      <c r="A12" s="172">
        <f>A10+1</f>
        <v>6</v>
      </c>
      <c r="B12" s="3">
        <f>'תקציב מינהל כללי 2021  '!B8</f>
        <v>1259</v>
      </c>
      <c r="C12" s="280" t="str">
        <f>'תקציב מינהל כללי 2021  '!C8</f>
        <v>מדידות נכסים לחיוב היטלי פיתוח</v>
      </c>
      <c r="D12" s="4">
        <f>'תקציב מינהל כללי 2021  '!D8</f>
        <v>5460000</v>
      </c>
      <c r="E12" s="4">
        <f>'תקציב מינהל כללי 2021  '!E8</f>
        <v>5460000</v>
      </c>
      <c r="F12" s="4">
        <f>'תקציב מינהל כללי 2021  '!F8</f>
        <v>0</v>
      </c>
      <c r="G12" s="4">
        <f>'תקציב מינהל כללי 2021  '!G8</f>
        <v>4110000</v>
      </c>
      <c r="H12" s="4">
        <f>'תקציב מינהל כללי 2021  '!H8</f>
        <v>3756135</v>
      </c>
      <c r="I12" s="4">
        <f>'תקציב מינהל כללי 2021  '!I8</f>
        <v>0</v>
      </c>
      <c r="J12" s="4">
        <f>'תקציב מינהל כללי 2021  '!J8</f>
        <v>42710</v>
      </c>
      <c r="K12" s="4">
        <f>'תקציב מינהל כללי 2021  '!K8</f>
        <v>42710</v>
      </c>
      <c r="L12" s="4">
        <f>'תקציב מינהל כללי 2021  '!L8</f>
        <v>3798845</v>
      </c>
      <c r="M12" s="4">
        <f>'תקציב מינהל כללי 2021  '!M8</f>
        <v>311155</v>
      </c>
      <c r="N12" s="4">
        <f>'תקציב מינהל כללי 2021  '!N8</f>
        <v>500000</v>
      </c>
      <c r="O12" s="4">
        <f>'תקציב מינהל כללי 2021  '!O8</f>
        <v>850000</v>
      </c>
      <c r="P12" s="4">
        <f>'תקציב מינהל כללי 2021  '!P8</f>
        <v>311155</v>
      </c>
      <c r="Q12" s="4">
        <f>'תקציב מינהל כללי 2021  '!Q8</f>
        <v>0</v>
      </c>
      <c r="R12" s="4">
        <f>'תקציב מינהל כללי 2021  '!R8</f>
        <v>0</v>
      </c>
      <c r="S12" s="4">
        <f>'תקציב מינהל כללי 2021  '!S8</f>
        <v>0</v>
      </c>
      <c r="T12" s="4">
        <f>'תקציב מינהל כללי 2021  '!T8</f>
        <v>0</v>
      </c>
      <c r="U12" s="4">
        <f>'תקציב מינהל כללי 2021  '!U8</f>
        <v>500000</v>
      </c>
      <c r="V12" s="4">
        <f>'תקציב מינהל כללי 2021  '!V8</f>
        <v>0</v>
      </c>
      <c r="W12" s="4">
        <f>'תקציב מינהל כללי 2021  '!W8</f>
        <v>500000</v>
      </c>
      <c r="X12" s="4">
        <f>'תקציב מינהל כללי 2021  '!X8</f>
        <v>0</v>
      </c>
      <c r="Y12" s="4">
        <f>'תקציב מינהל כללי 2021  '!Y8</f>
        <v>0</v>
      </c>
      <c r="Z12" s="4">
        <f>'תקציב מינהל כללי 2021  '!Z8</f>
        <v>0</v>
      </c>
      <c r="AA12" s="4">
        <f>'תקציב מינהל כללי 2021  '!AA8</f>
        <v>0</v>
      </c>
      <c r="AB12" s="326" t="str">
        <f>'תקציב מינהל כללי 2021  '!AB8</f>
        <v>מדידת נכסים בעת ביצוע עב' פיתוח לצורך חיוב הנכסים עפ"י שטחם בפועל.</v>
      </c>
      <c r="AC12" s="3">
        <f>'תקציב מינהל כללי 2021  '!AC8</f>
        <v>760000</v>
      </c>
      <c r="AD12" s="32"/>
      <c r="AE12" s="284"/>
      <c r="AF12" s="284"/>
      <c r="AG12" s="43"/>
    </row>
    <row r="13" spans="1:33" s="176" customFormat="1" ht="28">
      <c r="A13" s="172">
        <f t="shared" si="1"/>
        <v>7</v>
      </c>
      <c r="B13" s="3">
        <f>'תקציב מינהל כללי 2021  '!B9</f>
        <v>1260</v>
      </c>
      <c r="C13" s="280" t="str">
        <f>'תקציב מינהל כללי 2021  '!C9</f>
        <v>בדיקות חיוב להיטלי פיתוח</v>
      </c>
      <c r="D13" s="4">
        <f>'תקציב מינהל כללי 2021  '!D9</f>
        <v>9108000</v>
      </c>
      <c r="E13" s="4">
        <f>'תקציב מינהל כללי 2021  '!E9</f>
        <v>8608000</v>
      </c>
      <c r="F13" s="4">
        <f>'תקציב מינהל כללי 2021  '!F9</f>
        <v>500000</v>
      </c>
      <c r="G13" s="4">
        <f>'תקציב מינהל כללי 2021  '!G9</f>
        <v>8608000</v>
      </c>
      <c r="H13" s="4">
        <f>'תקציב מינהל כללי 2021  '!H9</f>
        <v>8330412</v>
      </c>
      <c r="I13" s="4">
        <f>'תקציב מינהל כללי 2021  '!I9</f>
        <v>0</v>
      </c>
      <c r="J13" s="4">
        <f>'תקציב מינהל כללי 2021  '!J9</f>
        <v>144787</v>
      </c>
      <c r="K13" s="4">
        <f>'תקציב מינהל כללי 2021  '!K9</f>
        <v>144787</v>
      </c>
      <c r="L13" s="4">
        <f>'תקציב מינהל כללי 2021  '!L9</f>
        <v>8475199</v>
      </c>
      <c r="M13" s="4">
        <f>'תקציב מינהל כללי 2021  '!M9</f>
        <v>132801</v>
      </c>
      <c r="N13" s="4">
        <f>'תקציב מינהל כללי 2021  '!N9</f>
        <v>500000</v>
      </c>
      <c r="O13" s="4">
        <f>'תקציב מינהל כללי 2021  '!O9</f>
        <v>0</v>
      </c>
      <c r="P13" s="4">
        <f>'תקציב מינהל כללי 2021  '!P9</f>
        <v>132801</v>
      </c>
      <c r="Q13" s="4">
        <f>'תקציב מינהל כללי 2021  '!Q9</f>
        <v>0</v>
      </c>
      <c r="R13" s="4">
        <f>'תקציב מינהל כללי 2021  '!R9</f>
        <v>0</v>
      </c>
      <c r="S13" s="4">
        <f>'תקציב מינהל כללי 2021  '!S9</f>
        <v>0</v>
      </c>
      <c r="T13" s="4">
        <f>'תקציב מינהל כללי 2021  '!T9</f>
        <v>0</v>
      </c>
      <c r="U13" s="4">
        <f>'תקציב מינהל כללי 2021  '!U9</f>
        <v>500000</v>
      </c>
      <c r="V13" s="4">
        <f>'תקציב מינהל כללי 2021  '!V9</f>
        <v>0</v>
      </c>
      <c r="W13" s="4">
        <f>'תקציב מינהל כללי 2021  '!W9</f>
        <v>500000</v>
      </c>
      <c r="X13" s="4">
        <f>'תקציב מינהל כללי 2021  '!X9</f>
        <v>0</v>
      </c>
      <c r="Y13" s="4">
        <f>'תקציב מינהל כללי 2021  '!Y9</f>
        <v>0</v>
      </c>
      <c r="Z13" s="4">
        <f>'תקציב מינהל כללי 2021  '!Z9</f>
        <v>0</v>
      </c>
      <c r="AA13" s="4">
        <f>'תקציב מינהל כללי 2021  '!AA9</f>
        <v>0</v>
      </c>
      <c r="AB13" s="326" t="str">
        <f>'תקציב מינהל כללי 2021  '!AB9</f>
        <v>בדיקת תשלומי היטלי פיתוח בגין נכסים בעת ביצוע עב' פיתוח.</v>
      </c>
      <c r="AC13" s="3">
        <f>'תקציב מינהל כללי 2021  '!AC9</f>
        <v>760000</v>
      </c>
      <c r="AD13" s="32"/>
      <c r="AE13" s="284"/>
      <c r="AF13" s="284"/>
      <c r="AG13" s="43"/>
    </row>
    <row r="14" spans="1:33" s="332" customFormat="1">
      <c r="A14" s="291"/>
      <c r="B14" s="33"/>
      <c r="C14" s="412" t="s">
        <v>1478</v>
      </c>
      <c r="D14" s="73">
        <f>SUM(D12:D13)</f>
        <v>14568000</v>
      </c>
      <c r="E14" s="73">
        <f t="shared" ref="E14:Z14" si="3">SUM(E12:E13)</f>
        <v>14068000</v>
      </c>
      <c r="F14" s="73">
        <f t="shared" si="3"/>
        <v>500000</v>
      </c>
      <c r="G14" s="73">
        <f t="shared" si="3"/>
        <v>12718000</v>
      </c>
      <c r="H14" s="73">
        <f t="shared" si="3"/>
        <v>12086547</v>
      </c>
      <c r="I14" s="73">
        <f t="shared" si="3"/>
        <v>0</v>
      </c>
      <c r="J14" s="73">
        <f t="shared" si="3"/>
        <v>187497</v>
      </c>
      <c r="K14" s="73">
        <f t="shared" si="3"/>
        <v>187497</v>
      </c>
      <c r="L14" s="73">
        <f t="shared" si="3"/>
        <v>12274044</v>
      </c>
      <c r="M14" s="73">
        <f t="shared" si="3"/>
        <v>443956</v>
      </c>
      <c r="N14" s="73">
        <f t="shared" si="3"/>
        <v>1000000</v>
      </c>
      <c r="O14" s="73">
        <f t="shared" si="3"/>
        <v>850000</v>
      </c>
      <c r="P14" s="73">
        <f t="shared" si="3"/>
        <v>443956</v>
      </c>
      <c r="Q14" s="73">
        <f t="shared" si="3"/>
        <v>0</v>
      </c>
      <c r="R14" s="73">
        <f t="shared" si="3"/>
        <v>0</v>
      </c>
      <c r="S14" s="73">
        <f t="shared" si="3"/>
        <v>0</v>
      </c>
      <c r="T14" s="73">
        <f t="shared" si="3"/>
        <v>0</v>
      </c>
      <c r="U14" s="73">
        <f t="shared" si="3"/>
        <v>1000000</v>
      </c>
      <c r="V14" s="73">
        <f t="shared" si="3"/>
        <v>0</v>
      </c>
      <c r="W14" s="73">
        <f t="shared" si="3"/>
        <v>1000000</v>
      </c>
      <c r="X14" s="73">
        <f t="shared" si="3"/>
        <v>0</v>
      </c>
      <c r="Y14" s="73">
        <f t="shared" si="3"/>
        <v>0</v>
      </c>
      <c r="Z14" s="73">
        <f t="shared" si="3"/>
        <v>0</v>
      </c>
      <c r="AA14" s="73"/>
      <c r="AB14" s="423"/>
      <c r="AC14" s="33"/>
      <c r="AD14" s="333"/>
      <c r="AE14" s="334"/>
      <c r="AF14" s="334"/>
      <c r="AG14" s="335"/>
    </row>
    <row r="15" spans="1:33" s="176" customFormat="1" ht="41.4" customHeight="1">
      <c r="A15" s="172">
        <f>A13+1</f>
        <v>8</v>
      </c>
      <c r="B15" s="3">
        <f>'תקציב מינהל כללי 2021  '!B5</f>
        <v>529</v>
      </c>
      <c r="C15" s="280" t="str">
        <f>'תקציב מינהל כללי 2021  '!C5</f>
        <v>שיפוץ דירות עמידר</v>
      </c>
      <c r="D15" s="4">
        <f>'תקציב מינהל כללי 2021  '!D5</f>
        <v>700000</v>
      </c>
      <c r="E15" s="4">
        <f>'תקציב מינהל כללי 2021  '!E5</f>
        <v>700000</v>
      </c>
      <c r="F15" s="4">
        <f>'תקציב מינהל כללי 2021  '!F5</f>
        <v>0</v>
      </c>
      <c r="G15" s="4">
        <f>'תקציב מינהל כללי 2021  '!G5</f>
        <v>700000</v>
      </c>
      <c r="H15" s="4">
        <f>'תקציב מינהל כללי 2021  '!H5</f>
        <v>511921</v>
      </c>
      <c r="I15" s="4">
        <f>'תקציב מינהל כללי 2021  '!I5</f>
        <v>0</v>
      </c>
      <c r="J15" s="4">
        <f>'תקציב מינהל כללי 2021  '!J5</f>
        <v>0</v>
      </c>
      <c r="K15" s="4">
        <f>'תקציב מינהל כללי 2021  '!K5</f>
        <v>0</v>
      </c>
      <c r="L15" s="4">
        <f>'תקציב מינהל כללי 2021  '!L5</f>
        <v>511921</v>
      </c>
      <c r="M15" s="4">
        <f>'תקציב מינהל כללי 2021  '!M5</f>
        <v>188079</v>
      </c>
      <c r="N15" s="4">
        <f>'תקציב מינהל כללי 2021  '!N5</f>
        <v>0</v>
      </c>
      <c r="O15" s="4">
        <f>'תקציב מינהל כללי 2021  '!O5</f>
        <v>0</v>
      </c>
      <c r="P15" s="4">
        <f>'תקציב מינהל כללי 2021  '!P5</f>
        <v>188079</v>
      </c>
      <c r="Q15" s="4">
        <f>'תקציב מינהל כללי 2021  '!Q5</f>
        <v>0</v>
      </c>
      <c r="R15" s="4">
        <f>'תקציב מינהל כללי 2021  '!R5</f>
        <v>0</v>
      </c>
      <c r="S15" s="4">
        <f>'תקציב מינהל כללי 2021  '!S5</f>
        <v>0</v>
      </c>
      <c r="T15" s="4">
        <f>'תקציב מינהל כללי 2021  '!T5</f>
        <v>0</v>
      </c>
      <c r="U15" s="4">
        <f>'תקציב מינהל כללי 2021  '!U5</f>
        <v>0</v>
      </c>
      <c r="V15" s="4">
        <f>'תקציב מינהל כללי 2021  '!V5</f>
        <v>0</v>
      </c>
      <c r="W15" s="4">
        <f>'תקציב מינהל כללי 2021  '!W5</f>
        <v>0</v>
      </c>
      <c r="X15" s="4">
        <f>'תקציב מינהל כללי 2021  '!X5</f>
        <v>0</v>
      </c>
      <c r="Y15" s="4">
        <f>'תקציב מינהל כללי 2021  '!Y5</f>
        <v>0</v>
      </c>
      <c r="Z15" s="4">
        <f>'תקציב מינהל כללי 2021  '!Z5</f>
        <v>0</v>
      </c>
      <c r="AA15" s="4">
        <f>'תקציב מינהל כללי 2021  '!AA5</f>
        <v>0</v>
      </c>
      <c r="AB15" s="326" t="str">
        <f>'תקציב מינהל כללי 2021  '!AB5</f>
        <v>שיפוץ פנים הדירות של דיירי עמידר הנמצאים במצב סוציו אוקונומי קשה. העבודה מבוצעת ע"י חברת עמידר השתתפות העיריה 50%.</v>
      </c>
      <c r="AC15" s="3">
        <f>'תקציב מינהל כללי 2021  '!AC5</f>
        <v>840000</v>
      </c>
      <c r="AD15" s="32"/>
      <c r="AE15" s="12"/>
      <c r="AF15" s="12"/>
      <c r="AG15" s="12"/>
    </row>
    <row r="16" spans="1:33" s="332" customFormat="1" ht="41.4" customHeight="1">
      <c r="A16" s="291"/>
      <c r="B16" s="33"/>
      <c r="C16" s="412" t="s">
        <v>1484</v>
      </c>
      <c r="D16" s="73">
        <f>SUM(D15)</f>
        <v>700000</v>
      </c>
      <c r="E16" s="73">
        <f t="shared" ref="E16:AA16" si="4">SUM(E15)</f>
        <v>700000</v>
      </c>
      <c r="F16" s="73">
        <f t="shared" si="4"/>
        <v>0</v>
      </c>
      <c r="G16" s="73">
        <f t="shared" si="4"/>
        <v>700000</v>
      </c>
      <c r="H16" s="73">
        <f t="shared" si="4"/>
        <v>511921</v>
      </c>
      <c r="I16" s="73">
        <f t="shared" si="4"/>
        <v>0</v>
      </c>
      <c r="J16" s="73">
        <f t="shared" si="4"/>
        <v>0</v>
      </c>
      <c r="K16" s="73">
        <f t="shared" si="4"/>
        <v>0</v>
      </c>
      <c r="L16" s="73">
        <f t="shared" si="4"/>
        <v>511921</v>
      </c>
      <c r="M16" s="73">
        <f t="shared" si="4"/>
        <v>188079</v>
      </c>
      <c r="N16" s="73">
        <f t="shared" si="4"/>
        <v>0</v>
      </c>
      <c r="O16" s="73">
        <f t="shared" si="4"/>
        <v>0</v>
      </c>
      <c r="P16" s="73">
        <f t="shared" si="4"/>
        <v>188079</v>
      </c>
      <c r="Q16" s="73">
        <f t="shared" si="4"/>
        <v>0</v>
      </c>
      <c r="R16" s="73">
        <f t="shared" si="4"/>
        <v>0</v>
      </c>
      <c r="S16" s="73">
        <f t="shared" si="4"/>
        <v>0</v>
      </c>
      <c r="T16" s="73">
        <f t="shared" si="4"/>
        <v>0</v>
      </c>
      <c r="U16" s="73">
        <f t="shared" si="4"/>
        <v>0</v>
      </c>
      <c r="V16" s="73">
        <f t="shared" si="4"/>
        <v>0</v>
      </c>
      <c r="W16" s="73">
        <f t="shared" si="4"/>
        <v>0</v>
      </c>
      <c r="X16" s="73">
        <f t="shared" si="4"/>
        <v>0</v>
      </c>
      <c r="Y16" s="73">
        <f t="shared" si="4"/>
        <v>0</v>
      </c>
      <c r="Z16" s="73">
        <f t="shared" si="4"/>
        <v>0</v>
      </c>
      <c r="AA16" s="73">
        <f t="shared" si="4"/>
        <v>0</v>
      </c>
      <c r="AB16" s="423"/>
      <c r="AC16" s="33"/>
      <c r="AD16" s="333"/>
      <c r="AE16" s="336"/>
      <c r="AF16" s="336"/>
      <c r="AG16" s="336"/>
    </row>
    <row r="17" spans="1:33" s="5" customFormat="1" ht="41.4" customHeight="1">
      <c r="A17" s="172">
        <f>A15+1</f>
        <v>9</v>
      </c>
      <c r="B17" s="3">
        <f>'תקציב מינהל כללי 2021  '!B11</f>
        <v>1688</v>
      </c>
      <c r="C17" s="280" t="str">
        <f>'תקציב מינהל כללי 2021  '!C11</f>
        <v>הלוואה לטובת אוצר המדינה</v>
      </c>
      <c r="D17" s="4">
        <f>'תקציב מינהל כללי 2021  '!D11</f>
        <v>15133000</v>
      </c>
      <c r="E17" s="4">
        <f>'תקציב מינהל כללי 2021  '!E11</f>
        <v>15133000</v>
      </c>
      <c r="F17" s="4">
        <f>'תקציב מינהל כללי 2021  '!F11</f>
        <v>0</v>
      </c>
      <c r="G17" s="4">
        <f>'תקציב מינהל כללי 2021  '!G11</f>
        <v>15133000</v>
      </c>
      <c r="H17" s="4">
        <f>'תקציב מינהל כללי 2021  '!H11</f>
        <v>15133000</v>
      </c>
      <c r="I17" s="4">
        <f>'תקציב מינהל כללי 2021  '!I11</f>
        <v>0</v>
      </c>
      <c r="J17" s="4">
        <f>'תקציב מינהל כללי 2021  '!J11</f>
        <v>0</v>
      </c>
      <c r="K17" s="4">
        <f>'תקציב מינהל כללי 2021  '!K11</f>
        <v>0</v>
      </c>
      <c r="L17" s="4">
        <f>'תקציב מינהל כללי 2021  '!L11</f>
        <v>15133000</v>
      </c>
      <c r="M17" s="4">
        <f>'תקציב מינהל כללי 2021  '!M11</f>
        <v>0</v>
      </c>
      <c r="N17" s="4">
        <f>'תקציב מינהל כללי 2021  '!N11</f>
        <v>0</v>
      </c>
      <c r="O17" s="4">
        <f>'תקציב מינהל כללי 2021  '!O11</f>
        <v>0</v>
      </c>
      <c r="P17" s="4">
        <f>'תקציב מינהל כללי 2021  '!P11</f>
        <v>0</v>
      </c>
      <c r="Q17" s="4">
        <f>'תקציב מינהל כללי 2021  '!Q11</f>
        <v>0</v>
      </c>
      <c r="R17" s="4">
        <f>'תקציב מינהל כללי 2021  '!R11</f>
        <v>0</v>
      </c>
      <c r="S17" s="4">
        <f>'תקציב מינהל כללי 2021  '!S11</f>
        <v>0</v>
      </c>
      <c r="T17" s="4">
        <f>'תקציב מינהל כללי 2021  '!T11</f>
        <v>0</v>
      </c>
      <c r="U17" s="4">
        <f>'תקציב מינהל כללי 2021  '!U11</f>
        <v>0</v>
      </c>
      <c r="V17" s="4">
        <f>'תקציב מינהל כללי 2021  '!V11</f>
        <v>0</v>
      </c>
      <c r="W17" s="4">
        <f>'תקציב מינהל כללי 2021  '!W11</f>
        <v>0</v>
      </c>
      <c r="X17" s="4">
        <f>'תקציב מינהל כללי 2021  '!X11</f>
        <v>0</v>
      </c>
      <c r="Y17" s="4">
        <f>'תקציב מינהל כללי 2021  '!Y11</f>
        <v>0</v>
      </c>
      <c r="Z17" s="4">
        <f>'תקציב מינהל כללי 2021  '!Z11</f>
        <v>0</v>
      </c>
      <c r="AA17" s="4">
        <f>'תקציב מינהל כללי 2021  '!AA11</f>
        <v>0</v>
      </c>
      <c r="AB17" s="326" t="str">
        <f>'תקציב מינהל כללי 2021  '!AB11</f>
        <v>במסגרת סיכום עקרונות בין משרד האוצר לשלטון המקומי  מ - 12.5.2013.</v>
      </c>
      <c r="AC17" s="3">
        <f>'תקציב מינהל כללי 2021  '!AC11</f>
        <v>990000</v>
      </c>
      <c r="AD17" s="32"/>
      <c r="AE17" s="284"/>
      <c r="AF17" s="284"/>
      <c r="AG17" s="43"/>
    </row>
    <row r="18" spans="1:33" s="70" customFormat="1" ht="41.4" customHeight="1">
      <c r="A18" s="291"/>
      <c r="B18" s="33"/>
      <c r="C18" s="412" t="s">
        <v>1504</v>
      </c>
      <c r="D18" s="73">
        <f>SUM(D17)</f>
        <v>15133000</v>
      </c>
      <c r="E18" s="73">
        <f t="shared" ref="E18:AA18" si="5">SUM(E17)</f>
        <v>15133000</v>
      </c>
      <c r="F18" s="73">
        <f t="shared" si="5"/>
        <v>0</v>
      </c>
      <c r="G18" s="73">
        <f t="shared" si="5"/>
        <v>15133000</v>
      </c>
      <c r="H18" s="73">
        <f t="shared" si="5"/>
        <v>15133000</v>
      </c>
      <c r="I18" s="73">
        <f t="shared" si="5"/>
        <v>0</v>
      </c>
      <c r="J18" s="73">
        <f t="shared" si="5"/>
        <v>0</v>
      </c>
      <c r="K18" s="73">
        <f t="shared" si="5"/>
        <v>0</v>
      </c>
      <c r="L18" s="73">
        <f t="shared" si="5"/>
        <v>15133000</v>
      </c>
      <c r="M18" s="73">
        <f t="shared" si="5"/>
        <v>0</v>
      </c>
      <c r="N18" s="73">
        <f t="shared" si="5"/>
        <v>0</v>
      </c>
      <c r="O18" s="73">
        <f t="shared" si="5"/>
        <v>0</v>
      </c>
      <c r="P18" s="73">
        <f t="shared" si="5"/>
        <v>0</v>
      </c>
      <c r="Q18" s="73">
        <f t="shared" si="5"/>
        <v>0</v>
      </c>
      <c r="R18" s="73">
        <f t="shared" si="5"/>
        <v>0</v>
      </c>
      <c r="S18" s="73">
        <f t="shared" si="5"/>
        <v>0</v>
      </c>
      <c r="T18" s="73">
        <f t="shared" si="5"/>
        <v>0</v>
      </c>
      <c r="U18" s="73">
        <f t="shared" si="5"/>
        <v>0</v>
      </c>
      <c r="V18" s="73">
        <f t="shared" si="5"/>
        <v>0</v>
      </c>
      <c r="W18" s="73">
        <f t="shared" si="5"/>
        <v>0</v>
      </c>
      <c r="X18" s="73">
        <f t="shared" si="5"/>
        <v>0</v>
      </c>
      <c r="Y18" s="73">
        <f t="shared" si="5"/>
        <v>0</v>
      </c>
      <c r="Z18" s="73">
        <f t="shared" si="5"/>
        <v>0</v>
      </c>
      <c r="AA18" s="73">
        <f t="shared" si="5"/>
        <v>0</v>
      </c>
      <c r="AB18" s="423"/>
      <c r="AC18" s="33"/>
      <c r="AD18" s="333"/>
      <c r="AE18" s="334"/>
      <c r="AF18" s="334"/>
      <c r="AG18" s="335"/>
    </row>
    <row r="19" spans="1:33" s="426" customFormat="1" ht="30" customHeight="1">
      <c r="A19" s="346">
        <f>A17</f>
        <v>9</v>
      </c>
      <c r="B19" s="346"/>
      <c r="C19" s="33" t="s">
        <v>473</v>
      </c>
      <c r="D19" s="425">
        <f>D18+D16+D14+D11+D6</f>
        <v>135032955</v>
      </c>
      <c r="E19" s="425">
        <f t="shared" ref="E19:AA19" si="6">E18+E16+E14+E11+E6</f>
        <v>125532955</v>
      </c>
      <c r="F19" s="425">
        <f t="shared" si="6"/>
        <v>9500000</v>
      </c>
      <c r="G19" s="425">
        <f t="shared" si="6"/>
        <v>96529849</v>
      </c>
      <c r="H19" s="425">
        <f t="shared" si="6"/>
        <v>77482409</v>
      </c>
      <c r="I19" s="425">
        <f t="shared" si="6"/>
        <v>9100</v>
      </c>
      <c r="J19" s="425">
        <f t="shared" si="6"/>
        <v>3371919</v>
      </c>
      <c r="K19" s="425">
        <f t="shared" si="6"/>
        <v>3381019</v>
      </c>
      <c r="L19" s="425">
        <f t="shared" si="6"/>
        <v>80863428</v>
      </c>
      <c r="M19" s="425">
        <f t="shared" si="6"/>
        <v>11257878</v>
      </c>
      <c r="N19" s="425">
        <f t="shared" si="6"/>
        <v>8300000</v>
      </c>
      <c r="O19" s="425">
        <f t="shared" si="6"/>
        <v>34611649</v>
      </c>
      <c r="P19" s="425">
        <f t="shared" si="6"/>
        <v>15666421</v>
      </c>
      <c r="Q19" s="425">
        <f t="shared" si="6"/>
        <v>0</v>
      </c>
      <c r="R19" s="425">
        <f t="shared" si="6"/>
        <v>0</v>
      </c>
      <c r="S19" s="425">
        <f t="shared" si="6"/>
        <v>0</v>
      </c>
      <c r="T19" s="425">
        <f t="shared" si="6"/>
        <v>4408543</v>
      </c>
      <c r="U19" s="425">
        <f t="shared" si="6"/>
        <v>3891457</v>
      </c>
      <c r="V19" s="425">
        <f t="shared" si="6"/>
        <v>-508725</v>
      </c>
      <c r="W19" s="425">
        <f t="shared" si="6"/>
        <v>3689887</v>
      </c>
      <c r="X19" s="425">
        <f t="shared" si="6"/>
        <v>0</v>
      </c>
      <c r="Y19" s="425">
        <f t="shared" si="6"/>
        <v>0</v>
      </c>
      <c r="Z19" s="425">
        <f t="shared" si="6"/>
        <v>0</v>
      </c>
      <c r="AA19" s="425">
        <f t="shared" si="6"/>
        <v>710295</v>
      </c>
      <c r="AB19" s="425"/>
      <c r="AC19" s="346"/>
    </row>
    <row r="20" spans="1:33" hidden="1">
      <c r="L20" s="167">
        <f>K19+H19</f>
        <v>80863428</v>
      </c>
      <c r="M20" s="167">
        <f>P20+S19-T19</f>
        <v>11257878</v>
      </c>
      <c r="P20" s="167">
        <f>G19-L20</f>
        <v>15666421</v>
      </c>
    </row>
  </sheetData>
  <sheetProtection formatCells="0" formatColumns="0" formatRows="0" insertColumns="0" insertRows="0" insertHyperlinks="0" deleteColumns="0" deleteRows="0" sort="0" autoFilter="0" pivotTables="0"/>
  <sortState ref="A5:AG13">
    <sortCondition ref="AC5:AC13"/>
  </sortState>
  <mergeCells count="1">
    <mergeCell ref="A1:W1"/>
  </mergeCells>
  <conditionalFormatting sqref="AB4 AD17:AE19">
    <cfRule type="cellIs" dxfId="18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23" max="16383" man="1"/>
  </rowBreaks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showZeros="0" rightToLeft="1" topLeftCell="A10" zoomScaleNormal="100" workbookViewId="0">
      <selection activeCell="U40" sqref="U40"/>
    </sheetView>
  </sheetViews>
  <sheetFormatPr defaultColWidth="9.08984375" defaultRowHeight="12.5"/>
  <cols>
    <col min="1" max="7" width="9.08984375" style="214"/>
    <col min="9" max="16384" width="9.08984375" style="214"/>
  </cols>
  <sheetData>
    <row r="4" spans="1:9" ht="18">
      <c r="A4" s="71" t="s">
        <v>1168</v>
      </c>
    </row>
    <row r="7" spans="1:9" ht="24.9" customHeight="1">
      <c r="A7" s="215" t="s">
        <v>278</v>
      </c>
      <c r="B7" s="216"/>
      <c r="C7" s="216"/>
      <c r="D7" s="216"/>
      <c r="E7" s="216"/>
      <c r="F7" s="216"/>
      <c r="G7" s="216"/>
      <c r="I7" s="215" t="s">
        <v>279</v>
      </c>
    </row>
    <row r="8" spans="1:9" ht="15" customHeight="1"/>
    <row r="9" spans="1:9" ht="24.9" customHeight="1">
      <c r="A9" s="216" t="s">
        <v>1169</v>
      </c>
      <c r="I9" s="407"/>
    </row>
    <row r="10" spans="1:9" ht="24.9" customHeight="1">
      <c r="A10" s="216" t="s">
        <v>306</v>
      </c>
      <c r="I10" s="216">
        <v>98</v>
      </c>
    </row>
    <row r="11" spans="1:9" ht="24.9" customHeight="1">
      <c r="A11" s="216" t="s">
        <v>501</v>
      </c>
      <c r="I11" s="217" t="s">
        <v>1662</v>
      </c>
    </row>
    <row r="12" spans="1:9" ht="24.9" customHeight="1">
      <c r="A12" s="216" t="s">
        <v>242</v>
      </c>
      <c r="I12" s="217" t="s">
        <v>1663</v>
      </c>
    </row>
    <row r="13" spans="1:9" ht="24.9" customHeight="1">
      <c r="A13" s="216" t="s">
        <v>189</v>
      </c>
      <c r="I13" s="217" t="s">
        <v>1664</v>
      </c>
    </row>
    <row r="14" spans="1:9" ht="24.9" customHeight="1">
      <c r="A14" s="216" t="s">
        <v>152</v>
      </c>
      <c r="I14" s="217">
        <v>119</v>
      </c>
    </row>
    <row r="15" spans="1:9" ht="24.9" customHeight="1">
      <c r="A15" s="216" t="s">
        <v>323</v>
      </c>
      <c r="I15" s="217" t="s">
        <v>1665</v>
      </c>
    </row>
    <row r="16" spans="1:9" ht="24.9" customHeight="1">
      <c r="A16" s="216" t="s">
        <v>457</v>
      </c>
      <c r="I16" s="217">
        <v>122</v>
      </c>
    </row>
    <row r="17" spans="1:9" ht="24.9" customHeight="1">
      <c r="A17" s="216" t="s">
        <v>190</v>
      </c>
      <c r="I17" s="217" t="s">
        <v>1666</v>
      </c>
    </row>
    <row r="18" spans="1:9" ht="24.9" customHeight="1">
      <c r="A18" s="216" t="s">
        <v>193</v>
      </c>
      <c r="I18" s="217" t="s">
        <v>1667</v>
      </c>
    </row>
    <row r="19" spans="1:9" ht="24.9" customHeight="1">
      <c r="A19" s="216" t="s">
        <v>104</v>
      </c>
      <c r="I19" s="217">
        <v>128</v>
      </c>
    </row>
    <row r="20" spans="1:9" ht="24.9" customHeight="1">
      <c r="A20" s="216" t="s">
        <v>475</v>
      </c>
      <c r="I20" s="217">
        <v>129</v>
      </c>
    </row>
    <row r="21" spans="1:9" ht="24.9" customHeight="1">
      <c r="A21" s="216" t="s">
        <v>474</v>
      </c>
      <c r="I21" s="217" t="s">
        <v>1668</v>
      </c>
    </row>
    <row r="22" spans="1:9" ht="24.9" customHeight="1">
      <c r="A22" s="216" t="s">
        <v>116</v>
      </c>
      <c r="I22" s="217">
        <v>132</v>
      </c>
    </row>
    <row r="23" spans="1:9" ht="24.9" customHeight="1">
      <c r="A23" s="216" t="s">
        <v>1720</v>
      </c>
      <c r="I23" s="217" t="s">
        <v>1669</v>
      </c>
    </row>
    <row r="24" spans="1:9" ht="24.9" customHeight="1">
      <c r="A24" s="216"/>
      <c r="I24" s="216"/>
    </row>
    <row r="25" spans="1:9" ht="15.5">
      <c r="A25" s="21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31"/>
  <sheetViews>
    <sheetView showZeros="0" rightToLeft="1" zoomScaleNormal="100" workbookViewId="0">
      <pane xSplit="1" ySplit="5" topLeftCell="AS6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5.5"/>
  <cols>
    <col min="1" max="1" width="16.6328125" style="57" customWidth="1"/>
    <col min="2" max="3" width="12.6328125" style="58" hidden="1" customWidth="1"/>
    <col min="4" max="4" width="9.1796875" style="58" hidden="1" customWidth="1"/>
    <col min="5" max="5" width="14.08984375" style="58" hidden="1" customWidth="1"/>
    <col min="6" max="8" width="12.6328125" style="58" hidden="1" customWidth="1"/>
    <col min="9" max="9" width="11.08984375" style="58" hidden="1" customWidth="1"/>
    <col min="10" max="10" width="12.6328125" style="53" hidden="1" customWidth="1"/>
    <col min="11" max="11" width="11.36328125" style="58" hidden="1" customWidth="1"/>
    <col min="12" max="13" width="11.08984375" style="58" hidden="1" customWidth="1"/>
    <col min="14" max="14" width="12.54296875" style="58" hidden="1" customWidth="1"/>
    <col min="15" max="15" width="12.6328125" style="53" hidden="1" customWidth="1"/>
    <col min="16" max="18" width="12.08984375" style="58" hidden="1" customWidth="1"/>
    <col min="19" max="19" width="10.36328125" style="58" hidden="1" customWidth="1"/>
    <col min="20" max="20" width="13.08984375" style="58" hidden="1" customWidth="1"/>
    <col min="21" max="21" width="12.08984375" style="58" hidden="1" customWidth="1"/>
    <col min="22" max="22" width="13.36328125" style="58" hidden="1" customWidth="1"/>
    <col min="23" max="23" width="9.08984375" style="58" hidden="1" customWidth="1"/>
    <col min="24" max="24" width="12.36328125" style="58" hidden="1" customWidth="1"/>
    <col min="25" max="25" width="11.08984375" style="58" hidden="1" customWidth="1"/>
    <col min="26" max="26" width="14.08984375" style="55" hidden="1" customWidth="1"/>
    <col min="27" max="30" width="12.6328125" style="53" hidden="1" customWidth="1"/>
    <col min="31" max="37" width="12.6328125" style="55" hidden="1" customWidth="1"/>
    <col min="38" max="38" width="16.54296875" style="12" hidden="1" customWidth="1"/>
    <col min="39" max="39" width="16.36328125" style="12" hidden="1" customWidth="1"/>
    <col min="40" max="40" width="9.08984375" style="55" hidden="1" customWidth="1"/>
    <col min="41" max="41" width="11" style="55" hidden="1" customWidth="1"/>
    <col min="42" max="42" width="11.6328125" style="55" hidden="1" customWidth="1"/>
    <col min="43" max="43" width="11" style="55" hidden="1" customWidth="1"/>
    <col min="44" max="44" width="12.453125" style="55" hidden="1" customWidth="1"/>
    <col min="45" max="45" width="11.1796875" style="55" customWidth="1"/>
    <col min="46" max="46" width="10.90625" style="55" bestFit="1" customWidth="1"/>
    <col min="47" max="47" width="9.81640625" style="55" customWidth="1"/>
    <col min="48" max="48" width="7" style="55" hidden="1" customWidth="1"/>
    <col min="49" max="49" width="10.453125" style="55" customWidth="1"/>
    <col min="50" max="50" width="11" style="55" customWidth="1"/>
    <col min="51" max="51" width="11.90625" style="55" customWidth="1"/>
    <col min="52" max="52" width="11.36328125" style="55" customWidth="1"/>
    <col min="53" max="56" width="14.36328125" style="55" hidden="1" customWidth="1"/>
    <col min="57" max="57" width="11.81640625" style="55" hidden="1" customWidth="1"/>
    <col min="58" max="58" width="10" style="55" hidden="1" customWidth="1"/>
    <col min="59" max="59" width="11.453125" style="55" customWidth="1"/>
    <col min="60" max="61" width="10.81640625" style="55" customWidth="1"/>
    <col min="62" max="62" width="9.81640625" style="55" customWidth="1"/>
    <col min="63" max="63" width="11.90625" style="55" hidden="1" customWidth="1"/>
    <col min="64" max="65" width="10.81640625" style="55" customWidth="1"/>
    <col min="66" max="16384" width="9.08984375" style="55"/>
  </cols>
  <sheetData>
    <row r="1" spans="1:65" ht="18">
      <c r="AL1" s="28"/>
      <c r="AM1" s="28"/>
    </row>
    <row r="2" spans="1:65" s="44" customFormat="1" ht="23">
      <c r="A2" s="272" t="s">
        <v>1730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AA2" s="53"/>
      <c r="AB2" s="53"/>
      <c r="AC2" s="53"/>
      <c r="AD2" s="53"/>
      <c r="AL2" s="12"/>
      <c r="AM2" s="12"/>
    </row>
    <row r="3" spans="1:65" s="324" customFormat="1" ht="20.149999999999999" customHeight="1">
      <c r="A3" s="322"/>
      <c r="B3" s="263"/>
      <c r="C3" s="323"/>
      <c r="D3" s="323"/>
      <c r="E3" s="323"/>
      <c r="F3" s="323"/>
      <c r="G3" s="323"/>
      <c r="H3" s="323"/>
      <c r="I3" s="32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AA3" s="53"/>
      <c r="AB3" s="53"/>
      <c r="AC3" s="53"/>
      <c r="AD3" s="53"/>
      <c r="AL3" s="12"/>
      <c r="AM3" s="12"/>
    </row>
    <row r="4" spans="1:65" s="49" customFormat="1">
      <c r="A4" s="48"/>
      <c r="B4" s="769" t="s">
        <v>95</v>
      </c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0"/>
      <c r="AE4" s="770"/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1"/>
      <c r="AS4" s="544" t="s">
        <v>966</v>
      </c>
      <c r="AT4" s="772" t="s">
        <v>311</v>
      </c>
      <c r="AU4" s="773"/>
      <c r="AV4" s="773"/>
      <c r="AW4" s="773"/>
      <c r="AX4" s="774"/>
      <c r="AY4" s="772" t="s">
        <v>1137</v>
      </c>
      <c r="AZ4" s="774"/>
      <c r="BA4" s="775" t="s">
        <v>282</v>
      </c>
      <c r="BB4" s="775"/>
      <c r="BC4" s="775"/>
      <c r="BD4" s="775"/>
      <c r="BE4" s="775"/>
      <c r="BF4" s="775"/>
      <c r="BG4" s="775"/>
      <c r="BH4" s="346"/>
      <c r="BI4" s="775" t="s">
        <v>969</v>
      </c>
      <c r="BJ4" s="775"/>
      <c r="BK4" s="775"/>
      <c r="BL4" s="775"/>
      <c r="BM4" s="775"/>
    </row>
    <row r="5" spans="1:65" s="42" customFormat="1" ht="56">
      <c r="A5" s="433" t="s">
        <v>97</v>
      </c>
      <c r="B5" s="433" t="s">
        <v>98</v>
      </c>
      <c r="C5" s="433" t="s">
        <v>4</v>
      </c>
      <c r="D5" s="433" t="s">
        <v>99</v>
      </c>
      <c r="E5" s="433" t="s">
        <v>109</v>
      </c>
      <c r="F5" s="446" t="s">
        <v>7</v>
      </c>
      <c r="G5" s="446" t="s">
        <v>8</v>
      </c>
      <c r="H5" s="446" t="s">
        <v>9</v>
      </c>
      <c r="I5" s="446" t="s">
        <v>10</v>
      </c>
      <c r="J5" s="433" t="s">
        <v>11</v>
      </c>
      <c r="K5" s="545" t="s">
        <v>970</v>
      </c>
      <c r="L5" s="433" t="s">
        <v>971</v>
      </c>
      <c r="M5" s="433" t="s">
        <v>972</v>
      </c>
      <c r="N5" s="546" t="s">
        <v>628</v>
      </c>
      <c r="O5" s="546" t="s">
        <v>100</v>
      </c>
      <c r="P5" s="446" t="s">
        <v>630</v>
      </c>
      <c r="Q5" s="446" t="s">
        <v>634</v>
      </c>
      <c r="R5" s="446" t="s">
        <v>632</v>
      </c>
      <c r="S5" s="446" t="s">
        <v>629</v>
      </c>
      <c r="T5" s="446" t="s">
        <v>973</v>
      </c>
      <c r="U5" s="546" t="s">
        <v>13</v>
      </c>
      <c r="V5" s="546" t="s">
        <v>14</v>
      </c>
      <c r="W5" s="446" t="s">
        <v>15</v>
      </c>
      <c r="X5" s="446" t="s">
        <v>301</v>
      </c>
      <c r="Y5" s="546" t="s">
        <v>91</v>
      </c>
      <c r="Z5" s="433"/>
      <c r="AA5" s="432" t="s">
        <v>974</v>
      </c>
      <c r="AB5" s="432" t="s">
        <v>975</v>
      </c>
      <c r="AC5" s="432" t="s">
        <v>283</v>
      </c>
      <c r="AD5" s="432" t="s">
        <v>284</v>
      </c>
      <c r="AE5" s="432" t="s">
        <v>978</v>
      </c>
      <c r="AF5" s="433" t="s">
        <v>972</v>
      </c>
      <c r="AG5" s="432" t="s">
        <v>13</v>
      </c>
      <c r="AH5" s="432" t="s">
        <v>14</v>
      </c>
      <c r="AI5" s="432" t="s">
        <v>15</v>
      </c>
      <c r="AJ5" s="432" t="s">
        <v>301</v>
      </c>
      <c r="AK5" s="432" t="s">
        <v>91</v>
      </c>
      <c r="AL5" s="430" t="s">
        <v>979</v>
      </c>
      <c r="AM5" s="430" t="s">
        <v>980</v>
      </c>
      <c r="AN5" s="546"/>
      <c r="AO5" s="430" t="s">
        <v>982</v>
      </c>
      <c r="AP5" s="430" t="s">
        <v>983</v>
      </c>
      <c r="AQ5" s="430" t="s">
        <v>984</v>
      </c>
      <c r="AR5" s="430" t="s">
        <v>985</v>
      </c>
      <c r="AS5" s="430" t="s">
        <v>968</v>
      </c>
      <c r="AT5" s="430" t="s">
        <v>13</v>
      </c>
      <c r="AU5" s="430" t="s">
        <v>14</v>
      </c>
      <c r="AV5" s="430" t="s">
        <v>15</v>
      </c>
      <c r="AW5" s="430" t="s">
        <v>301</v>
      </c>
      <c r="AX5" s="430" t="s">
        <v>91</v>
      </c>
      <c r="AY5" s="431" t="s">
        <v>987</v>
      </c>
      <c r="AZ5" s="432" t="s">
        <v>988</v>
      </c>
      <c r="BA5" s="434" t="s">
        <v>990</v>
      </c>
      <c r="BB5" s="434" t="s">
        <v>991</v>
      </c>
      <c r="BC5" s="434" t="s">
        <v>992</v>
      </c>
      <c r="BD5" s="434" t="s">
        <v>993</v>
      </c>
      <c r="BE5" s="434" t="s">
        <v>994</v>
      </c>
      <c r="BF5" s="434" t="s">
        <v>1238</v>
      </c>
      <c r="BG5" s="434" t="s">
        <v>996</v>
      </c>
      <c r="BH5" s="33" t="s">
        <v>1623</v>
      </c>
      <c r="BI5" s="431" t="s">
        <v>13</v>
      </c>
      <c r="BJ5" s="431" t="s">
        <v>14</v>
      </c>
      <c r="BK5" s="431" t="s">
        <v>15</v>
      </c>
      <c r="BL5" s="431" t="s">
        <v>301</v>
      </c>
      <c r="BM5" s="431" t="s">
        <v>91</v>
      </c>
    </row>
    <row r="6" spans="1:65" s="42" customFormat="1">
      <c r="A6" s="48"/>
      <c r="B6" s="48"/>
      <c r="C6" s="48"/>
      <c r="D6" s="48"/>
      <c r="E6" s="48"/>
      <c r="F6" s="20"/>
      <c r="G6" s="20"/>
      <c r="H6" s="20"/>
      <c r="I6" s="20"/>
      <c r="J6" s="35"/>
      <c r="K6" s="9"/>
      <c r="L6" s="48"/>
      <c r="M6" s="48"/>
      <c r="N6" s="48"/>
      <c r="O6" s="35"/>
      <c r="P6" s="20"/>
      <c r="Q6" s="20"/>
      <c r="R6" s="20"/>
      <c r="S6" s="20"/>
      <c r="T6" s="48"/>
      <c r="U6" s="48"/>
      <c r="V6" s="48"/>
      <c r="W6" s="20"/>
      <c r="X6" s="20"/>
      <c r="Y6" s="48"/>
      <c r="Z6" s="16"/>
      <c r="AA6" s="383"/>
      <c r="AB6" s="383"/>
      <c r="AC6" s="383"/>
      <c r="AD6" s="383"/>
      <c r="AE6" s="35"/>
      <c r="AF6" s="35"/>
      <c r="AG6" s="35"/>
      <c r="AH6" s="35"/>
      <c r="AI6" s="35"/>
      <c r="AJ6" s="35"/>
      <c r="AK6" s="35"/>
      <c r="AL6" s="3"/>
      <c r="AM6" s="3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</row>
    <row r="7" spans="1:65" s="42" customFormat="1" ht="27" customHeight="1">
      <c r="A7" s="267" t="s">
        <v>500</v>
      </c>
      <c r="B7" s="11">
        <f>'[1]תקציב הנדסה 2020 '!D$87</f>
        <v>624882129</v>
      </c>
      <c r="C7" s="11">
        <f>'[1]תקציב הנדסה 2020 '!E$87</f>
        <v>624882129</v>
      </c>
      <c r="D7" s="11">
        <f>'[1]תקציב הנדסה 2020 '!F$87</f>
        <v>0</v>
      </c>
      <c r="E7" s="11">
        <f>'[1]תקציב הנדסה 2020 '!G$87</f>
        <v>287696552</v>
      </c>
      <c r="F7" s="11">
        <f>'[1]תקציב הנדסה 2020 '!H$87</f>
        <v>241172328.07999995</v>
      </c>
      <c r="G7" s="11">
        <f>'[1]תקציב הנדסה 2020 '!I$87</f>
        <v>9812546.0800000001</v>
      </c>
      <c r="H7" s="11">
        <f>'[1]תקציב הנדסה 2020 '!J$87</f>
        <v>8657506.3099999987</v>
      </c>
      <c r="I7" s="11">
        <f>'[1]תקציב הנדסה 2020 '!K$87</f>
        <v>18470052.390000001</v>
      </c>
      <c r="J7" s="11">
        <f>'[1]תקציב הנדסה 2020 '!L$87</f>
        <v>259642380.46999997</v>
      </c>
      <c r="K7" s="11">
        <f>'[1]תקציב הנדסה 2020 '!M$87</f>
        <v>28054171.529999997</v>
      </c>
      <c r="L7" s="11">
        <f>'[1]תקציב הנדסה 2020 '!N$87</f>
        <v>31558338</v>
      </c>
      <c r="M7" s="11">
        <f>'[1]תקציב הנדסה 2020 '!O$87</f>
        <v>31558338</v>
      </c>
      <c r="N7" s="11">
        <f>'[1]תקציב הנדסה 2020 '!P$87</f>
        <v>305627239</v>
      </c>
      <c r="O7" s="11">
        <f>'[1]תקציב הנדסה 2020 '!Q$87</f>
        <v>28054171.529999997</v>
      </c>
      <c r="P7" s="11">
        <f>'[1]תקציב הנדסה 2020 '!R$87</f>
        <v>0</v>
      </c>
      <c r="Q7" s="11">
        <f>'[1]תקציב הנדסה 2020 '!S$87</f>
        <v>0</v>
      </c>
      <c r="R7" s="11">
        <f>'[1]תקציב הנדסה 2020 '!T$87</f>
        <v>0</v>
      </c>
      <c r="S7" s="11">
        <f>'[1]תקציב הנדסה 2020 '!U$87</f>
        <v>0</v>
      </c>
      <c r="T7" s="11">
        <f>'[1]תקציב הנדסה 2020 '!V$87</f>
        <v>31558338</v>
      </c>
      <c r="U7" s="11">
        <f>'[1]תקציב הנדסה 2020 '!W$87</f>
        <v>30203894</v>
      </c>
      <c r="V7" s="11">
        <f>'[1]תקציב הנדסה 2020 '!X$87</f>
        <v>0</v>
      </c>
      <c r="W7" s="11">
        <f>'[1]תקציב הנדסה 2020 '!Y$87</f>
        <v>0</v>
      </c>
      <c r="X7" s="11">
        <f>'[1]תקציב הנדסה 2020 '!Z$87</f>
        <v>0</v>
      </c>
      <c r="Y7" s="11">
        <f>'[1]תקציב הנדסה 2020 '!AA$87</f>
        <v>1354444</v>
      </c>
      <c r="Z7" s="11">
        <f>'[1]תקציב הנדסה 2020 '!A87</f>
        <v>81</v>
      </c>
      <c r="AA7" s="51">
        <f>'[1]תקציב הנדסה 2020 '!AD87</f>
        <v>0</v>
      </c>
      <c r="AB7" s="51">
        <f>'[1]תקציב הנדסה 2020 '!AE87</f>
        <v>0</v>
      </c>
      <c r="AC7" s="51">
        <f>'[1]תקציב הנדסה 2020 '!AF87</f>
        <v>0</v>
      </c>
      <c r="AD7" s="51">
        <f>'[1]תקציב הנדסה 2020 '!AG87</f>
        <v>0</v>
      </c>
      <c r="AE7" s="51">
        <f>'[1]תקציב הנדסה 2020 '!AH87</f>
        <v>0</v>
      </c>
      <c r="AF7" s="51">
        <f>'[1]תקציב הנדסה 2020 '!AI87</f>
        <v>31558338</v>
      </c>
      <c r="AG7" s="51">
        <f>'[1]תקציב הנדסה 2020 '!AJ87</f>
        <v>30203894</v>
      </c>
      <c r="AH7" s="51">
        <f>'[1]תקציב הנדסה 2020 '!AK87</f>
        <v>0</v>
      </c>
      <c r="AI7" s="51">
        <f>'[1]תקציב הנדסה 2020 '!AL87</f>
        <v>0</v>
      </c>
      <c r="AJ7" s="51">
        <f>'[1]תקציב הנדסה 2020 '!AM87</f>
        <v>0</v>
      </c>
      <c r="AK7" s="51">
        <f>'[1]תקציב הנדסה 2020 '!AN87</f>
        <v>1354444</v>
      </c>
      <c r="AL7" s="51">
        <f>'[1]תקציב הנדסה 2020 '!AO87</f>
        <v>23080000</v>
      </c>
      <c r="AM7" s="51">
        <f>'[1]תקציב הנדסה 2020 '!AP87</f>
        <v>24251679.080000002</v>
      </c>
      <c r="AN7" s="51">
        <f>'[1]תקציב הנדסה 2020 '!AQ87</f>
        <v>0</v>
      </c>
      <c r="AO7" s="51">
        <f>'[1]תקציב הנדסה 2020 '!AR87</f>
        <v>18130000</v>
      </c>
      <c r="AP7" s="51">
        <f>'[1]תקציב הנדסה 2020 '!AS87</f>
        <v>26084171.529999997</v>
      </c>
      <c r="AQ7" s="51">
        <f>'[1]תקציב הנדסה 2020 '!AT87</f>
        <v>44214171.530000001</v>
      </c>
      <c r="AR7" s="51">
        <f>'[1]תקציב הנדסה 2020 '!AU87</f>
        <v>321025577</v>
      </c>
      <c r="AS7" s="51">
        <f>'[1]תקציב הנדסה 2020 '!AV87</f>
        <v>16160000</v>
      </c>
      <c r="AT7" s="51">
        <f>'[1]תקציב הנדסה 2020 '!AW87</f>
        <v>16060000</v>
      </c>
      <c r="AU7" s="51">
        <f>'[1]תקציב הנדסה 2020 '!AX87</f>
        <v>0</v>
      </c>
      <c r="AV7" s="51">
        <f>'[1]תקציב הנדסה 2020 '!AY87</f>
        <v>0</v>
      </c>
      <c r="AW7" s="51">
        <f>'[1]תקציב הנדסה 2020 '!AZ87</f>
        <v>0</v>
      </c>
      <c r="AX7" s="51">
        <f>'[1]תקציב הנדסה 2020 '!BA87</f>
        <v>100000</v>
      </c>
      <c r="AY7" s="51">
        <f>'[1]תקציב הנדסה 2020 '!BB87</f>
        <v>-1970000</v>
      </c>
      <c r="AZ7" s="51">
        <f>'תקציב הנדסה 2020 '!BC$87</f>
        <v>18130000</v>
      </c>
      <c r="BA7" s="51">
        <f>'תקציב הנדסה 2020 '!BD$87</f>
        <v>16066000</v>
      </c>
      <c r="BB7" s="51">
        <f>'תקציב הנדסה 2020 '!BE$87</f>
        <v>0</v>
      </c>
      <c r="BC7" s="51">
        <f>'תקציב הנדסה 2020 '!BF$87</f>
        <v>0</v>
      </c>
      <c r="BD7" s="51">
        <f>'תקציב הנדסה 2020 '!BG$87</f>
        <v>0</v>
      </c>
      <c r="BE7" s="51">
        <f>'תקציב הנדסה 2020 '!BH$87</f>
        <v>16066000</v>
      </c>
      <c r="BF7" s="51">
        <f>'תקציב הנדסה 2020 '!BI$87</f>
        <v>0</v>
      </c>
      <c r="BG7" s="51">
        <f>'תקציב הנדסה 2020 '!BJ$87</f>
        <v>16066000</v>
      </c>
      <c r="BH7" s="51">
        <f>'תקציב הנדסה 2020 '!BK$87</f>
        <v>94000</v>
      </c>
      <c r="BI7" s="51">
        <f>'תקציב הנדסה 2020 '!BL$87</f>
        <v>16066000</v>
      </c>
      <c r="BJ7" s="51">
        <f>'תקציב הנדסה 2020 '!BM$87</f>
        <v>0</v>
      </c>
      <c r="BK7" s="51">
        <f>'תקציב הנדסה 2020 '!BN$87</f>
        <v>0</v>
      </c>
      <c r="BL7" s="51">
        <f>'תקציב הנדסה 2020 '!BO$87</f>
        <v>0</v>
      </c>
      <c r="BM7" s="51">
        <f>'תקציב הנדסה 2020 '!BP$87</f>
        <v>0</v>
      </c>
    </row>
    <row r="8" spans="1:65" s="53" customFormat="1" ht="27" customHeight="1">
      <c r="A8" s="9" t="s">
        <v>242</v>
      </c>
      <c r="B8" s="51">
        <f>'[1]תקציב החברה לפיתוח 2020'!D$129</f>
        <v>2887657813</v>
      </c>
      <c r="C8" s="51">
        <f>'[1]תקציב החברה לפיתוח 2020'!E$129</f>
        <v>2884587813</v>
      </c>
      <c r="D8" s="51">
        <f>'[1]תקציב החברה לפיתוח 2020'!F$129</f>
        <v>3070000</v>
      </c>
      <c r="E8" s="51">
        <f>'[1]תקציב החברה לפיתוח 2020'!G$129</f>
        <v>1321315076</v>
      </c>
      <c r="F8" s="51">
        <f>'[1]תקציב החברה לפיתוח 2020'!H$129</f>
        <v>966130777.77999997</v>
      </c>
      <c r="G8" s="51">
        <f>'[1]תקציב החברה לפיתוח 2020'!I$129</f>
        <v>1941356.11</v>
      </c>
      <c r="H8" s="51">
        <f>'[1]תקציב החברה לפיתוח 2020'!J$129</f>
        <v>45839482.719999991</v>
      </c>
      <c r="I8" s="51">
        <f>'[1]תקציב החברה לפיתוח 2020'!K$129</f>
        <v>47780838.829999991</v>
      </c>
      <c r="J8" s="51">
        <f>'[1]תקציב החברה לפיתוח 2020'!L$129</f>
        <v>1013911616.61</v>
      </c>
      <c r="K8" s="51">
        <f>'[1]תקציב החברה לפיתוח 2020'!M$129</f>
        <v>307403459.38999999</v>
      </c>
      <c r="L8" s="51">
        <f>'[1]תקציב החברה לפיתוח 2020'!N$129</f>
        <v>345450033</v>
      </c>
      <c r="M8" s="51">
        <f>'[1]תקציב החברה לפיתוח 2020'!O$129</f>
        <v>333164507</v>
      </c>
      <c r="N8" s="51">
        <f>'[1]תקציב החברה לפיתוח 2020'!P$129</f>
        <v>1232378230</v>
      </c>
      <c r="O8" s="51">
        <f>'[1]תקציב החברה לפיתוח 2020'!Q$129</f>
        <v>307403459.38999999</v>
      </c>
      <c r="P8" s="51">
        <f>'[1]תקציב החברה לפיתוח 2020'!R$129</f>
        <v>0</v>
      </c>
      <c r="Q8" s="51">
        <f>'[1]תקציב החברה לפיתוח 2020'!S$129</f>
        <v>0</v>
      </c>
      <c r="R8" s="51">
        <f>'[1]תקציב החברה לפיתוח 2020'!T$129</f>
        <v>0</v>
      </c>
      <c r="S8" s="51">
        <f>'[1]תקציב החברה לפיתוח 2020'!U$129</f>
        <v>0</v>
      </c>
      <c r="T8" s="51">
        <f>'[1]תקציב החברה לפיתוח 2020'!V$129</f>
        <v>345450033</v>
      </c>
      <c r="U8" s="51">
        <f>'[1]תקציב החברה לפיתוח 2020'!W$129</f>
        <v>140303099</v>
      </c>
      <c r="V8" s="51">
        <f>'[1]תקציב החברה לפיתוח 2020'!X$129</f>
        <v>3000000</v>
      </c>
      <c r="W8" s="51">
        <f>'[1]תקציב החברה לפיתוח 2020'!Y$129</f>
        <v>0</v>
      </c>
      <c r="X8" s="51">
        <f>'[1]תקציב החברה לפיתוח 2020'!Z$129</f>
        <v>100433357</v>
      </c>
      <c r="Y8" s="51">
        <f>'[1]תקציב החברה לפיתוח 2020'!AA$129</f>
        <v>101713577</v>
      </c>
      <c r="Z8" s="51">
        <f>'[1]תקציב החברה לפיתוח 2020'!A129</f>
        <v>117</v>
      </c>
      <c r="AA8" s="51">
        <f>'[1]תקציב החברה לפיתוח 2020'!AD129</f>
        <v>0</v>
      </c>
      <c r="AB8" s="51">
        <f>'[1]תקציב החברה לפיתוח 2020'!AE129</f>
        <v>0</v>
      </c>
      <c r="AC8" s="51">
        <f>'[1]תקציב החברה לפיתוח 2020'!AF129</f>
        <v>12285526</v>
      </c>
      <c r="AD8" s="51">
        <f>'[1]תקציב החברה לפיתוח 2020'!AG129</f>
        <v>0</v>
      </c>
      <c r="AE8" s="51">
        <f>'[1]תקציב החברה לפיתוח 2020'!AH129</f>
        <v>12285526</v>
      </c>
      <c r="AF8" s="51">
        <f>'[1]תקציב החברה לפיתוח 2020'!AI129</f>
        <v>334634507</v>
      </c>
      <c r="AG8" s="51">
        <f>'[1]תקציב החברה לפיתוח 2020'!AJ129</f>
        <v>134673099</v>
      </c>
      <c r="AH8" s="51">
        <f>'[1]תקציב החברה לפיתוח 2020'!AK129</f>
        <v>3000000</v>
      </c>
      <c r="AI8" s="51">
        <f>'[1]תקציב החברה לפיתוח 2020'!AL129</f>
        <v>0</v>
      </c>
      <c r="AJ8" s="51">
        <f>'[1]תקציב החברה לפיתוח 2020'!AM129</f>
        <v>100433357</v>
      </c>
      <c r="AK8" s="51">
        <f>'[1]תקציב החברה לפיתוח 2020'!AN129</f>
        <v>96528051</v>
      </c>
      <c r="AL8" s="51">
        <f>'[1]תקציב החברה לפיתוח 2020'!AO129</f>
        <v>226835526</v>
      </c>
      <c r="AM8" s="51">
        <f>'[1]תקציב החברה לפיתוח 2020'!AP129</f>
        <v>214640256.68000001</v>
      </c>
      <c r="AN8" s="51">
        <f>'[1]תקציב החברה לפיתוח 2020'!AQ129</f>
        <v>0</v>
      </c>
      <c r="AO8" s="51">
        <f>'[1]תקציב החברה לפיתוח 2020'!AR129</f>
        <v>244647724</v>
      </c>
      <c r="AP8" s="51">
        <f>'[1]תקציב החברה לפיתוח 2020'!AS129</f>
        <v>233123459.38999996</v>
      </c>
      <c r="AQ8" s="51">
        <f>'[1]תקציב החברה לפיתוח 2020'!AT129</f>
        <v>477771183.39000005</v>
      </c>
      <c r="AR8" s="51">
        <f>'[1]תקציב החברה לפיתוח 2020'!AU129</f>
        <v>1395975013</v>
      </c>
      <c r="AS8" s="51">
        <f>'[1]תקציב החברה לפיתוח 2020'!AV129</f>
        <v>170367724</v>
      </c>
      <c r="AT8" s="51">
        <f>'[1]תקציב החברה לפיתוח 2020'!AW129</f>
        <v>-13829875</v>
      </c>
      <c r="AU8" s="51">
        <f>'[1]תקציב החברה לפיתוח 2020'!AX129</f>
        <v>-700000</v>
      </c>
      <c r="AV8" s="51">
        <f>'[1]תקציב החברה לפיתוח 2020'!AY129</f>
        <v>0</v>
      </c>
      <c r="AW8" s="51">
        <f>'[1]תקציב החברה לפיתוח 2020'!AZ129</f>
        <v>93867483</v>
      </c>
      <c r="AX8" s="51">
        <f>'[1]תקציב החברה לפיתוח 2020'!BA129</f>
        <v>91030116</v>
      </c>
      <c r="AY8" s="51">
        <f>'[1]תקציב החברה לפיתוח 2020'!BB129</f>
        <v>-74280000</v>
      </c>
      <c r="AZ8" s="51">
        <f>'[1]תקציב החברה לפיתוח 2020'!BC129</f>
        <v>244647724</v>
      </c>
      <c r="BA8" s="51">
        <f>'תקציב החברה לפיתוח 2020'!BD$129</f>
        <v>10554366</v>
      </c>
      <c r="BB8" s="51">
        <f>'תקציב החברה לפיתוח 2020'!BE$129</f>
        <v>27643358</v>
      </c>
      <c r="BC8" s="51">
        <f>'תקציב החברה לפיתוח 2020'!BF$129</f>
        <v>10000000</v>
      </c>
      <c r="BD8" s="51">
        <f>'תקציב החברה לפיתוח 2020'!BG$129</f>
        <v>3500000</v>
      </c>
      <c r="BE8" s="51">
        <f>'תקציב החברה לפיתוח 2020'!BH$129</f>
        <v>51697724</v>
      </c>
      <c r="BF8" s="51">
        <f>'תקציב החברה לפיתוח 2020'!BI$129</f>
        <v>74272096</v>
      </c>
      <c r="BG8" s="51">
        <f>'תקציב החברה לפיתוח 2020'!BJ$129</f>
        <v>125969820</v>
      </c>
      <c r="BH8" s="51">
        <f>'תקציב החברה לפיתוח 2020'!BK$129</f>
        <v>44397904</v>
      </c>
      <c r="BI8" s="51">
        <f>'תקציב החברה לפיתוח 2020'!BL$129</f>
        <v>-13829876</v>
      </c>
      <c r="BJ8" s="51">
        <f>'תקציב החברה לפיתוח 2020'!BM$129</f>
        <v>-700000</v>
      </c>
      <c r="BK8" s="51">
        <f>'תקציב החברה לפיתוח 2020'!BN$129</f>
        <v>0</v>
      </c>
      <c r="BL8" s="51">
        <f>'תקציב החברה לפיתוח 2020'!BO$129</f>
        <v>90867483</v>
      </c>
      <c r="BM8" s="51">
        <f>'תקציב החברה לפיתוח 2020'!BP$129</f>
        <v>49632213</v>
      </c>
    </row>
    <row r="9" spans="1:65" s="53" customFormat="1" ht="27" customHeight="1">
      <c r="A9" s="268" t="s">
        <v>498</v>
      </c>
      <c r="B9" s="51">
        <f>'[1]תקציב אגף ת.ב.ל 2020 '!D$61</f>
        <v>408834105</v>
      </c>
      <c r="C9" s="51">
        <f>'[1]תקציב אגף ת.ב.ל 2020 '!E$61</f>
        <v>408834105</v>
      </c>
      <c r="D9" s="51">
        <f>'[1]תקציב אגף ת.ב.ל 2020 '!F$61</f>
        <v>0</v>
      </c>
      <c r="E9" s="51">
        <f>'[1]תקציב אגף ת.ב.ל 2020 '!G$61</f>
        <v>270451901</v>
      </c>
      <c r="F9" s="51">
        <f>'[1]תקציב אגף ת.ב.ל 2020 '!H$61</f>
        <v>190562965.44999999</v>
      </c>
      <c r="G9" s="51">
        <f>'[1]תקציב אגף ת.ב.ל 2020 '!I$61</f>
        <v>12731990.989999998</v>
      </c>
      <c r="H9" s="51">
        <f>'[1]תקציב אגף ת.ב.ל 2020 '!J$61</f>
        <v>27192992.630000003</v>
      </c>
      <c r="I9" s="51">
        <f>'[1]תקציב אגף ת.ב.ל 2020 '!K$61</f>
        <v>39924983.619999997</v>
      </c>
      <c r="J9" s="51">
        <f>'[1]תקציב אגף ת.ב.ל 2020 '!L$61</f>
        <v>230487949.06999993</v>
      </c>
      <c r="K9" s="51">
        <f>'[1]תקציב אגף ת.ב.ל 2020 '!M$61</f>
        <v>39963951.929999992</v>
      </c>
      <c r="L9" s="51">
        <f>'[1]תקציב אגף ת.ב.ל 2020 '!N$61</f>
        <v>60761300</v>
      </c>
      <c r="M9" s="51">
        <f>'[1]תקציב אגף ת.ב.ל 2020 '!O$61</f>
        <v>41619300</v>
      </c>
      <c r="N9" s="51">
        <f>'[1]תקציב אגף ת.ב.ל 2020 '!P$61</f>
        <v>96762904</v>
      </c>
      <c r="O9" s="51">
        <f>'[1]תקציב אגף ת.ב.ל 2020 '!Q$61</f>
        <v>39963951.929999992</v>
      </c>
      <c r="P9" s="51">
        <f>'[1]תקציב אגף ת.ב.ל 2020 '!R$61</f>
        <v>0</v>
      </c>
      <c r="Q9" s="51">
        <f>'[1]תקציב אגף ת.ב.ל 2020 '!S$61</f>
        <v>0</v>
      </c>
      <c r="R9" s="51">
        <f>'[1]תקציב אגף ת.ב.ל 2020 '!T$61</f>
        <v>0</v>
      </c>
      <c r="S9" s="51">
        <f>'[1]תקציב אגף ת.ב.ל 2020 '!U$61</f>
        <v>0</v>
      </c>
      <c r="T9" s="51">
        <f>'[1]תקציב אגף ת.ב.ל 2020 '!V$61</f>
        <v>60761300</v>
      </c>
      <c r="U9" s="51">
        <f>'[1]תקציב אגף ת.ב.ל 2020 '!W$61</f>
        <v>18950000</v>
      </c>
      <c r="V9" s="51">
        <f>'[1]תקציב אגף ת.ב.ל 2020 '!X$61</f>
        <v>30600000</v>
      </c>
      <c r="W9" s="51">
        <f>'[1]תקציב אגף ת.ב.ל 2020 '!Y$61</f>
        <v>0</v>
      </c>
      <c r="X9" s="51">
        <f>'[1]תקציב אגף ת.ב.ל 2020 '!Z$61</f>
        <v>0</v>
      </c>
      <c r="Y9" s="51">
        <f>'[1]תקציב אגף ת.ב.ל 2020 '!AA$61</f>
        <v>11211300</v>
      </c>
      <c r="Z9" s="383">
        <f>'[1]תקציב אגף ת.ב.ל 2020 '!A61</f>
        <v>55</v>
      </c>
      <c r="AA9" s="51">
        <f>'[1]תקציב אגף ת.ב.ל 2020 '!AD61</f>
        <v>608000</v>
      </c>
      <c r="AB9" s="51">
        <f>'[1]תקציב אגף ת.ב.ל 2020 '!AE61</f>
        <v>12100000</v>
      </c>
      <c r="AC9" s="51">
        <f>'[1]תקציב אגף ת.ב.ל 2020 '!AF61</f>
        <v>6434000</v>
      </c>
      <c r="AD9" s="51">
        <f>'[1]תקציב אגף ת.ב.ל 2020 '!AG61</f>
        <v>0</v>
      </c>
      <c r="AE9" s="51">
        <f>'[1]תקציב אגף ת.ב.ל 2020 '!AH61</f>
        <v>19142000</v>
      </c>
      <c r="AF9" s="51">
        <f>'[1]תקציב אגף ת.ב.ל 2020 '!AI61</f>
        <v>41619300</v>
      </c>
      <c r="AG9" s="51">
        <f>'[1]תקציב אגף ת.ב.ל 2020 '!AJ61</f>
        <v>11550000</v>
      </c>
      <c r="AH9" s="51">
        <f>'[1]תקציב אגף ת.ב.ל 2020 '!AK61</f>
        <v>18858000</v>
      </c>
      <c r="AI9" s="51">
        <f>'[1]תקציב אגף ת.ב.ל 2020 '!AL61</f>
        <v>0</v>
      </c>
      <c r="AJ9" s="51">
        <f>'[1]תקציב אגף ת.ב.ל 2020 '!AM61</f>
        <v>0</v>
      </c>
      <c r="AK9" s="51">
        <f>'[1]תקציב אגף ת.ב.ל 2020 '!AN61</f>
        <v>11211300</v>
      </c>
      <c r="AL9" s="51">
        <f>'[1]תקציב אגף ת.ב.ל 2020 '!AO61</f>
        <v>22468000</v>
      </c>
      <c r="AM9" s="51">
        <f>'[1]תקציב אגף ת.ב.ל 2020 '!AP61</f>
        <v>15797736.610000001</v>
      </c>
      <c r="AN9" s="51">
        <f>'[1]תקציב אגף ת.ב.ל 2020 '!AQ61</f>
        <v>0</v>
      </c>
      <c r="AO9" s="51">
        <f>'[1]תקציב אגף ת.ב.ל 2020 '!AR61</f>
        <v>13188000</v>
      </c>
      <c r="AP9" s="51">
        <f>'[1]תקציב אגף ת.ב.ל 2020 '!AS61</f>
        <v>20780951.18</v>
      </c>
      <c r="AQ9" s="51">
        <f>'[1]תקציב אגף ת.ב.ל 2020 '!AT61</f>
        <v>33968951.18</v>
      </c>
      <c r="AR9" s="51">
        <f>'[1]תקציב אגף ת.ב.ל 2020 '!AU61</f>
        <v>144377204.75</v>
      </c>
      <c r="AS9" s="51">
        <f>'[1]תקציב אגף ת.ב.ל 2020 '!AV61</f>
        <v>-5995000.7500000037</v>
      </c>
      <c r="AT9" s="51">
        <f>'[1]תקציב אגף ת.ב.ל 2020 '!AW61</f>
        <v>-6080000</v>
      </c>
      <c r="AU9" s="51">
        <f>'[1]תקציב אגף ת.ב.ל 2020 '!AX61</f>
        <v>-25000.750000001863</v>
      </c>
      <c r="AV9" s="51">
        <f>'[1]תקציב אגף ת.ב.ל 2020 '!AY61</f>
        <v>0</v>
      </c>
      <c r="AW9" s="51">
        <f>'[1]תקציב אגף ת.ב.ל 2020 '!AZ61</f>
        <v>0</v>
      </c>
      <c r="AX9" s="51">
        <f>'[1]תקציב אגף ת.ב.ל 2020 '!BA61</f>
        <v>110000</v>
      </c>
      <c r="AY9" s="51">
        <f>'[1]תקציב אגף ת.ב.ל 2020 '!BB61</f>
        <v>-19183000.750000004</v>
      </c>
      <c r="AZ9" s="51">
        <f>'[1]תקציב אגף ת.ב.ל 2020 '!BC61</f>
        <v>13188000</v>
      </c>
      <c r="BA9" s="51">
        <f>'תקציב אגף ת.ב.ל 2020 '!BD$61</f>
        <v>-5995000</v>
      </c>
      <c r="BB9" s="51">
        <f>'תקציב אגף ת.ב.ל 2020 '!BE$61</f>
        <v>-110000</v>
      </c>
      <c r="BC9" s="51">
        <f>'תקציב אגף ת.ב.ל 2020 '!BF$61</f>
        <v>0</v>
      </c>
      <c r="BD9" s="51">
        <f>'תקציב אגף ת.ב.ל 2020 '!BG$61</f>
        <v>0</v>
      </c>
      <c r="BE9" s="51">
        <f>'תקציב אגף ת.ב.ל 2020 '!BH$61</f>
        <v>-6105000</v>
      </c>
      <c r="BF9" s="51">
        <f>'תקציב אגף ת.ב.ל 2020 '!BI$61</f>
        <v>0</v>
      </c>
      <c r="BG9" s="51">
        <f>'תקציב אגף ת.ב.ל 2020 '!BJ$61</f>
        <v>-6105000</v>
      </c>
      <c r="BH9" s="51">
        <f>'תקציב אגף ת.ב.ל 2020 '!BK$61</f>
        <v>110000.31999999777</v>
      </c>
      <c r="BI9" s="51">
        <f>'תקציב אגף ת.ב.ל 2020 '!BL$61</f>
        <v>-6080000.4000000004</v>
      </c>
      <c r="BJ9" s="51">
        <f>'תקציב אגף ת.ב.ל 2020 '!BM$61</f>
        <v>-25000.400000000001</v>
      </c>
      <c r="BK9" s="51"/>
      <c r="BL9" s="51"/>
      <c r="BM9" s="51">
        <f>'תקציב אגף ת.ב.ל 2020 '!BP$61</f>
        <v>0</v>
      </c>
    </row>
    <row r="10" spans="1:65" s="53" customFormat="1" ht="28">
      <c r="A10" s="9" t="s">
        <v>152</v>
      </c>
      <c r="B10" s="51">
        <f>'[1]תקציב אגף בטחון פיקוח סד"צ 2020'!D$9</f>
        <v>4720000</v>
      </c>
      <c r="C10" s="51">
        <f>'[1]תקציב אגף בטחון פיקוח סד"צ 2020'!E$9</f>
        <v>4720000</v>
      </c>
      <c r="D10" s="51">
        <f>'[1]תקציב אגף בטחון פיקוח סד"צ 2020'!F$9</f>
        <v>0</v>
      </c>
      <c r="E10" s="51">
        <f>'[1]תקציב אגף בטחון פיקוח סד"צ 2020'!G$9</f>
        <v>4220000</v>
      </c>
      <c r="F10" s="51">
        <f>'[1]תקציב אגף בטחון פיקוח סד"צ 2020'!H$9</f>
        <v>2187119</v>
      </c>
      <c r="G10" s="51">
        <f>'[1]תקציב אגף בטחון פיקוח סד"צ 2020'!I$9</f>
        <v>0</v>
      </c>
      <c r="H10" s="51">
        <f>'[1]תקציב אגף בטחון פיקוח סד"צ 2020'!J$9</f>
        <v>74690.929999999993</v>
      </c>
      <c r="I10" s="51">
        <f>'[1]תקציב אגף בטחון פיקוח סד"צ 2020'!K$9</f>
        <v>74690.929999999993</v>
      </c>
      <c r="J10" s="51">
        <f>'[1]תקציב אגף בטחון פיקוח סד"צ 2020'!L$9</f>
        <v>2261809.9299999997</v>
      </c>
      <c r="K10" s="51">
        <f>'[1]תקציב אגף בטחון פיקוח סד"צ 2020'!M$9</f>
        <v>1958190.07</v>
      </c>
      <c r="L10" s="51">
        <f>'[1]תקציב אגף בטחון פיקוח סד"צ 2020'!N$9</f>
        <v>500000</v>
      </c>
      <c r="M10" s="51">
        <f>'[1]תקציב אגף בטחון פיקוח סד"צ 2020'!O$9</f>
        <v>500000</v>
      </c>
      <c r="N10" s="51">
        <f>'[1]תקציב אגף בטחון פיקוח סד"צ 2020'!P$9</f>
        <v>0</v>
      </c>
      <c r="O10" s="51">
        <f>'[1]תקציב אגף בטחון פיקוח סד"צ 2020'!Q$9</f>
        <v>1958190.07</v>
      </c>
      <c r="P10" s="51">
        <f>'[1]תקציב אגף בטחון פיקוח סד"צ 2020'!R$9</f>
        <v>0</v>
      </c>
      <c r="Q10" s="51">
        <f>'[1]תקציב אגף בטחון פיקוח סד"צ 2020'!S$9</f>
        <v>0</v>
      </c>
      <c r="R10" s="51">
        <f>'[1]תקציב אגף בטחון פיקוח סד"צ 2020'!T$9</f>
        <v>0</v>
      </c>
      <c r="S10" s="51">
        <f>'[1]תקציב אגף בטחון פיקוח סד"צ 2020'!U$9</f>
        <v>0</v>
      </c>
      <c r="T10" s="51">
        <f>'[1]תקציב אגף בטחון פיקוח סד"צ 2020'!V$9</f>
        <v>500000</v>
      </c>
      <c r="U10" s="51">
        <f>'[1]תקציב אגף בטחון פיקוח סד"צ 2020'!W$9</f>
        <v>0</v>
      </c>
      <c r="V10" s="51">
        <f>'[1]תקציב אגף בטחון פיקוח סד"צ 2020'!X$9</f>
        <v>500000</v>
      </c>
      <c r="W10" s="51">
        <f>'[1]תקציב אגף בטחון פיקוח סד"צ 2020'!Y$9</f>
        <v>0</v>
      </c>
      <c r="X10" s="51">
        <f>'[1]תקציב אגף בטחון פיקוח סד"צ 2020'!Z$9</f>
        <v>0</v>
      </c>
      <c r="Y10" s="51">
        <f>'[1]תקציב אגף בטחון פיקוח סד"צ 2020'!AA$9</f>
        <v>0</v>
      </c>
      <c r="Z10" s="383">
        <f>'[1]תקציב אגף בטחון פיקוח סד"צ 2020'!A9</f>
        <v>3</v>
      </c>
      <c r="AA10" s="51">
        <f>'[1]תקציב אגף בטחון פיקוח סד"צ 2020'!AD9</f>
        <v>0</v>
      </c>
      <c r="AB10" s="51">
        <f>'[1]תקציב אגף בטחון פיקוח סד"צ 2020'!AE9</f>
        <v>0</v>
      </c>
      <c r="AC10" s="51">
        <f>'[1]תקציב אגף בטחון פיקוח סד"צ 2020'!AF9</f>
        <v>0</v>
      </c>
      <c r="AD10" s="51">
        <f>'[1]תקציב אגף בטחון פיקוח סד"צ 2020'!AG9</f>
        <v>0</v>
      </c>
      <c r="AE10" s="51">
        <f>'[1]תקציב אגף בטחון פיקוח סד"צ 2020'!AH9</f>
        <v>0</v>
      </c>
      <c r="AF10" s="51">
        <f>'[1]תקציב אגף בטחון פיקוח סד"צ 2020'!AI9</f>
        <v>500000</v>
      </c>
      <c r="AG10" s="51">
        <f>'[1]תקציב אגף בטחון פיקוח סד"צ 2020'!AJ9</f>
        <v>0</v>
      </c>
      <c r="AH10" s="51">
        <f>'[1]תקציב אגף בטחון פיקוח סד"צ 2020'!AK9</f>
        <v>500000</v>
      </c>
      <c r="AI10" s="51">
        <f>'[1]תקציב אגף בטחון פיקוח סד"צ 2020'!AL9</f>
        <v>0</v>
      </c>
      <c r="AJ10" s="51">
        <f>'[1]תקציב אגף בטחון פיקוח סד"צ 2020'!AM9</f>
        <v>0</v>
      </c>
      <c r="AK10" s="51">
        <f>'[1]תקציב אגף בטחון פיקוח סד"צ 2020'!AN9</f>
        <v>0</v>
      </c>
      <c r="AL10" s="51">
        <f>'[1]תקציב אגף בטחון פיקוח סד"צ 2020'!AO9</f>
        <v>500000</v>
      </c>
      <c r="AM10" s="51">
        <f>'[1]תקציב אגף בטחון פיקוח סד"צ 2020'!AP9</f>
        <v>1196800</v>
      </c>
      <c r="AN10" s="51">
        <f>'[1]תקציב אגף בטחון פיקוח סד"צ 2020'!AQ9</f>
        <v>0</v>
      </c>
      <c r="AO10" s="51">
        <f>'[1]תקציב אגף בטחון פיקוח סד"צ 2020'!AR9</f>
        <v>0</v>
      </c>
      <c r="AP10" s="51">
        <f>'[1]תקציב אגף בטחון פיקוח סד"צ 2020'!AS9</f>
        <v>1258190</v>
      </c>
      <c r="AQ10" s="51">
        <f>'[1]תקציב אגף בטחון פיקוח סד"צ 2020'!AT9</f>
        <v>1258190</v>
      </c>
      <c r="AR10" s="51">
        <f>'[1]תקציב אגף בטחון פיקוח סד"צ 2020'!AU9</f>
        <v>1200000.07</v>
      </c>
      <c r="AS10" s="51">
        <f>'[1]תקציב אגף בטחון פיקוח סד"צ 2020'!AV9</f>
        <v>-700000.07000000007</v>
      </c>
      <c r="AT10" s="51">
        <f>'[1]תקציב אגף בטחון פיקוח סד"צ 2020'!AW9</f>
        <v>0</v>
      </c>
      <c r="AU10" s="51">
        <f>'[1]תקציב אגף בטחון פיקוח סד"צ 2020'!AX9</f>
        <v>-700000.07000000007</v>
      </c>
      <c r="AV10" s="51">
        <f>'[1]תקציב אגף בטחון פיקוח סד"צ 2020'!AY9</f>
        <v>0</v>
      </c>
      <c r="AW10" s="51">
        <f>'[1]תקציב אגף בטחון פיקוח סד"צ 2020'!AZ9</f>
        <v>0</v>
      </c>
      <c r="AX10" s="51">
        <f>'[1]תקציב אגף בטחון פיקוח סד"צ 2020'!BA9</f>
        <v>0</v>
      </c>
      <c r="AY10" s="51">
        <f>'[1]תקציב אגף בטחון פיקוח סד"צ 2020'!BB9</f>
        <v>-700000.07000000007</v>
      </c>
      <c r="AZ10" s="51">
        <f>'[1]תקציב אגף בטחון פיקוח סד"צ 2020'!BC9</f>
        <v>0</v>
      </c>
      <c r="BA10" s="51">
        <f>'תקציב אגף בטחון פיקוח סד"צ 20'!BD$9</f>
        <v>-700000</v>
      </c>
      <c r="BB10" s="51">
        <f>'תקציב אגף בטחון פיקוח סד"צ 20'!BE$9</f>
        <v>0</v>
      </c>
      <c r="BC10" s="51">
        <f>'תקציב אגף בטחון פיקוח סד"צ 20'!BF$9</f>
        <v>0</v>
      </c>
      <c r="BD10" s="51">
        <f>'תקציב אגף בטחון פיקוח סד"צ 20'!BG$9</f>
        <v>0</v>
      </c>
      <c r="BE10" s="51">
        <f>'תקציב אגף בטחון פיקוח סד"צ 20'!BH$9</f>
        <v>-700000</v>
      </c>
      <c r="BF10" s="51">
        <f>'תקציב אגף בטחון פיקוח סד"צ 20'!BI$9</f>
        <v>0</v>
      </c>
      <c r="BG10" s="51">
        <f>'תקציב אגף בטחון פיקוח סד"צ 20'!BJ$9</f>
        <v>-700000</v>
      </c>
      <c r="BH10" s="51">
        <f>'תקציב אגף בטחון פיקוח סד"צ 20'!BK$9</f>
        <v>-7.000000006519258E-2</v>
      </c>
      <c r="BI10" s="51">
        <f>'תקציב אגף בטחון פיקוח סד"צ 20'!BL$9</f>
        <v>0</v>
      </c>
      <c r="BJ10" s="51">
        <f>'תקציב אגף בטחון פיקוח סד"צ 20'!BM$9</f>
        <v>-700000</v>
      </c>
      <c r="BK10" s="51">
        <f>'תקציב אגף בטחון פיקוח סד"צ 20'!BN$9</f>
        <v>0</v>
      </c>
      <c r="BL10" s="51">
        <f>'תקציב אגף בטחון פיקוח סד"צ 20'!BO$9</f>
        <v>0</v>
      </c>
      <c r="BM10" s="51">
        <f>'תקציב אגף בטחון פיקוח סד"צ 20'!BP$9</f>
        <v>0</v>
      </c>
    </row>
    <row r="11" spans="1:65" s="53" customFormat="1" ht="27" customHeight="1">
      <c r="A11" s="268" t="s">
        <v>197</v>
      </c>
      <c r="B11" s="51">
        <f>'[1]תקציב אגף חינוך 2020'!D$27</f>
        <v>40786000</v>
      </c>
      <c r="C11" s="51">
        <f>'[1]תקציב אגף חינוך 2020'!E$27</f>
        <v>40786000</v>
      </c>
      <c r="D11" s="51">
        <f>'[1]תקציב אגף חינוך 2020'!F$27</f>
        <v>0</v>
      </c>
      <c r="E11" s="51">
        <f>'[1]תקציב אגף חינוך 2020'!G$27</f>
        <v>14887000</v>
      </c>
      <c r="F11" s="51">
        <f>'[1]תקציב אגף חינוך 2020'!H$27</f>
        <v>7127943.4100000001</v>
      </c>
      <c r="G11" s="51">
        <f>'[1]תקציב אגף חינוך 2020'!I$27</f>
        <v>621307.5</v>
      </c>
      <c r="H11" s="51">
        <f>'[1]תקציב אגף חינוך 2020'!J$27</f>
        <v>140767.91999999998</v>
      </c>
      <c r="I11" s="51">
        <f>'[1]תקציב אגף חינוך 2020'!K$27</f>
        <v>762075.42</v>
      </c>
      <c r="J11" s="51">
        <f>'[1]תקציב אגף חינוך 2020'!L$27</f>
        <v>7890018.8300000001</v>
      </c>
      <c r="K11" s="51">
        <f>'[1]תקציב אגף חינוך 2020'!M$27</f>
        <v>6996981.1699999999</v>
      </c>
      <c r="L11" s="51">
        <f>'[1]תקציב אגף חינוך 2020'!N$27</f>
        <v>5455000</v>
      </c>
      <c r="M11" s="51">
        <f>'[1]תקציב אגף חינוך 2020'!O$27</f>
        <v>4875000</v>
      </c>
      <c r="N11" s="51">
        <f>'[1]תקציב אגף חינוך 2020'!P$27</f>
        <v>21024000</v>
      </c>
      <c r="O11" s="51">
        <f>'[1]תקציב אגף חינוך 2020'!Q$27</f>
        <v>6996981.1699999999</v>
      </c>
      <c r="P11" s="51">
        <f>'[1]תקציב אגף חינוך 2020'!R$27</f>
        <v>0</v>
      </c>
      <c r="Q11" s="51">
        <f>'[1]תקציב אגף חינוך 2020'!S$27</f>
        <v>0</v>
      </c>
      <c r="R11" s="51">
        <f>'[1]תקציב אגף חינוך 2020'!T$27</f>
        <v>0</v>
      </c>
      <c r="S11" s="51">
        <f>'[1]תקציב אגף חינוך 2020'!U$27</f>
        <v>0</v>
      </c>
      <c r="T11" s="51">
        <f>'[1]תקציב אגף חינוך 2020'!V$27</f>
        <v>5455000</v>
      </c>
      <c r="U11" s="51">
        <f>'[1]תקציב אגף חינוך 2020'!W$27</f>
        <v>0</v>
      </c>
      <c r="V11" s="51">
        <f>'[1]תקציב אגף חינוך 2020'!X$27</f>
        <v>4917000</v>
      </c>
      <c r="W11" s="51">
        <f>'[1]תקציב אגף חינוך 2020'!Y$27</f>
        <v>0</v>
      </c>
      <c r="X11" s="51">
        <f>'[1]תקציב אגף חינוך 2020'!Z$27</f>
        <v>0</v>
      </c>
      <c r="Y11" s="51">
        <f>'[1]תקציב אגף חינוך 2020'!AA$27</f>
        <v>538000</v>
      </c>
      <c r="Z11" s="383">
        <f>'[1]תקציב אגף חינוך 2020'!A27</f>
        <v>21</v>
      </c>
      <c r="AA11" s="51">
        <f>'[1]תקציב אגף חינוך 2020'!AD27</f>
        <v>0</v>
      </c>
      <c r="AB11" s="51">
        <f>'[1]תקציב אגף חינוך 2020'!AE27</f>
        <v>0</v>
      </c>
      <c r="AC11" s="51">
        <f>'[1]תקציב אגף חינוך 2020'!AF27</f>
        <v>580000</v>
      </c>
      <c r="AD11" s="51">
        <f>'[1]תקציב אגף חינוך 2020'!AG27</f>
        <v>0</v>
      </c>
      <c r="AE11" s="51">
        <f>'[1]תקציב אגף חינוך 2020'!AH27</f>
        <v>580000</v>
      </c>
      <c r="AF11" s="51">
        <f>'[1]תקציב אגף חינוך 2020'!AI27</f>
        <v>4875000</v>
      </c>
      <c r="AG11" s="51">
        <f>'[1]תקציב אגף חינוך 2020'!AJ27</f>
        <v>0</v>
      </c>
      <c r="AH11" s="51">
        <f>'[1]תקציב אגף חינוך 2020'!AK27</f>
        <v>4337000</v>
      </c>
      <c r="AI11" s="51">
        <f>'[1]תקציב אגף חינוך 2020'!AL27</f>
        <v>0</v>
      </c>
      <c r="AJ11" s="51">
        <f>'[1]תקציב אגף חינוך 2020'!AM27</f>
        <v>0</v>
      </c>
      <c r="AK11" s="51">
        <f>'[1]תקציב אגף חינוך 2020'!AN27</f>
        <v>538000</v>
      </c>
      <c r="AL11" s="51">
        <f>'[1]תקציב אגף חינוך 2020'!AO27</f>
        <v>1650000</v>
      </c>
      <c r="AM11" s="51">
        <f>'[1]תקציב אגף חינוך 2020'!AP27</f>
        <v>5156688.68</v>
      </c>
      <c r="AN11" s="51">
        <f>'[1]תקציב אגף חינוך 2020'!AQ27</f>
        <v>0</v>
      </c>
      <c r="AO11" s="51">
        <f>'[1]תקציב אגף חינוך 2020'!AR27</f>
        <v>1650000</v>
      </c>
      <c r="AP11" s="51">
        <f>'[1]תקציב אגף חינוך 2020'!AS27</f>
        <v>5156980.68</v>
      </c>
      <c r="AQ11" s="51">
        <f>'[1]תקציב אגף חינוך 2020'!AT27</f>
        <v>6806980.6799999997</v>
      </c>
      <c r="AR11" s="51">
        <f>'[1]תקציב אגף חינוך 2020'!AU27</f>
        <v>26089000.490000002</v>
      </c>
      <c r="AS11" s="51">
        <f>'[1]תקציב אגף חינוך 2020'!AV27</f>
        <v>-190000.49000000022</v>
      </c>
      <c r="AT11" s="51">
        <f>'[1]תקציב אגף חינוך 2020'!AW27</f>
        <v>0</v>
      </c>
      <c r="AU11" s="51">
        <f>'[1]תקציב אגף חינוך 2020'!AX27</f>
        <v>-650000.49000000022</v>
      </c>
      <c r="AV11" s="51">
        <f>'[1]תקציב אגף חינוך 2020'!AY27</f>
        <v>0</v>
      </c>
      <c r="AW11" s="51">
        <f>'[1]תקציב אגף חינוך 2020'!AZ27</f>
        <v>0</v>
      </c>
      <c r="AX11" s="51">
        <f>'[1]תקציב אגף חינוך 2020'!BA27</f>
        <v>460000</v>
      </c>
      <c r="AY11" s="51">
        <f>'[1]תקציב אגף חינוך 2020'!BB27</f>
        <v>-1840000.4900000002</v>
      </c>
      <c r="AZ11" s="51">
        <f>'[1]תקציב אגף חינוך 2020'!BC27</f>
        <v>1650000</v>
      </c>
      <c r="BA11" s="51">
        <f>'תקציב אגף חינוך 2020'!BD$27</f>
        <v>-190000</v>
      </c>
      <c r="BB11" s="51">
        <f>'תקציב אגף חינוך 2020'!BE$27</f>
        <v>0</v>
      </c>
      <c r="BC11" s="51">
        <f>'תקציב אגף חינוך 2020'!BF$27</f>
        <v>0</v>
      </c>
      <c r="BD11" s="51">
        <f>'תקציב אגף חינוך 2020'!BG$27</f>
        <v>0</v>
      </c>
      <c r="BE11" s="51">
        <f>'תקציב אגף חינוך 2020'!BH$27</f>
        <v>-190000</v>
      </c>
      <c r="BF11" s="51">
        <f>'תקציב אגף חינוך 2020'!BI$27</f>
        <v>0</v>
      </c>
      <c r="BG11" s="51">
        <f>'תקציב אגף חינוך 2020'!BJ$27</f>
        <v>-190000</v>
      </c>
      <c r="BH11" s="51">
        <f>'תקציב אגף חינוך 2020'!BK$27</f>
        <v>-0.49000000022351742</v>
      </c>
      <c r="BI11" s="51">
        <f>'תקציב אגף חינוך 2020'!BL$27</f>
        <v>0</v>
      </c>
      <c r="BJ11" s="51">
        <f>'תקציב אגף חינוך 2020'!BM$27</f>
        <v>-650000</v>
      </c>
      <c r="BK11" s="51">
        <f>'תקציב אגף חינוך 2020'!BN$27</f>
        <v>0</v>
      </c>
      <c r="BL11" s="51">
        <f>'תקציב אגף חינוך 2020'!BO$27</f>
        <v>0</v>
      </c>
      <c r="BM11" s="51">
        <f>'תקציב אגף חינוך 2020'!BP$27</f>
        <v>460000</v>
      </c>
    </row>
    <row r="12" spans="1:65" s="53" customFormat="1" ht="27" customHeight="1">
      <c r="A12" s="268" t="s">
        <v>457</v>
      </c>
      <c r="B12" s="51">
        <f>'[1]תקציב אגף תנוס 2020 '!D$17</f>
        <v>21059594</v>
      </c>
      <c r="C12" s="51">
        <f>'[1]תקציב אגף תנוס 2020 '!E$17</f>
        <v>21059594</v>
      </c>
      <c r="D12" s="51">
        <f>'[1]תקציב אגף תנוס 2020 '!F$17</f>
        <v>0</v>
      </c>
      <c r="E12" s="51">
        <f>'[1]תקציב אגף תנוס 2020 '!G$17</f>
        <v>15935365</v>
      </c>
      <c r="F12" s="51">
        <f>'[1]תקציב אגף תנוס 2020 '!H$17</f>
        <v>11922729.51</v>
      </c>
      <c r="G12" s="51">
        <f>'[1]תקציב אגף תנוס 2020 '!I$17</f>
        <v>0</v>
      </c>
      <c r="H12" s="51">
        <f>'[1]תקציב אגף תנוס 2020 '!J$17</f>
        <v>1220907.8799999999</v>
      </c>
      <c r="I12" s="51">
        <f>'[1]תקציב אגף תנוס 2020 '!K$17</f>
        <v>1220907.8799999999</v>
      </c>
      <c r="J12" s="51">
        <f>'[1]תקציב אגף תנוס 2020 '!L$17</f>
        <v>13143637.389999999</v>
      </c>
      <c r="K12" s="51">
        <f>'[1]תקציב אגף תנוס 2020 '!M$17</f>
        <v>2791727.61</v>
      </c>
      <c r="L12" s="51">
        <f>'[1]תקציב אגף תנוס 2020 '!N$17</f>
        <v>3940229</v>
      </c>
      <c r="M12" s="51">
        <f>'[1]תקציב אגף תנוס 2020 '!O$17</f>
        <v>2754229</v>
      </c>
      <c r="N12" s="51">
        <f>'[1]תקציב אגף תנוס 2020 '!P$17</f>
        <v>2370000</v>
      </c>
      <c r="O12" s="51">
        <f>'[1]תקציב אגף תנוס 2020 '!Q$17</f>
        <v>2791727.61</v>
      </c>
      <c r="P12" s="51">
        <f>'[1]תקציב אגף תנוס 2020 '!R$17</f>
        <v>0</v>
      </c>
      <c r="Q12" s="51">
        <f>'[1]תקציב אגף תנוס 2020 '!S$17</f>
        <v>0</v>
      </c>
      <c r="R12" s="51">
        <f>'[1]תקציב אגף תנוס 2020 '!T$17</f>
        <v>0</v>
      </c>
      <c r="S12" s="51">
        <f>'[1]תקציב אגף תנוס 2020 '!U$17</f>
        <v>0</v>
      </c>
      <c r="T12" s="51">
        <f>'[1]תקציב אגף תנוס 2020 '!V$17</f>
        <v>3940229</v>
      </c>
      <c r="U12" s="51">
        <f>'[1]תקציב אגף תנוס 2020 '!W$17</f>
        <v>0</v>
      </c>
      <c r="V12" s="51">
        <f>'[1]תקציב אגף תנוס 2020 '!X$17</f>
        <v>3435000</v>
      </c>
      <c r="W12" s="51">
        <f>'[1]תקציב אגף תנוס 2020 '!Y$17</f>
        <v>0</v>
      </c>
      <c r="X12" s="51">
        <f>'[1]תקציב אגף תנוס 2020 '!Z$17</f>
        <v>0</v>
      </c>
      <c r="Y12" s="51">
        <f>'[1]תקציב אגף תנוס 2020 '!AA$17</f>
        <v>505229</v>
      </c>
      <c r="Z12" s="383">
        <f>'[1]תקציב אגף תנוס 2020 '!A17</f>
        <v>11</v>
      </c>
      <c r="AA12" s="51">
        <f>'[1]תקציב אגף תנוס 2020 '!AD17</f>
        <v>0</v>
      </c>
      <c r="AB12" s="51">
        <f>'[1]תקציב אגף תנוס 2020 '!AE17</f>
        <v>1186000</v>
      </c>
      <c r="AC12" s="51">
        <f>'[1]תקציב אגף תנוס 2020 '!AF17</f>
        <v>0</v>
      </c>
      <c r="AD12" s="51">
        <f>'[1]תקציב אגף תנוס 2020 '!AG17</f>
        <v>0</v>
      </c>
      <c r="AE12" s="51">
        <f>'[1]תקציב אגף תנוס 2020 '!AH17</f>
        <v>1186000</v>
      </c>
      <c r="AF12" s="51">
        <f>'[1]תקציב אגף תנוס 2020 '!AI17</f>
        <v>2754229</v>
      </c>
      <c r="AG12" s="51">
        <f>'[1]תקציב אגף תנוס 2020 '!AJ17</f>
        <v>0</v>
      </c>
      <c r="AH12" s="51">
        <f>'[1]תקציב אגף תנוס 2020 '!AK17</f>
        <v>2309229</v>
      </c>
      <c r="AI12" s="51">
        <f>'[1]תקציב אגף תנוס 2020 '!AL17</f>
        <v>0</v>
      </c>
      <c r="AJ12" s="51">
        <f>'[1]תקציב אגף תנוס 2020 '!AM17</f>
        <v>0</v>
      </c>
      <c r="AK12" s="51">
        <f>'[1]תקציב אגף תנוס 2020 '!AN17</f>
        <v>445000</v>
      </c>
      <c r="AL12" s="51">
        <f>'[1]תקציב אגף תנוס 2020 '!AO17</f>
        <v>0</v>
      </c>
      <c r="AM12" s="51">
        <f>'[1]תקציב אגף תנוס 2020 '!AP17</f>
        <v>0</v>
      </c>
      <c r="AN12" s="51">
        <f>'[1]תקציב אגף תנוס 2020 '!AQ17</f>
        <v>0</v>
      </c>
      <c r="AO12" s="51">
        <f>'[1]תקציב אגף תנוס 2020 '!AR17</f>
        <v>70000</v>
      </c>
      <c r="AP12" s="51">
        <f>'[1]תקציב אגף תנוס 2020 '!AS17</f>
        <v>1311727.21</v>
      </c>
      <c r="AQ12" s="51">
        <f>'[1]תקציב אגף תנוס 2020 '!AT17</f>
        <v>1381727.21</v>
      </c>
      <c r="AR12" s="51">
        <f>'[1]תקציב אגף תנוס 2020 '!AU17</f>
        <v>6534229.4000000004</v>
      </c>
      <c r="AS12" s="51">
        <f>'[1]תקציב אגף תנוס 2020 '!AV17</f>
        <v>-1410000.3999999997</v>
      </c>
      <c r="AT12" s="51">
        <f>'[1]תקציב אגף תנוס 2020 '!AW17</f>
        <v>0</v>
      </c>
      <c r="AU12" s="51">
        <f>'[1]תקציב אגף תנוס 2020 '!AX17</f>
        <v>-1410000.3999999997</v>
      </c>
      <c r="AV12" s="51">
        <f>'[1]תקציב אגף תנוס 2020 '!AY17</f>
        <v>0</v>
      </c>
      <c r="AW12" s="51">
        <f>'[1]תקציב אגף תנוס 2020 '!AZ17</f>
        <v>0</v>
      </c>
      <c r="AX12" s="51">
        <f>'[1]תקציב אגף תנוס 2020 '!BA17</f>
        <v>0</v>
      </c>
      <c r="AY12" s="51">
        <f>'[1]תקציב אגף תנוס 2020 '!BB17</f>
        <v>-1480000.3999999997</v>
      </c>
      <c r="AZ12" s="51">
        <f>'[1]תקציב אגף תנוס 2020 '!BC17</f>
        <v>70000</v>
      </c>
      <c r="BA12" s="51">
        <f>'תקציב אגף תנוס 2020 '!BD$17</f>
        <v>-1410000</v>
      </c>
      <c r="BB12" s="51">
        <f>'תקציב אגף תנוס 2020 '!BE$17</f>
        <v>0</v>
      </c>
      <c r="BC12" s="51">
        <f>'תקציב אגף תנוס 2020 '!BF$17</f>
        <v>0</v>
      </c>
      <c r="BD12" s="51">
        <f>'תקציב אגף תנוס 2020 '!BG$17</f>
        <v>0</v>
      </c>
      <c r="BE12" s="51">
        <f>'תקציב אגף תנוס 2020 '!BH$17</f>
        <v>-1410000</v>
      </c>
      <c r="BF12" s="51">
        <f>'תקציב אגף תנוס 2020 '!BI$17</f>
        <v>0</v>
      </c>
      <c r="BG12" s="51">
        <f>'תקציב אגף תנוס 2020 '!BJ$17</f>
        <v>-1410000</v>
      </c>
      <c r="BH12" s="51">
        <f>'תקציב אגף תנוס 2020 '!BK$17</f>
        <v>-0.39999999964493327</v>
      </c>
      <c r="BI12" s="51">
        <f>'תקציב אגף תנוס 2020 '!BL$17</f>
        <v>0</v>
      </c>
      <c r="BJ12" s="51">
        <f>'תקציב אגף תנוס 2020 '!BM$17</f>
        <v>-1410000</v>
      </c>
      <c r="BK12" s="51">
        <f>'תקציב אגף תנוס 2020 '!BN$17</f>
        <v>0</v>
      </c>
      <c r="BL12" s="51">
        <f>'תקציב אגף תנוס 2020 '!BO$17</f>
        <v>0</v>
      </c>
      <c r="BM12" s="51">
        <f>'תקציב אגף תנוס 2020 '!BP$17</f>
        <v>0</v>
      </c>
    </row>
    <row r="13" spans="1:65" s="53" customFormat="1" ht="27" customHeight="1">
      <c r="A13" s="9" t="s">
        <v>102</v>
      </c>
      <c r="B13" s="51">
        <f>'[1]תקציב אגף שאיפה  2020 '!D$46</f>
        <v>243518379</v>
      </c>
      <c r="C13" s="51">
        <f>'[1]תקציב אגף שאיפה  2020 '!E$46</f>
        <v>242259379</v>
      </c>
      <c r="D13" s="51">
        <f>'[1]תקציב אגף שאיפה  2020 '!F$46</f>
        <v>1259000</v>
      </c>
      <c r="E13" s="51">
        <f>'[1]תקציב אגף שאיפה  2020 '!G$46</f>
        <v>204940379</v>
      </c>
      <c r="F13" s="51">
        <f>'[1]תקציב אגף שאיפה  2020 '!H$46</f>
        <v>186472910.16000003</v>
      </c>
      <c r="G13" s="51">
        <f>'[1]תקציב אגף שאיפה  2020 '!I$46</f>
        <v>0</v>
      </c>
      <c r="H13" s="51">
        <f>'[1]תקציב אגף שאיפה  2020 '!J$46</f>
        <v>6932798.8100000005</v>
      </c>
      <c r="I13" s="51">
        <f>'[1]תקציב אגף שאיפה  2020 '!K$46</f>
        <v>6932798.8100000005</v>
      </c>
      <c r="J13" s="51">
        <f>'[1]תקציב אגף שאיפה  2020 '!L$46</f>
        <v>193405708.97000003</v>
      </c>
      <c r="K13" s="51">
        <f>'[1]תקציב אגף שאיפה  2020 '!M$46</f>
        <v>11534670.030000001</v>
      </c>
      <c r="L13" s="51">
        <f>'[1]תקציב אגף שאיפה  2020 '!N$46</f>
        <v>33192000</v>
      </c>
      <c r="M13" s="51">
        <f>'[1]תקציב אגף שאיפה  2020 '!O$46</f>
        <v>24345000</v>
      </c>
      <c r="N13" s="51">
        <f>'[1]תקציב אגף שאיפה  2020 '!P$46</f>
        <v>12974000</v>
      </c>
      <c r="O13" s="51">
        <f>'[1]תקציב אגף שאיפה  2020 '!Q$46</f>
        <v>11534670.030000001</v>
      </c>
      <c r="P13" s="51">
        <f>'[1]תקציב אגף שאיפה  2020 '!R$46</f>
        <v>0</v>
      </c>
      <c r="Q13" s="51">
        <f>'[1]תקציב אגף שאיפה  2020 '!S$46</f>
        <v>0</v>
      </c>
      <c r="R13" s="51">
        <f>'[1]תקציב אגף שאיפה  2020 '!T$46</f>
        <v>0</v>
      </c>
      <c r="S13" s="51">
        <f>'[1]תקציב אגף שאיפה  2020 '!U$46</f>
        <v>0</v>
      </c>
      <c r="T13" s="51">
        <f>'[1]תקציב אגף שאיפה  2020 '!V$46</f>
        <v>33192000</v>
      </c>
      <c r="U13" s="51">
        <f>'[1]תקציב אגף שאיפה  2020 '!W$46</f>
        <v>2930000</v>
      </c>
      <c r="V13" s="51">
        <f>'[1]תקציב אגף שאיפה  2020 '!X$46</f>
        <v>12522000</v>
      </c>
      <c r="W13" s="51">
        <f>'[1]תקציב אגף שאיפה  2020 '!Y$46</f>
        <v>0</v>
      </c>
      <c r="X13" s="51">
        <f>'[1]תקציב אגף שאיפה  2020 '!Z$46</f>
        <v>0</v>
      </c>
      <c r="Y13" s="51">
        <f>'[1]תקציב אגף שאיפה  2020 '!AA$46</f>
        <v>17740000</v>
      </c>
      <c r="Z13" s="383">
        <f>'[1]תקציב אגף שאיפה  2020 '!A46</f>
        <v>40</v>
      </c>
      <c r="AA13" s="51">
        <f>'[1]תקציב אגף שאיפה  2020 '!AD46</f>
        <v>0</v>
      </c>
      <c r="AB13" s="51">
        <f>'[1]תקציב אגף שאיפה  2020 '!AE46</f>
        <v>1500000</v>
      </c>
      <c r="AC13" s="51">
        <f>'[1]תקציב אגף שאיפה  2020 '!AF46</f>
        <v>7347000</v>
      </c>
      <c r="AD13" s="51">
        <f>'[1]תקציב אגף שאיפה  2020 '!AG46</f>
        <v>0</v>
      </c>
      <c r="AE13" s="51">
        <f>'[1]תקציב אגף שאיפה  2020 '!AH46</f>
        <v>8847000</v>
      </c>
      <c r="AF13" s="51">
        <f>'[1]תקציב אגף שאיפה  2020 '!AI46</f>
        <v>24345000</v>
      </c>
      <c r="AG13" s="51">
        <f>'[1]תקציב אגף שאיפה  2020 '!AJ46</f>
        <v>830000</v>
      </c>
      <c r="AH13" s="51">
        <f>'[1]תקציב אגף שאיפה  2020 '!AK46</f>
        <v>8925000</v>
      </c>
      <c r="AI13" s="51">
        <f>'[1]תקציב אגף שאיפה  2020 '!AL46</f>
        <v>0</v>
      </c>
      <c r="AJ13" s="51">
        <f>'[1]תקציב אגף שאיפה  2020 '!AM46</f>
        <v>0</v>
      </c>
      <c r="AK13" s="51">
        <f>'[1]תקציב אגף שאיפה  2020 '!AN46</f>
        <v>14590000</v>
      </c>
      <c r="AL13" s="51">
        <f>'[1]תקציב אגף שאיפה  2020 '!AO46</f>
        <v>12500002</v>
      </c>
      <c r="AM13" s="51">
        <f>'[1]תקציב אגף שאיפה  2020 '!AP46</f>
        <v>7492707.4200000018</v>
      </c>
      <c r="AN13" s="51">
        <f>'[1]תקציב אגף שאיפה  2020 '!AQ46</f>
        <v>0</v>
      </c>
      <c r="AO13" s="51">
        <f>'[1]תקציב אגף שאיפה  2020 '!AR46</f>
        <v>14099000</v>
      </c>
      <c r="AP13" s="51">
        <f>'[1]תקציב אגף שאיפה  2020 '!AS46</f>
        <v>7208670.0300000012</v>
      </c>
      <c r="AQ13" s="51">
        <f>'[1]תקציב אגף שאיפה  2020 '!AT46</f>
        <v>21307670.030000005</v>
      </c>
      <c r="AR13" s="51">
        <f>'[1]תקציב אגף שאיפה  2020 '!AU46</f>
        <v>28805000</v>
      </c>
      <c r="AS13" s="51">
        <f>'[1]תקציב אגף שאיפה  2020 '!AV46</f>
        <v>9773000</v>
      </c>
      <c r="AT13" s="51">
        <f>'[1]תקציב אגף שאיפה  2020 '!AW46</f>
        <v>-2015000</v>
      </c>
      <c r="AU13" s="51">
        <f>'[1]תקציב אגף שאיפה  2020 '!AX46</f>
        <v>529000</v>
      </c>
      <c r="AV13" s="51">
        <f>'[1]תקציב אגף שאיפה  2020 '!AY46</f>
        <v>0</v>
      </c>
      <c r="AW13" s="51">
        <f>'[1]תקציב אגף שאיפה  2020 '!AZ46</f>
        <v>0</v>
      </c>
      <c r="AX13" s="51">
        <f>'[1]תקציב אגף שאיפה  2020 '!BA46</f>
        <v>11259000</v>
      </c>
      <c r="AY13" s="51">
        <f>'[1]תקציב אגף שאיפה  2020 '!BB46</f>
        <v>-4326000</v>
      </c>
      <c r="AZ13" s="51">
        <f>'[1]תקציב אגף שאיפה  2020 '!BC46</f>
        <v>14099000</v>
      </c>
      <c r="BA13" s="51">
        <f>'תקציב אגף שאיפה  2020  '!BD$46</f>
        <v>2922000</v>
      </c>
      <c r="BB13" s="51">
        <f>'תקציב אגף שאיפה  2020  '!BE$46</f>
        <v>0</v>
      </c>
      <c r="BC13" s="51">
        <f>'תקציב אגף שאיפה  2020  '!BF$46</f>
        <v>2000000</v>
      </c>
      <c r="BD13" s="51">
        <f>'תקציב אגף שאיפה  2020  '!BG$46</f>
        <v>5000000</v>
      </c>
      <c r="BE13" s="51">
        <f>'תקציב אגף שאיפה  2020  '!BH$46</f>
        <v>9922000</v>
      </c>
      <c r="BF13" s="51">
        <f>'תקציב אגף שאיפה  2020  '!BI$46</f>
        <v>0</v>
      </c>
      <c r="BG13" s="51">
        <f>'תקציב אגף שאיפה  2020  '!BJ$46</f>
        <v>9922000</v>
      </c>
      <c r="BH13" s="51">
        <f>'תקציב אגף שאיפה  2020  '!BK$46</f>
        <v>-149000</v>
      </c>
      <c r="BI13" s="51">
        <f>'תקציב אגף שאיפה  2020  '!BL$46</f>
        <v>-2015000</v>
      </c>
      <c r="BJ13" s="51">
        <f>'תקציב אגף שאיפה  2020  '!BM$46</f>
        <v>678000</v>
      </c>
      <c r="BK13" s="51">
        <f>'תקציב אגף שאיפה  2020  '!BN$46</f>
        <v>0</v>
      </c>
      <c r="BL13" s="51">
        <f>'תקציב אגף שאיפה  2020  '!BO$46</f>
        <v>0</v>
      </c>
      <c r="BM13" s="51">
        <f>'תקציב אגף שאיפה  2020  '!BP$46</f>
        <v>11259000</v>
      </c>
    </row>
    <row r="14" spans="1:65" s="53" customFormat="1" ht="27" customHeight="1">
      <c r="A14" s="9" t="s">
        <v>193</v>
      </c>
      <c r="B14" s="51">
        <f>'[1]תקציב רשות החופים 2020 '!D$23</f>
        <v>6635620</v>
      </c>
      <c r="C14" s="51">
        <f>'[1]תקציב רשות החופים 2020 '!E$23</f>
        <v>6635620</v>
      </c>
      <c r="D14" s="51">
        <f>'[1]תקציב רשות החופים 2020 '!F$23</f>
        <v>0</v>
      </c>
      <c r="E14" s="51">
        <f>'[1]תקציב רשות החופים 2020 '!G$23</f>
        <v>6400649</v>
      </c>
      <c r="F14" s="51">
        <f>'[1]תקציב רשות החופים 2020 '!H$23</f>
        <v>3815059.32</v>
      </c>
      <c r="G14" s="51">
        <f>'[1]תקציב רשות החופים 2020 '!I$23</f>
        <v>484961.06999999995</v>
      </c>
      <c r="H14" s="51">
        <f>'[1]תקציב רשות החופים 2020 '!J$23</f>
        <v>1421980.21</v>
      </c>
      <c r="I14" s="51">
        <f>'[1]תקציב רשות החופים 2020 '!K$23</f>
        <v>1906941.2799999998</v>
      </c>
      <c r="J14" s="51">
        <f>'[1]תקציב רשות החופים 2020 '!L$23</f>
        <v>5722000.5999999996</v>
      </c>
      <c r="K14" s="51">
        <f>'[1]תקציב רשות החופים 2020 '!M$23</f>
        <v>678648.40000000037</v>
      </c>
      <c r="L14" s="51">
        <f>'[1]תקציב רשות החופים 2020 '!N$23</f>
        <v>1934971</v>
      </c>
      <c r="M14" s="51">
        <f>'[1]תקציב רשות החופים 2020 '!O$23</f>
        <v>84971</v>
      </c>
      <c r="N14" s="51">
        <f>'[1]תקציב רשות החופים 2020 '!P$23</f>
        <v>150000</v>
      </c>
      <c r="O14" s="51">
        <f>'[1]תקציב רשות החופים 2020 '!Q$23</f>
        <v>678648.40000000037</v>
      </c>
      <c r="P14" s="51">
        <f>'[1]תקציב רשות החופים 2020 '!R$23</f>
        <v>0</v>
      </c>
      <c r="Q14" s="51">
        <f>'[1]תקציב רשות החופים 2020 '!S$23</f>
        <v>0</v>
      </c>
      <c r="R14" s="51">
        <f>'[1]תקציב רשות החופים 2020 '!T$23</f>
        <v>0</v>
      </c>
      <c r="S14" s="51">
        <f>'[1]תקציב רשות החופים 2020 '!U$23</f>
        <v>0</v>
      </c>
      <c r="T14" s="51">
        <f>'[1]תקציב רשות החופים 2020 '!V$23</f>
        <v>1934971</v>
      </c>
      <c r="U14" s="51">
        <f>'[1]תקציב רשות החופים 2020 '!W$23</f>
        <v>0</v>
      </c>
      <c r="V14" s="51">
        <f>'[1]תקציב רשות החופים 2020 '!X$23</f>
        <v>1906971</v>
      </c>
      <c r="W14" s="51">
        <f>'[1]תקציב רשות החופים 2020 '!Y$23</f>
        <v>0</v>
      </c>
      <c r="X14" s="51">
        <f>'[1]תקציב רשות החופים 2020 '!Z$23</f>
        <v>0</v>
      </c>
      <c r="Y14" s="51">
        <f>'[1]תקציב רשות החופים 2020 '!AA$23</f>
        <v>28000</v>
      </c>
      <c r="Z14" s="383">
        <f>'[1]תקציב רשות החופים 2020 '!A23</f>
        <v>17</v>
      </c>
      <c r="AA14" s="383">
        <f>'[1]תקציב רשות החופים 2020 '!AD23</f>
        <v>0</v>
      </c>
      <c r="AB14" s="51">
        <f>'[1]תקציב רשות החופים 2020 '!AE23</f>
        <v>1850000</v>
      </c>
      <c r="AC14" s="51">
        <f>'[1]תקציב רשות החופים 2020 '!AF23</f>
        <v>0</v>
      </c>
      <c r="AD14" s="51">
        <f>'[1]תקציב רשות החופים 2020 '!AG23</f>
        <v>0</v>
      </c>
      <c r="AE14" s="51">
        <f>'[1]תקציב רשות החופים 2020 '!AH23</f>
        <v>1850000</v>
      </c>
      <c r="AF14" s="51">
        <f>'[1]תקציב רשות החופים 2020 '!AI23</f>
        <v>84971</v>
      </c>
      <c r="AG14" s="51">
        <f>'[1]תקציב רשות החופים 2020 '!AJ23</f>
        <v>0</v>
      </c>
      <c r="AH14" s="51">
        <f>'[1]תקציב רשות החופים 2020 '!AK23</f>
        <v>56971</v>
      </c>
      <c r="AI14" s="51">
        <f>'[1]תקציב רשות החופים 2020 '!AL23</f>
        <v>0</v>
      </c>
      <c r="AJ14" s="51">
        <f>'[1]תקציב רשות החופים 2020 '!AM23</f>
        <v>0</v>
      </c>
      <c r="AK14" s="51">
        <f>'[1]תקציב רשות החופים 2020 '!AN23</f>
        <v>28000</v>
      </c>
      <c r="AL14" s="51">
        <f>'[1]תקציב רשות החופים 2020 '!AO23</f>
        <v>100000</v>
      </c>
      <c r="AM14" s="51">
        <f>'[1]תקציב רשות החופים 2020 '!AP23</f>
        <v>678648</v>
      </c>
      <c r="AN14" s="51">
        <f>'[1]תקציב רשות החופים 2020 '!AQ23</f>
        <v>0</v>
      </c>
      <c r="AO14" s="51">
        <f>'[1]תקציב רשות החופים 2020 '!AR23</f>
        <v>100000</v>
      </c>
      <c r="AP14" s="51">
        <f>'[1]תקציב רשות החופים 2020 '!AS23</f>
        <v>678648</v>
      </c>
      <c r="AQ14" s="51">
        <f>'[1]תקציב רשות החופים 2020 '!AT23</f>
        <v>778648</v>
      </c>
      <c r="AR14" s="51">
        <f>'[1]תקציב רשות החופים 2020 '!AU23</f>
        <v>134971.4000000004</v>
      </c>
      <c r="AS14" s="51">
        <f>'[1]תקציב רשות החופים 2020 '!AV23</f>
        <v>99999.599999999613</v>
      </c>
      <c r="AT14" s="51">
        <f>'[1]תקציב רשות החופים 2020 '!AW23</f>
        <v>0</v>
      </c>
      <c r="AU14" s="51">
        <f>'[1]תקציב רשות החופים 2020 '!AX23</f>
        <v>-0.40000000038344297</v>
      </c>
      <c r="AV14" s="51">
        <f>'[1]תקציב רשות החופים 2020 '!AY23</f>
        <v>0</v>
      </c>
      <c r="AW14" s="51">
        <f>'[1]תקציב רשות החופים 2020 '!AZ23</f>
        <v>0</v>
      </c>
      <c r="AX14" s="51">
        <f>'[1]תקציב רשות החופים 2020 '!BA23</f>
        <v>100000</v>
      </c>
      <c r="AY14" s="51">
        <f>'[1]תקציב רשות החופים 2020 '!BB23</f>
        <v>-0.40000000038344297</v>
      </c>
      <c r="AZ14" s="51">
        <f>'[1]תקציב רשות החופים 2020 '!BC23</f>
        <v>100000</v>
      </c>
      <c r="BA14" s="51">
        <f>'תקציב רשות החופים 2020 '!BD$23</f>
        <v>0</v>
      </c>
      <c r="BB14" s="51">
        <f>'תקציב רשות החופים 2020 '!BE$23</f>
        <v>0</v>
      </c>
      <c r="BC14" s="51">
        <f>'תקציב רשות החופים 2020 '!BF$23</f>
        <v>0</v>
      </c>
      <c r="BD14" s="51">
        <f>'תקציב רשות החופים 2020 '!BG$23</f>
        <v>0</v>
      </c>
      <c r="BE14" s="51">
        <f>'תקציב רשות החופים 2020 '!BH$23</f>
        <v>0</v>
      </c>
      <c r="BF14" s="51">
        <f>'תקציב רשות החופים 2020 '!BI$23</f>
        <v>0</v>
      </c>
      <c r="BG14" s="51">
        <f>'תקציב רשות החופים 2020 '!BJ$23</f>
        <v>0</v>
      </c>
      <c r="BH14" s="51">
        <f>'תקציב רשות החופים 2020 '!BK$23</f>
        <v>99999.599999999613</v>
      </c>
      <c r="BI14" s="51">
        <f>'תקציב רשות החופים 2020 '!BL$23</f>
        <v>0</v>
      </c>
      <c r="BJ14" s="51">
        <f>'תקציב רשות החופים 2020 '!BM$23</f>
        <v>0</v>
      </c>
      <c r="BK14" s="51">
        <f>'תקציב רשות החופים 2020 '!BN$23</f>
        <v>0</v>
      </c>
      <c r="BL14" s="51">
        <f>'תקציב רשות החופים 2020 '!BO$23</f>
        <v>0</v>
      </c>
      <c r="BM14" s="51">
        <f>'תקציב רשות החופים 2020 '!BP$23</f>
        <v>0</v>
      </c>
    </row>
    <row r="15" spans="1:65" s="53" customFormat="1" ht="27" customHeight="1">
      <c r="A15" s="9" t="s">
        <v>104</v>
      </c>
      <c r="B15" s="51">
        <f>'[1]תקציב החברה לתירות 2020 '!D$15</f>
        <v>40043000</v>
      </c>
      <c r="C15" s="51">
        <f>'[1]תקציב החברה לתירות 2020 '!E$15</f>
        <v>40043000</v>
      </c>
      <c r="D15" s="51">
        <f>'[1]תקציב החברה לתירות 2020 '!F$15</f>
        <v>0</v>
      </c>
      <c r="E15" s="51">
        <f>'[1]תקציב החברה לתירות 2020 '!G$15</f>
        <v>15315000</v>
      </c>
      <c r="F15" s="51">
        <f>'[1]תקציב החברה לתירות 2020 '!H$15</f>
        <v>14878987.530000001</v>
      </c>
      <c r="G15" s="51">
        <f>'[1]תקציב החברה לתירות 2020 '!I$15</f>
        <v>0</v>
      </c>
      <c r="H15" s="51">
        <f>'[1]תקציב החברה לתירות 2020 '!J$15</f>
        <v>0</v>
      </c>
      <c r="I15" s="51">
        <f>'[1]תקציב החברה לתירות 2020 '!K$15</f>
        <v>0</v>
      </c>
      <c r="J15" s="51">
        <f>'[1]תקציב החברה לתירות 2020 '!L$15</f>
        <v>14878987.530000001</v>
      </c>
      <c r="K15" s="51">
        <f>'[1]תקציב החברה לתירות 2020 '!M$15</f>
        <v>436012.46999999951</v>
      </c>
      <c r="L15" s="51">
        <f>'[1]תקציב החברה לתירות 2020 '!N$15</f>
        <v>3015000</v>
      </c>
      <c r="M15" s="51">
        <f>'[1]תקציב החברה לתירות 2020 '!O$15</f>
        <v>3015000</v>
      </c>
      <c r="N15" s="51">
        <f>'[1]תקציב החברה לתירות 2020 '!P$15</f>
        <v>21713000</v>
      </c>
      <c r="O15" s="51">
        <f>'[1]תקציב החברה לתירות 2020 '!Q$15</f>
        <v>436012.46999999951</v>
      </c>
      <c r="P15" s="51">
        <f>'[1]תקציב החברה לתירות 2020 '!R$15</f>
        <v>0</v>
      </c>
      <c r="Q15" s="51">
        <f>'[1]תקציב החברה לתירות 2020 '!S$15</f>
        <v>0</v>
      </c>
      <c r="R15" s="51">
        <f>'[1]תקציב החברה לתירות 2020 '!T$15</f>
        <v>0</v>
      </c>
      <c r="S15" s="51">
        <f>'[1]תקציב החברה לתירות 2020 '!U$15</f>
        <v>0</v>
      </c>
      <c r="T15" s="51">
        <f>'[1]תקציב החברה לתירות 2020 '!V$15</f>
        <v>3015000</v>
      </c>
      <c r="U15" s="51">
        <f>'[1]תקציב החברה לתירות 2020 '!W$15</f>
        <v>1215000</v>
      </c>
      <c r="V15" s="51">
        <f>'[1]תקציב החברה לתירות 2020 '!X$15</f>
        <v>1000000</v>
      </c>
      <c r="W15" s="51">
        <f>'[1]תקציב החברה לתירות 2020 '!Y$15</f>
        <v>0</v>
      </c>
      <c r="X15" s="51">
        <f>'[1]תקציב החברה לתירות 2020 '!Z$15</f>
        <v>0</v>
      </c>
      <c r="Y15" s="51">
        <f>'[1]תקציב החברה לתירות 2020 '!AA$15</f>
        <v>800000</v>
      </c>
      <c r="Z15" s="383">
        <f>'[1]תקציב החברה לתירות 2020 '!A15</f>
        <v>9</v>
      </c>
      <c r="AA15" s="51">
        <f>'[1]תקציב החברה לתירות 2020 '!AD15</f>
        <v>0</v>
      </c>
      <c r="AB15" s="51">
        <f>'[1]תקציב החברה לתירות 2020 '!AE15</f>
        <v>0</v>
      </c>
      <c r="AC15" s="51">
        <f>'[1]תקציב החברה לתירות 2020 '!AF15</f>
        <v>0</v>
      </c>
      <c r="AD15" s="51">
        <f>'[1]תקציב החברה לתירות 2020 '!AG15</f>
        <v>0</v>
      </c>
      <c r="AE15" s="51">
        <f>'[1]תקציב החברה לתירות 2020 '!AH15</f>
        <v>0</v>
      </c>
      <c r="AF15" s="51">
        <f>'[1]תקציב החברה לתירות 2020 '!AI15</f>
        <v>3015000</v>
      </c>
      <c r="AG15" s="51">
        <f>'[1]תקציב החברה לתירות 2020 '!AJ15</f>
        <v>1215000</v>
      </c>
      <c r="AH15" s="51">
        <f>'[1]תקציב החברה לתירות 2020 '!AK15</f>
        <v>1000000</v>
      </c>
      <c r="AI15" s="51">
        <f>'[1]תקציב החברה לתירות 2020 '!AL15</f>
        <v>0</v>
      </c>
      <c r="AJ15" s="51">
        <f>'[1]תקציב החברה לתירות 2020 '!AM15</f>
        <v>0</v>
      </c>
      <c r="AK15" s="51">
        <f>'[1]תקציב החברה לתירות 2020 '!AN15</f>
        <v>800000</v>
      </c>
      <c r="AL15" s="51">
        <f>'[1]תקציב החברה לתירות 2020 '!AO15</f>
        <v>0</v>
      </c>
      <c r="AM15" s="51">
        <f>'[1]תקציב החברה לתירות 2020 '!AP15</f>
        <v>0</v>
      </c>
      <c r="AN15" s="51">
        <f>'[1]תקציב החברה לתירות 2020 '!AQ15</f>
        <v>0</v>
      </c>
      <c r="AO15" s="51">
        <f>'[1]תקציב החברה לתירות 2020 '!AR15</f>
        <v>2215000</v>
      </c>
      <c r="AP15" s="51">
        <f>'[1]תקציב החברה לתירות 2020 '!AS15</f>
        <v>436012.46999999951</v>
      </c>
      <c r="AQ15" s="51">
        <f>'[1]תקציב החברה לתירות 2020 '!AT15</f>
        <v>2651012.4699999993</v>
      </c>
      <c r="AR15" s="51">
        <f>'[1]תקציב החברה לתירות 2020 '!AU15</f>
        <v>22513000</v>
      </c>
      <c r="AS15" s="51">
        <f>'[1]תקציב החברה לתירות 2020 '!AV15</f>
        <v>2215000</v>
      </c>
      <c r="AT15" s="51">
        <f>'[1]תקציב החברה לתירות 2020 '!AW15</f>
        <v>2215000</v>
      </c>
      <c r="AU15" s="51">
        <f>'[1]תקציב החברה לתירות 2020 '!AX15</f>
        <v>0</v>
      </c>
      <c r="AV15" s="51">
        <f>'[1]תקציב החברה לתירות 2020 '!AY15</f>
        <v>0</v>
      </c>
      <c r="AW15" s="51">
        <f>'[1]תקציב החברה לתירות 2020 '!AZ15</f>
        <v>0</v>
      </c>
      <c r="AX15" s="51">
        <f>'[1]תקציב החברה לתירות 2020 '!BA15</f>
        <v>0</v>
      </c>
      <c r="AY15" s="51">
        <f>'[1]תקציב החברה לתירות 2020 '!BB15</f>
        <v>0</v>
      </c>
      <c r="AZ15" s="51">
        <f>'[1]תקציב החברה לתירות 2020 '!BC15</f>
        <v>2215000</v>
      </c>
      <c r="BA15" s="51">
        <f>'תקציב החברה לתירות 2020 '!BD$15</f>
        <v>2215000</v>
      </c>
      <c r="BB15" s="51">
        <f>'תקציב החברה לתירות 2020 '!BE$15</f>
        <v>0</v>
      </c>
      <c r="BC15" s="51">
        <f>'תקציב החברה לתירות 2020 '!BF$15</f>
        <v>0</v>
      </c>
      <c r="BD15" s="51">
        <f>'תקציב החברה לתירות 2020 '!BG$15</f>
        <v>0</v>
      </c>
      <c r="BE15" s="51">
        <f>'תקציב החברה לתירות 2020 '!BH$15</f>
        <v>2215000</v>
      </c>
      <c r="BF15" s="51">
        <f>'תקציב החברה לתירות 2020 '!BI$15</f>
        <v>0</v>
      </c>
      <c r="BG15" s="51">
        <f>'תקציב החברה לתירות 2020 '!BJ$15</f>
        <v>2215000</v>
      </c>
      <c r="BH15" s="51">
        <f>'תקציב החברה לתירות 2020 '!BK$15</f>
        <v>0</v>
      </c>
      <c r="BI15" s="51">
        <f>'תקציב החברה לתירות 2020 '!BL$15</f>
        <v>2215000</v>
      </c>
      <c r="BJ15" s="51">
        <f>'תקציב החברה לתירות 2020 '!BM$15</f>
        <v>0</v>
      </c>
      <c r="BK15" s="51">
        <f>'תקציב החברה לתירות 2020 '!BN$15</f>
        <v>0</v>
      </c>
      <c r="BL15" s="51">
        <f>'תקציב החברה לתירות 2020 '!BO$15</f>
        <v>0</v>
      </c>
      <c r="BM15" s="51">
        <f>'תקציב החברה לתירות 2020 '!BP$15</f>
        <v>0</v>
      </c>
    </row>
    <row r="16" spans="1:65" s="53" customFormat="1" ht="27" customHeight="1">
      <c r="A16" s="9" t="s">
        <v>593</v>
      </c>
      <c r="B16" s="51">
        <f>'[1]תקציב אגף תקשוב 2020 '!D$15</f>
        <v>49790000</v>
      </c>
      <c r="C16" s="51">
        <f>'[1]תקציב אגף תקשוב 2020 '!E$15</f>
        <v>49790000</v>
      </c>
      <c r="D16" s="51">
        <f>'[1]תקציב אגף תקשוב 2020 '!F$15</f>
        <v>0</v>
      </c>
      <c r="E16" s="51">
        <f>'[1]תקציב אגף תקשוב 2020 '!G$15</f>
        <v>27553000</v>
      </c>
      <c r="F16" s="51">
        <f>'[1]תקציב אגף תקשוב 2020 '!H$15</f>
        <v>17379634.959999997</v>
      </c>
      <c r="G16" s="51">
        <f>'[1]תקציב אגף תקשוב 2020 '!I$15</f>
        <v>136200</v>
      </c>
      <c r="H16" s="51">
        <f>'[1]תקציב אגף תקשוב 2020 '!J$15</f>
        <v>5844321.4299999997</v>
      </c>
      <c r="I16" s="51">
        <f>'[1]תקציב אגף תקשוב 2020 '!K$15</f>
        <v>5980521.4299999997</v>
      </c>
      <c r="J16" s="51">
        <f>'[1]תקציב אגף תקשוב 2020 '!L$15</f>
        <v>23360156.390000001</v>
      </c>
      <c r="K16" s="51">
        <f>'[1]תקציב אגף תקשוב 2020 '!M$15</f>
        <v>4192843.61</v>
      </c>
      <c r="L16" s="51">
        <f>'[1]תקציב אגף תקשוב 2020 '!N$15</f>
        <v>13930000</v>
      </c>
      <c r="M16" s="51">
        <f>'[1]תקציב אגף תקשוב 2020 '!O$15</f>
        <v>11350000</v>
      </c>
      <c r="N16" s="51">
        <f>'[1]תקציב אגף תקשוב 2020 '!P$15</f>
        <v>10887000</v>
      </c>
      <c r="O16" s="51">
        <f>'[1]תקציב אגף תקשוב 2020 '!Q$15</f>
        <v>4192843.61</v>
      </c>
      <c r="P16" s="51">
        <f>'[1]תקציב אגף תקשוב 2020 '!R$15</f>
        <v>0</v>
      </c>
      <c r="Q16" s="51">
        <f>'[1]תקציב אגף תקשוב 2020 '!S$15</f>
        <v>0</v>
      </c>
      <c r="R16" s="51">
        <f>'[1]תקציב אגף תקשוב 2020 '!T$15</f>
        <v>0</v>
      </c>
      <c r="S16" s="51">
        <f>'[1]תקציב אגף תקשוב 2020 '!U$15</f>
        <v>0</v>
      </c>
      <c r="T16" s="51">
        <f>'[1]תקציב אגף תקשוב 2020 '!V$15</f>
        <v>13930000</v>
      </c>
      <c r="U16" s="51">
        <f>'[1]תקציב אגף תקשוב 2020 '!W$15</f>
        <v>5000000</v>
      </c>
      <c r="V16" s="51">
        <f>'[1]תקציב אגף תקשוב 2020 '!X$15</f>
        <v>4850000</v>
      </c>
      <c r="W16" s="51">
        <f>'[1]תקציב אגף תקשוב 2020 '!Y$15</f>
        <v>0</v>
      </c>
      <c r="X16" s="51">
        <f>'[1]תקציב אגף תקשוב 2020 '!Z$15</f>
        <v>0</v>
      </c>
      <c r="Y16" s="51">
        <f>'[1]תקציב אגף תקשוב 2020 '!AA$15</f>
        <v>4080000</v>
      </c>
      <c r="Z16" s="383">
        <f>'[1]תקציב אגף תקשוב 2020 '!A15</f>
        <v>9</v>
      </c>
      <c r="AA16" s="51">
        <f>'[1]תקציב אגף תקשוב 2020 '!AD15</f>
        <v>0</v>
      </c>
      <c r="AB16" s="51">
        <f>'[1]תקציב אגף תקשוב 2020 '!AE15</f>
        <v>2580000</v>
      </c>
      <c r="AC16" s="51">
        <f>'[1]תקציב אגף תקשוב 2020 '!AF15</f>
        <v>0</v>
      </c>
      <c r="AD16" s="51">
        <f>'[1]תקציב אגף תקשוב 2020 '!AG15</f>
        <v>0</v>
      </c>
      <c r="AE16" s="51">
        <f>'[1]תקציב אגף תקשוב 2020 '!AH15</f>
        <v>2580000</v>
      </c>
      <c r="AF16" s="51">
        <f>'[1]תקציב אגף תקשוב 2020 '!AI15</f>
        <v>11350000</v>
      </c>
      <c r="AG16" s="51">
        <f>'[1]תקציב אגף תקשוב 2020 '!AJ15</f>
        <v>2500000</v>
      </c>
      <c r="AH16" s="51">
        <f>'[1]תקציב אגף תקשוב 2020 '!AK15</f>
        <v>4770000</v>
      </c>
      <c r="AI16" s="51">
        <f>'[1]תקציב אגף תקשוב 2020 '!AL15</f>
        <v>0</v>
      </c>
      <c r="AJ16" s="51">
        <f>'[1]תקציב אגף תקשוב 2020 '!AM15</f>
        <v>0</v>
      </c>
      <c r="AK16" s="51">
        <f>'[1]תקציב אגף תקשוב 2020 '!AN15</f>
        <v>4080000</v>
      </c>
      <c r="AL16" s="51">
        <f>'[1]תקציב אגף תקשוב 2020 '!AO15</f>
        <v>0</v>
      </c>
      <c r="AM16" s="51">
        <f>'[1]תקציב אגף תקשוב 2020 '!AP15</f>
        <v>50000</v>
      </c>
      <c r="AN16" s="51">
        <f>'[1]תקציב אגף תקשוב 2020 '!AQ15</f>
        <v>0</v>
      </c>
      <c r="AO16" s="51">
        <f>'[1]תקציב אגף תקשוב 2020 '!AR15</f>
        <v>2680000</v>
      </c>
      <c r="AP16" s="51">
        <f>'[1]תקציב אגף תקשוב 2020 '!AS15</f>
        <v>4192843.61</v>
      </c>
      <c r="AQ16" s="51">
        <f>'[1]תקציב אגף תקשוב 2020 '!AT15</f>
        <v>6872843.6099999994</v>
      </c>
      <c r="AR16" s="51">
        <f>'[1]תקציב אגף תקשוב 2020 '!AU15</f>
        <v>19557000</v>
      </c>
      <c r="AS16" s="51">
        <f>'[1]תקציב אגף תקשוב 2020 '!AV15</f>
        <v>2680000</v>
      </c>
      <c r="AT16" s="51">
        <f>'[1]תקציב אגף תקשוב 2020 '!AW15</f>
        <v>0</v>
      </c>
      <c r="AU16" s="51">
        <f>'[1]תקציב אגף תקשוב 2020 '!AX15</f>
        <v>100000</v>
      </c>
      <c r="AV16" s="51">
        <f>'[1]תקציב אגף תקשוב 2020 '!AY15</f>
        <v>0</v>
      </c>
      <c r="AW16" s="51">
        <f>'[1]תקציב אגף תקשוב 2020 '!AZ15</f>
        <v>0</v>
      </c>
      <c r="AX16" s="51">
        <f>'[1]תקציב אגף תקשוב 2020 '!BA15</f>
        <v>2580000</v>
      </c>
      <c r="AY16" s="51">
        <f>'[1]תקציב אגף תקשוב 2020 '!BB15</f>
        <v>0</v>
      </c>
      <c r="AZ16" s="51">
        <f>'[1]תקציב אגף תקשוב 2020 '!BC15</f>
        <v>2680000</v>
      </c>
      <c r="BA16" s="51">
        <f>'תקציב אגף תקשוב 2020 '!BD$15</f>
        <v>100000</v>
      </c>
      <c r="BB16" s="51">
        <f>'תקציב אגף תקשוב 2020 '!BE$15</f>
        <v>0</v>
      </c>
      <c r="BC16" s="51">
        <f>'תקציב אגף תקשוב 2020 '!BF$15</f>
        <v>0</v>
      </c>
      <c r="BD16" s="51">
        <f>'תקציב אגף תקשוב 2020 '!BG$15</f>
        <v>2580000</v>
      </c>
      <c r="BE16" s="51">
        <f>'תקציב אגף תקשוב 2020 '!BH$15</f>
        <v>2680000</v>
      </c>
      <c r="BF16" s="51">
        <f>'תקציב אגף תקשוב 2020 '!BI$15</f>
        <v>0</v>
      </c>
      <c r="BG16" s="51">
        <f>'תקציב אגף תקשוב 2020 '!BJ$15</f>
        <v>2680000</v>
      </c>
      <c r="BH16" s="51">
        <f>'תקציב אגף תקשוב 2020 '!BK$15</f>
        <v>0</v>
      </c>
      <c r="BI16" s="51">
        <f>'תקציב אגף תקשוב 2020 '!BL$15</f>
        <v>0</v>
      </c>
      <c r="BJ16" s="51">
        <f>'תקציב אגף תקשוב 2020 '!BM$15</f>
        <v>100000</v>
      </c>
      <c r="BK16" s="51">
        <f>'תקציב אגף תקשוב 2020 '!BN$15</f>
        <v>0</v>
      </c>
      <c r="BL16" s="51">
        <f>'תקציב אגף תקשוב 2020 '!BO$15</f>
        <v>0</v>
      </c>
      <c r="BM16" s="51">
        <f>'תקציב אגף תקשוב 2020 '!BP$15</f>
        <v>2580000</v>
      </c>
    </row>
    <row r="17" spans="1:65" s="53" customFormat="1" ht="27" customHeight="1">
      <c r="A17" s="9" t="s">
        <v>592</v>
      </c>
      <c r="B17" s="51">
        <f>'[1]תקציב אגף נכסים וביטוח 2020 '!D$23</f>
        <v>162104000</v>
      </c>
      <c r="C17" s="51">
        <f>'[1]תקציב אגף נכסים וביטוח 2020 '!E$23</f>
        <v>162104000</v>
      </c>
      <c r="D17" s="51">
        <f>'[1]תקציב אגף נכסים וביטוח 2020 '!F$23</f>
        <v>0</v>
      </c>
      <c r="E17" s="51">
        <f>'[1]תקציב אגף נכסים וביטוח 2020 '!G$23</f>
        <v>90792525</v>
      </c>
      <c r="F17" s="51">
        <f>'[1]תקציב אגף נכסים וביטוח 2020 '!H$23</f>
        <v>70043798.50999999</v>
      </c>
      <c r="G17" s="51">
        <f>'[1]תקציב אגף נכסים וביטוח 2020 '!I$23</f>
        <v>169650</v>
      </c>
      <c r="H17" s="51">
        <f>'[1]תקציב אגף נכסים וביטוח 2020 '!J$23</f>
        <v>15589.75</v>
      </c>
      <c r="I17" s="51">
        <f>'[1]תקציב אגף נכסים וביטוח 2020 '!K$23</f>
        <v>185239.75</v>
      </c>
      <c r="J17" s="51">
        <f>'[1]תקציב אגף נכסים וביטוח 2020 '!L$23</f>
        <v>70229038.25999999</v>
      </c>
      <c r="K17" s="51">
        <f>'[1]תקציב אגף נכסים וביטוח 2020 '!M$23</f>
        <v>20563486.740000002</v>
      </c>
      <c r="L17" s="51">
        <f>'[1]תקציב אגף נכסים וביטוח 2020 '!N$23</f>
        <v>8924300</v>
      </c>
      <c r="M17" s="51">
        <f>'[1]תקציב אגף נכסים וביטוח 2020 '!O$23</f>
        <v>8604300</v>
      </c>
      <c r="N17" s="51">
        <f>'[1]תקציב אגף נכסים וביטוח 2020 '!P$23</f>
        <v>62707175</v>
      </c>
      <c r="O17" s="51">
        <f>'[1]תקציב אגף נכסים וביטוח 2020 '!Q$23</f>
        <v>20563486.740000002</v>
      </c>
      <c r="P17" s="51">
        <f>'[1]תקציב אגף נכסים וביטוח 2020 '!R$23</f>
        <v>0</v>
      </c>
      <c r="Q17" s="51">
        <f>'[1]תקציב אגף נכסים וביטוח 2020 '!S$23</f>
        <v>0</v>
      </c>
      <c r="R17" s="51">
        <f>'[1]תקציב אגף נכסים וביטוח 2020 '!T$23</f>
        <v>0</v>
      </c>
      <c r="S17" s="51">
        <f>'[1]תקציב אגף נכסים וביטוח 2020 '!U$23</f>
        <v>0</v>
      </c>
      <c r="T17" s="51">
        <f>'[1]תקציב אגף נכסים וביטוח 2020 '!V$23</f>
        <v>8924300</v>
      </c>
      <c r="U17" s="51">
        <f>'[1]תקציב אגף נכסים וביטוח 2020 '!W$23</f>
        <v>8924300</v>
      </c>
      <c r="V17" s="51">
        <f>'[1]תקציב אגף נכסים וביטוח 2020 '!X$23</f>
        <v>0</v>
      </c>
      <c r="W17" s="51">
        <f>'[1]תקציב אגף נכסים וביטוח 2020 '!Y$23</f>
        <v>0</v>
      </c>
      <c r="X17" s="51">
        <f>'[1]תקציב אגף נכסים וביטוח 2020 '!Z$23</f>
        <v>0</v>
      </c>
      <c r="Y17" s="51">
        <f>'[1]תקציב אגף נכסים וביטוח 2020 '!AA$23</f>
        <v>0</v>
      </c>
      <c r="Z17" s="383">
        <f>'[1]תקציב אגף נכסים וביטוח 2020 '!A23</f>
        <v>17</v>
      </c>
      <c r="AA17" s="51">
        <f>'[1]תקציב אגף נכסים וביטוח 2020 '!AD23</f>
        <v>0</v>
      </c>
      <c r="AB17" s="51">
        <f>'[1]תקציב אגף נכסים וביטוח 2020 '!AE23</f>
        <v>320000</v>
      </c>
      <c r="AC17" s="51">
        <f>'[1]תקציב אגף נכסים וביטוח 2020 '!AF23</f>
        <v>0</v>
      </c>
      <c r="AD17" s="51">
        <f>'[1]תקציב אגף נכסים וביטוח 2020 '!AG23</f>
        <v>0</v>
      </c>
      <c r="AE17" s="51">
        <f>'[1]תקציב אגף נכסים וביטוח 2020 '!AH23</f>
        <v>320000</v>
      </c>
      <c r="AF17" s="51">
        <f>'[1]תקציב אגף נכסים וביטוח 2020 '!AI23</f>
        <v>8604300</v>
      </c>
      <c r="AG17" s="51">
        <f>'[1]תקציב אגף נכסים וביטוח 2020 '!AJ23</f>
        <v>8604300</v>
      </c>
      <c r="AH17" s="51">
        <f>'[1]תקציב אגף נכסים וביטוח 2020 '!AK23</f>
        <v>0</v>
      </c>
      <c r="AI17" s="51">
        <f>'[1]תקציב אגף נכסים וביטוח 2020 '!AL23</f>
        <v>0</v>
      </c>
      <c r="AJ17" s="51">
        <f>'[1]תקציב אגף נכסים וביטוח 2020 '!AM23</f>
        <v>0</v>
      </c>
      <c r="AK17" s="51">
        <f>'[1]תקציב אגף נכסים וביטוח 2020 '!AN23</f>
        <v>0</v>
      </c>
      <c r="AL17" s="51">
        <f>'[1]תקציב אגף נכסים וביטוח 2020 '!AO23</f>
        <v>0</v>
      </c>
      <c r="AM17" s="51">
        <f>'[1]תקציב אגף נכסים וביטוח 2020 '!AP23</f>
        <v>0</v>
      </c>
      <c r="AN17" s="51">
        <f>'[1]תקציב אגף נכסים וביטוח 2020 '!AQ23</f>
        <v>0</v>
      </c>
      <c r="AO17" s="51">
        <f>'[1]תקציב אגף נכסים וביטוח 2020 '!AR23</f>
        <v>8604300</v>
      </c>
      <c r="AP17" s="51">
        <f>'[1]תקציב אגף נכסים וביטוח 2020 '!AS23</f>
        <v>20563486.740000002</v>
      </c>
      <c r="AQ17" s="51">
        <f>'[1]תקציב אגף נכסים וביטוח 2020 '!AT23</f>
        <v>29167786.740000002</v>
      </c>
      <c r="AR17" s="51">
        <f>'[1]תקציב אגף נכסים וביטוח 2020 '!AU23</f>
        <v>62707175</v>
      </c>
      <c r="AS17" s="51">
        <f>'[1]תקציב אגף נכסים וביטוח 2020 '!AV23</f>
        <v>8604300</v>
      </c>
      <c r="AT17" s="51">
        <f>'[1]תקציב אגף נכסים וביטוח 2020 '!AW23</f>
        <v>8604300</v>
      </c>
      <c r="AU17" s="51">
        <f>'[1]תקציב אגף נכסים וביטוח 2020 '!AX23</f>
        <v>0</v>
      </c>
      <c r="AV17" s="51">
        <f>'[1]תקציב אגף נכסים וביטוח 2020 '!AY23</f>
        <v>0</v>
      </c>
      <c r="AW17" s="51">
        <f>'[1]תקציב אגף נכסים וביטוח 2020 '!AZ23</f>
        <v>0</v>
      </c>
      <c r="AX17" s="51">
        <f>'[1]תקציב אגף נכסים וביטוח 2020 '!BA23</f>
        <v>0</v>
      </c>
      <c r="AY17" s="51">
        <f>'[1]תקציב אגף נכסים וביטוח 2020 '!BB23</f>
        <v>0</v>
      </c>
      <c r="AZ17" s="51">
        <f>'[1]תקציב אגף נכסים וביטוח 2020 '!BC23</f>
        <v>8604300</v>
      </c>
      <c r="BA17" s="51">
        <f>'תקציב אגף נכסים וביטוח 2020 '!BD$23</f>
        <v>0</v>
      </c>
      <c r="BB17" s="51">
        <f>'תקציב אגף נכסים וביטוח 2020 '!BE$23</f>
        <v>0</v>
      </c>
      <c r="BC17" s="51">
        <f>'תקציב אגף נכסים וביטוח 2020 '!BF$23</f>
        <v>3950000</v>
      </c>
      <c r="BD17" s="51">
        <f>'תקציב אגף נכסים וביטוח 2020 '!BG$23</f>
        <v>0</v>
      </c>
      <c r="BE17" s="51">
        <f>'תקציב אגף נכסים וביטוח 2020 '!BH$23</f>
        <v>3950000</v>
      </c>
      <c r="BF17" s="51">
        <f>'תקציב אגף נכסים וביטוח 2020 '!BI$23</f>
        <v>0</v>
      </c>
      <c r="BG17" s="51">
        <f>'תקציב אגף נכסים וביטוח 2020 '!BJ$23</f>
        <v>3950000</v>
      </c>
      <c r="BH17" s="51">
        <f>'תקציב אגף נכסים וביטוח 2020 '!BK$23</f>
        <v>4654300</v>
      </c>
      <c r="BI17" s="51">
        <f>'תקציב אגף נכסים וביטוח 2020 '!BL$23</f>
        <v>3950000</v>
      </c>
      <c r="BJ17" s="51">
        <f>'תקציב אגף נכסים וביטוח 2020 '!BM$23</f>
        <v>0</v>
      </c>
      <c r="BK17" s="51">
        <f>'תקציב אגף נכסים וביטוח 2020 '!BN$23</f>
        <v>0</v>
      </c>
      <c r="BL17" s="51">
        <f>'תקציב אגף נכסים וביטוח 2020 '!BO$23</f>
        <v>0</v>
      </c>
      <c r="BM17" s="51">
        <f>'תקציב אגף נכסים וביטוח 2020 '!BP$23</f>
        <v>0</v>
      </c>
    </row>
    <row r="18" spans="1:65" s="53" customFormat="1" ht="27" customHeight="1">
      <c r="A18" s="9" t="s">
        <v>288</v>
      </c>
      <c r="B18" s="51">
        <f>'[1]תקציב מינהל כללי 2020 '!D$15</f>
        <v>128901682</v>
      </c>
      <c r="C18" s="51">
        <f>'[1]תקציב מינהל כללי 2020 '!E$15</f>
        <v>128901682</v>
      </c>
      <c r="D18" s="51">
        <f>'[1]תקציב מינהל כללי 2020 '!F$15</f>
        <v>0</v>
      </c>
      <c r="E18" s="51">
        <f>'[1]תקציב מינהל כללי 2020 '!G$15</f>
        <v>93703621</v>
      </c>
      <c r="F18" s="51">
        <f>'[1]תקציב מינהל כללי 2020 '!H$15</f>
        <v>79798363.820000008</v>
      </c>
      <c r="G18" s="51">
        <f>'[1]תקציב מינהל כללי 2020 '!I$15</f>
        <v>0</v>
      </c>
      <c r="H18" s="51">
        <f>'[1]תקציב מינהל כללי 2020 '!J$15</f>
        <v>1465969.83</v>
      </c>
      <c r="I18" s="51">
        <f>'[1]תקציב מינהל כללי 2020 '!K$15</f>
        <v>1465969.83</v>
      </c>
      <c r="J18" s="51">
        <f>'[1]תקציב מינהל כללי 2020 '!L$15</f>
        <v>81264333.650000006</v>
      </c>
      <c r="K18" s="51">
        <f>'[1]תקציב מינהל כללי 2020 '!M$15</f>
        <v>12439287.350000001</v>
      </c>
      <c r="L18" s="51">
        <f>'[1]תקציב מינהל כללי 2020 '!N$15</f>
        <v>8924955</v>
      </c>
      <c r="M18" s="51">
        <f>'[1]תקציב מינהל כללי 2020 '!O$15</f>
        <v>8194955</v>
      </c>
      <c r="N18" s="51">
        <f>'[1]תקציב מינהל כללי 2020 '!P$15</f>
        <v>27003106</v>
      </c>
      <c r="O18" s="51">
        <f>'[1]תקציב מינהל כללי 2020 '!Q$15</f>
        <v>12439287.350000001</v>
      </c>
      <c r="P18" s="51">
        <f>'[1]תקציב מינהל כללי 2020 '!R$15</f>
        <v>0</v>
      </c>
      <c r="Q18" s="51">
        <f>'[1]תקציב מינהל כללי 2020 '!S$15</f>
        <v>0</v>
      </c>
      <c r="R18" s="51">
        <f>'[1]תקציב מינהל כללי 2020 '!T$15</f>
        <v>0</v>
      </c>
      <c r="S18" s="51">
        <f>'[1]תקציב מינהל כללי 2020 '!U$15</f>
        <v>0</v>
      </c>
      <c r="T18" s="51">
        <f>'[1]תקציב מינהל כללי 2020 '!V$15</f>
        <v>8924955</v>
      </c>
      <c r="U18" s="51">
        <f>'[1]תקציב מינהל כללי 2020 '!W$15</f>
        <v>2455926</v>
      </c>
      <c r="V18" s="51">
        <f>'[1]תקציב מינהל כללי 2020 '!X$15</f>
        <v>6469029</v>
      </c>
      <c r="W18" s="51">
        <f>'[1]תקציב מינהל כללי 2020 '!Y$15</f>
        <v>0</v>
      </c>
      <c r="X18" s="51">
        <f>'[1]תקציב מינהל כללי 2020 '!Z$15</f>
        <v>0</v>
      </c>
      <c r="Y18" s="51">
        <f>'[1]תקציב מינהל כללי 2020 '!AA$15</f>
        <v>0</v>
      </c>
      <c r="Z18" s="383">
        <f>'[1]תקציב מינהל כללי 2020 '!A15</f>
        <v>9</v>
      </c>
      <c r="AA18" s="51">
        <f>'[1]תקציב מינהל כללי 2020 '!AD15</f>
        <v>0</v>
      </c>
      <c r="AB18" s="51">
        <f>'[1]תקציב מינהל כללי 2020 '!AE15</f>
        <v>100000</v>
      </c>
      <c r="AC18" s="51">
        <f>'[1]תקציב מינהל כללי 2020 '!AF15</f>
        <v>630000</v>
      </c>
      <c r="AD18" s="51">
        <f>'[1]תקציב מינהל כללי 2020 '!AG15</f>
        <v>0</v>
      </c>
      <c r="AE18" s="51">
        <f>'[1]תקציב מינהל כללי 2020 '!AH15</f>
        <v>730000</v>
      </c>
      <c r="AF18" s="51">
        <f>'[1]תקציב מינהל כללי 2020 '!AI15</f>
        <v>8194955</v>
      </c>
      <c r="AG18" s="51">
        <f>'[1]תקציב מינהל כללי 2020 '!AJ15</f>
        <v>2455269</v>
      </c>
      <c r="AH18" s="51">
        <f>'[1]תקציב מינהל כללי 2020 '!AK15</f>
        <v>5739686</v>
      </c>
      <c r="AI18" s="51">
        <f>'[1]תקציב מינהל כללי 2020 '!AL15</f>
        <v>0</v>
      </c>
      <c r="AJ18" s="51">
        <f>'[1]תקציב מינהל כללי 2020 '!AM15</f>
        <v>0</v>
      </c>
      <c r="AK18" s="51">
        <f>'[1]תקציב מינהל כללי 2020 '!AN15</f>
        <v>0</v>
      </c>
      <c r="AL18" s="51">
        <f>'[1]תקציב מינהל כללי 2020 '!AO15</f>
        <v>1000000</v>
      </c>
      <c r="AM18" s="51">
        <f>'[1]תקציב מינהל כללי 2020 '!AP15</f>
        <v>2088929</v>
      </c>
      <c r="AN18" s="51">
        <f>'[1]תקציב מינהל כללי 2020 '!AQ15</f>
        <v>0</v>
      </c>
      <c r="AO18" s="51">
        <f>'[1]תקציב מינהל כללי 2020 '!AR15</f>
        <v>6224955</v>
      </c>
      <c r="AP18" s="51">
        <f>'[1]תקציב מינהל כללי 2020 '!AS15</f>
        <v>12439287.050000001</v>
      </c>
      <c r="AQ18" s="51">
        <f>'[1]תקציב מינהל כללי 2020 '!AT15</f>
        <v>18664242.050000001</v>
      </c>
      <c r="AR18" s="51">
        <f>'[1]תקציב מינהל כללי 2020 '!AU15</f>
        <v>28973106.300000001</v>
      </c>
      <c r="AS18" s="51">
        <f>'[1]תקציב מינהל כללי 2020 '!AV15</f>
        <v>6224954.6999999993</v>
      </c>
      <c r="AT18" s="51">
        <f>'[1]תקציב מינהל כללי 2020 '!AW15</f>
        <v>1455268.6999999993</v>
      </c>
      <c r="AU18" s="51">
        <f>'[1]תקציב מינהל כללי 2020 '!AX15</f>
        <v>4769686</v>
      </c>
      <c r="AV18" s="51">
        <f>'[1]תקציב מינהל כללי 2020 '!AY15</f>
        <v>0</v>
      </c>
      <c r="AW18" s="51">
        <f>'[1]תקציב מינהל כללי 2020 '!AZ15</f>
        <v>0</v>
      </c>
      <c r="AX18" s="51">
        <f>'[1]תקציב מינהל כללי 2020 '!BA15</f>
        <v>0</v>
      </c>
      <c r="AY18" s="51">
        <f>'[1]תקציב מינהל כללי 2020 '!BB15</f>
        <v>-0.30000000074505806</v>
      </c>
      <c r="AZ18" s="51">
        <f>'[1]תקציב מינהל כללי 2020 '!BC15</f>
        <v>6224955</v>
      </c>
      <c r="BA18" s="51">
        <f>'תקציב מינהל כללי 2020 '!BE$15</f>
        <v>6194955</v>
      </c>
      <c r="BB18" s="51">
        <f>'תקציב מינהל כללי 2020 '!BF$15</f>
        <v>0</v>
      </c>
      <c r="BC18" s="51">
        <f>'תקציב מינהל כללי 2020 '!BG$15</f>
        <v>0</v>
      </c>
      <c r="BD18" s="51">
        <f>'תקציב מינהל כללי 2020 '!BH$15</f>
        <v>0</v>
      </c>
      <c r="BE18" s="51">
        <f>'תקציב מינהל כללי 2020 '!BI$15</f>
        <v>6194955</v>
      </c>
      <c r="BF18" s="51">
        <f>'תקציב מינהל כללי 2020 '!BJ$15</f>
        <v>0</v>
      </c>
      <c r="BG18" s="51">
        <f>'תקציב מינהל כללי 2020 '!BK$15</f>
        <v>6194955</v>
      </c>
      <c r="BH18" s="51">
        <f>'תקציב מינהל כללי 2020 '!BL$15</f>
        <v>29999.699999999255</v>
      </c>
      <c r="BI18" s="51">
        <f>'תקציב מינהל כללי 2020 '!BM$15</f>
        <v>1455269</v>
      </c>
      <c r="BJ18" s="51">
        <f>'תקציב מינהל כללי 2020 '!BN$15</f>
        <v>4739686</v>
      </c>
      <c r="BK18" s="51">
        <f>'תקציב מינהל כללי 2020 '!BO$15</f>
        <v>0</v>
      </c>
      <c r="BL18" s="51">
        <f>'תקציב מינהל כללי 2020 '!BP$15</f>
        <v>0</v>
      </c>
      <c r="BM18" s="51">
        <f>'תקציב מינהל כללי 2020 '!BQ$15</f>
        <v>0</v>
      </c>
    </row>
    <row r="19" spans="1:65" s="53" customFormat="1" ht="27" customHeight="1">
      <c r="A19" s="267" t="s">
        <v>236</v>
      </c>
      <c r="B19" s="51">
        <f>SUM(B7:B18)</f>
        <v>4618932322</v>
      </c>
      <c r="C19" s="51">
        <f t="shared" ref="C19:BM19" si="0">SUM(C7:C18)</f>
        <v>4614603322</v>
      </c>
      <c r="D19" s="51">
        <f t="shared" si="0"/>
        <v>4329000</v>
      </c>
      <c r="E19" s="51">
        <f t="shared" si="0"/>
        <v>2353211068</v>
      </c>
      <c r="F19" s="51">
        <f t="shared" si="0"/>
        <v>1791492617.53</v>
      </c>
      <c r="G19" s="51">
        <f t="shared" si="0"/>
        <v>25898011.75</v>
      </c>
      <c r="H19" s="51">
        <f t="shared" si="0"/>
        <v>98807008.420000002</v>
      </c>
      <c r="I19" s="51">
        <f t="shared" si="0"/>
        <v>124705020.17</v>
      </c>
      <c r="J19" s="547">
        <f t="shared" si="0"/>
        <v>1916197637.7</v>
      </c>
      <c r="K19" s="548">
        <f t="shared" si="0"/>
        <v>437013430.30000007</v>
      </c>
      <c r="L19" s="547">
        <f t="shared" si="0"/>
        <v>517586126</v>
      </c>
      <c r="M19" s="547">
        <f t="shared" si="0"/>
        <v>470065600</v>
      </c>
      <c r="N19" s="547">
        <f t="shared" si="0"/>
        <v>1793596654</v>
      </c>
      <c r="O19" s="547">
        <f t="shared" si="0"/>
        <v>437013430.30000007</v>
      </c>
      <c r="P19" s="547">
        <f t="shared" si="0"/>
        <v>0</v>
      </c>
      <c r="Q19" s="547">
        <f t="shared" si="0"/>
        <v>0</v>
      </c>
      <c r="R19" s="547">
        <f t="shared" si="0"/>
        <v>0</v>
      </c>
      <c r="S19" s="547">
        <f t="shared" si="0"/>
        <v>0</v>
      </c>
      <c r="T19" s="547">
        <f t="shared" si="0"/>
        <v>517586126</v>
      </c>
      <c r="U19" s="547">
        <f t="shared" si="0"/>
        <v>209982219</v>
      </c>
      <c r="V19" s="547">
        <f t="shared" si="0"/>
        <v>69200000</v>
      </c>
      <c r="W19" s="547">
        <f t="shared" si="0"/>
        <v>0</v>
      </c>
      <c r="X19" s="547">
        <f t="shared" si="0"/>
        <v>100433357</v>
      </c>
      <c r="Y19" s="547">
        <f t="shared" si="0"/>
        <v>137970550</v>
      </c>
      <c r="Z19" s="547"/>
      <c r="AA19" s="547">
        <f t="shared" si="0"/>
        <v>608000</v>
      </c>
      <c r="AB19" s="547">
        <f>SUM(AB7:AB18)</f>
        <v>19636000</v>
      </c>
      <c r="AC19" s="547">
        <f>SUM(AC7:AC18)</f>
        <v>27276526</v>
      </c>
      <c r="AD19" s="547">
        <f t="shared" si="0"/>
        <v>0</v>
      </c>
      <c r="AE19" s="547">
        <f t="shared" si="0"/>
        <v>47520526</v>
      </c>
      <c r="AF19" s="548">
        <f t="shared" si="0"/>
        <v>471535600</v>
      </c>
      <c r="AG19" s="547">
        <f t="shared" si="0"/>
        <v>192031562</v>
      </c>
      <c r="AH19" s="547">
        <f t="shared" si="0"/>
        <v>49495886</v>
      </c>
      <c r="AI19" s="547">
        <f t="shared" si="0"/>
        <v>0</v>
      </c>
      <c r="AJ19" s="547">
        <f t="shared" si="0"/>
        <v>100433357</v>
      </c>
      <c r="AK19" s="547">
        <f t="shared" si="0"/>
        <v>129574795</v>
      </c>
      <c r="AL19" s="547">
        <f t="shared" si="0"/>
        <v>288133528</v>
      </c>
      <c r="AM19" s="547">
        <f t="shared" si="0"/>
        <v>271353445.47000003</v>
      </c>
      <c r="AN19" s="547">
        <f t="shared" si="0"/>
        <v>0</v>
      </c>
      <c r="AO19" s="547">
        <f t="shared" si="0"/>
        <v>311608979</v>
      </c>
      <c r="AP19" s="547">
        <f t="shared" si="0"/>
        <v>333234427.89000005</v>
      </c>
      <c r="AQ19" s="547">
        <f t="shared" si="0"/>
        <v>644843406.88999999</v>
      </c>
      <c r="AR19" s="547">
        <f t="shared" si="0"/>
        <v>2057891277.4100001</v>
      </c>
      <c r="AS19" s="51">
        <f t="shared" si="0"/>
        <v>207829976.58999997</v>
      </c>
      <c r="AT19" s="51">
        <f t="shared" si="0"/>
        <v>6409693.6999999993</v>
      </c>
      <c r="AU19" s="51">
        <f t="shared" si="0"/>
        <v>1913683.8899999978</v>
      </c>
      <c r="AV19" s="51">
        <f t="shared" si="0"/>
        <v>0</v>
      </c>
      <c r="AW19" s="51">
        <f t="shared" si="0"/>
        <v>93867483</v>
      </c>
      <c r="AX19" s="51">
        <f t="shared" si="0"/>
        <v>105639116</v>
      </c>
      <c r="AY19" s="51">
        <f t="shared" si="0"/>
        <v>-103779002.41</v>
      </c>
      <c r="AZ19" s="51">
        <f t="shared" si="0"/>
        <v>311608979</v>
      </c>
      <c r="BA19" s="51">
        <f t="shared" si="0"/>
        <v>29757321</v>
      </c>
      <c r="BB19" s="51">
        <f t="shared" si="0"/>
        <v>27533358</v>
      </c>
      <c r="BC19" s="51">
        <f t="shared" si="0"/>
        <v>15950000</v>
      </c>
      <c r="BD19" s="51">
        <f t="shared" si="0"/>
        <v>11080000</v>
      </c>
      <c r="BE19" s="51">
        <f t="shared" si="0"/>
        <v>84320679</v>
      </c>
      <c r="BF19" s="51">
        <f t="shared" si="0"/>
        <v>74272096</v>
      </c>
      <c r="BG19" s="51">
        <f t="shared" si="0"/>
        <v>158592775</v>
      </c>
      <c r="BH19" s="51">
        <f t="shared" si="0"/>
        <v>49237202.659999996</v>
      </c>
      <c r="BI19" s="51">
        <f t="shared" si="0"/>
        <v>1761392.5999999996</v>
      </c>
      <c r="BJ19" s="51">
        <f t="shared" si="0"/>
        <v>2032685.6</v>
      </c>
      <c r="BK19" s="51">
        <f t="shared" si="0"/>
        <v>0</v>
      </c>
      <c r="BL19" s="51">
        <f t="shared" si="0"/>
        <v>90867483</v>
      </c>
      <c r="BM19" s="51">
        <f t="shared" si="0"/>
        <v>63931213</v>
      </c>
    </row>
    <row r="20" spans="1:65">
      <c r="T20" s="360"/>
      <c r="U20" s="53"/>
      <c r="V20" s="53"/>
      <c r="W20" s="53"/>
      <c r="X20" s="53"/>
      <c r="AL20" s="294"/>
      <c r="AM20" s="294"/>
      <c r="AQ20" s="55" t="s">
        <v>648</v>
      </c>
      <c r="AR20" s="55" t="s">
        <v>1167</v>
      </c>
    </row>
    <row r="21" spans="1:65">
      <c r="T21" s="360"/>
      <c r="U21" s="53"/>
      <c r="V21" s="53"/>
      <c r="W21" s="53"/>
      <c r="X21" s="53"/>
      <c r="AL21" s="294"/>
      <c r="AM21" s="294"/>
    </row>
    <row r="22" spans="1:65">
      <c r="T22" s="360"/>
      <c r="U22" s="53"/>
      <c r="V22" s="53"/>
      <c r="W22" s="53"/>
      <c r="X22" s="53"/>
      <c r="AL22" s="294"/>
      <c r="AM22" s="294"/>
    </row>
    <row r="23" spans="1:65">
      <c r="T23" s="360"/>
      <c r="U23" s="53"/>
      <c r="V23" s="53"/>
      <c r="W23" s="53"/>
      <c r="X23" s="53"/>
      <c r="AL23" s="294"/>
      <c r="AM23" s="294"/>
    </row>
    <row r="24" spans="1:65">
      <c r="T24" s="360"/>
      <c r="U24" s="53"/>
      <c r="V24" s="53"/>
      <c r="W24" s="53"/>
      <c r="X24" s="53"/>
      <c r="AL24" s="294"/>
      <c r="AM24" s="294"/>
    </row>
    <row r="25" spans="1:65">
      <c r="T25" s="360"/>
      <c r="U25" s="53"/>
      <c r="V25" s="53"/>
      <c r="W25" s="53"/>
      <c r="X25" s="53"/>
      <c r="AL25" s="294"/>
      <c r="AM25" s="294"/>
    </row>
    <row r="26" spans="1:65">
      <c r="T26" s="360"/>
      <c r="U26" s="53"/>
      <c r="V26" s="53"/>
      <c r="W26" s="53"/>
      <c r="X26" s="53"/>
      <c r="AL26" s="294"/>
      <c r="AM26" s="294"/>
    </row>
    <row r="27" spans="1:65">
      <c r="T27" s="360"/>
      <c r="U27" s="53"/>
      <c r="V27" s="53"/>
      <c r="W27" s="53"/>
      <c r="X27" s="53"/>
      <c r="AL27" s="294"/>
      <c r="AM27" s="294"/>
    </row>
    <row r="28" spans="1:65">
      <c r="T28" s="360"/>
      <c r="U28" s="53"/>
      <c r="V28" s="53"/>
      <c r="W28" s="53"/>
      <c r="X28" s="53"/>
      <c r="AL28" s="294"/>
      <c r="AM28" s="294"/>
    </row>
    <row r="29" spans="1:65">
      <c r="T29" s="360"/>
      <c r="U29" s="53"/>
      <c r="V29" s="53"/>
      <c r="W29" s="53"/>
      <c r="X29" s="53"/>
      <c r="AL29" s="294"/>
      <c r="AM29" s="294"/>
      <c r="AT29" s="56"/>
    </row>
    <row r="30" spans="1:65">
      <c r="T30" s="360"/>
      <c r="U30" s="53"/>
      <c r="V30" s="53"/>
      <c r="W30" s="53"/>
      <c r="X30" s="53"/>
      <c r="AL30" s="294"/>
      <c r="AM30" s="294"/>
    </row>
    <row r="31" spans="1:65">
      <c r="T31" s="315"/>
      <c r="U31" s="53"/>
      <c r="V31" s="53"/>
      <c r="W31" s="53"/>
      <c r="X31" s="53"/>
      <c r="AL31" s="294"/>
      <c r="AM31" s="294"/>
    </row>
    <row r="32" spans="1:65">
      <c r="T32" s="360"/>
      <c r="U32" s="53"/>
      <c r="V32" s="53"/>
      <c r="W32" s="53"/>
      <c r="X32" s="53"/>
      <c r="AL32" s="294"/>
      <c r="AM32" s="294"/>
    </row>
    <row r="33" spans="38:65">
      <c r="AL33" s="294"/>
      <c r="AM33" s="294"/>
    </row>
    <row r="34" spans="38:65">
      <c r="AL34" s="294"/>
      <c r="AM34" s="294"/>
    </row>
    <row r="35" spans="38:65">
      <c r="AL35" s="294"/>
      <c r="AM35" s="294"/>
    </row>
    <row r="36" spans="38:65">
      <c r="AL36" s="294"/>
      <c r="AM36" s="294"/>
    </row>
    <row r="37" spans="38:65">
      <c r="AL37" s="294"/>
      <c r="AM37" s="294"/>
    </row>
    <row r="38" spans="38:65">
      <c r="AL38" s="294"/>
      <c r="AM38" s="294"/>
    </row>
    <row r="39" spans="38:65">
      <c r="AL39" s="294"/>
      <c r="AM39" s="294"/>
    </row>
    <row r="40" spans="38:65">
      <c r="AL40" s="294"/>
      <c r="AM40" s="294"/>
    </row>
    <row r="41" spans="38:65">
      <c r="AL41" s="294"/>
      <c r="AM41" s="294"/>
      <c r="BM41" s="56"/>
    </row>
    <row r="42" spans="38:65">
      <c r="AL42" s="294"/>
      <c r="AM42" s="294"/>
      <c r="BJ42" s="56"/>
    </row>
    <row r="43" spans="38:65">
      <c r="AL43" s="294"/>
      <c r="AM43" s="294"/>
      <c r="BJ43" s="56"/>
    </row>
    <row r="44" spans="38:65">
      <c r="AL44" s="294"/>
      <c r="AM44" s="294"/>
      <c r="BJ44" s="56"/>
      <c r="BM44" s="56"/>
    </row>
    <row r="45" spans="38:65">
      <c r="AL45" s="294"/>
      <c r="AM45" s="294"/>
      <c r="BE45" s="56"/>
      <c r="BI45" s="56"/>
      <c r="BJ45" s="56"/>
      <c r="BK45" s="56"/>
      <c r="BL45" s="56"/>
      <c r="BM45" s="56"/>
    </row>
    <row r="46" spans="38:65">
      <c r="AL46" s="294"/>
      <c r="AM46" s="294"/>
    </row>
    <row r="47" spans="38:65">
      <c r="AL47" s="294"/>
      <c r="AM47" s="294"/>
      <c r="BE47" s="56"/>
    </row>
    <row r="48" spans="38:65">
      <c r="AL48" s="294"/>
      <c r="AM48" s="294"/>
    </row>
    <row r="49" spans="1:39">
      <c r="AL49" s="294"/>
      <c r="AM49" s="294"/>
    </row>
    <row r="50" spans="1:39">
      <c r="AL50" s="294"/>
      <c r="AM50" s="294"/>
    </row>
    <row r="51" spans="1:39">
      <c r="AL51" s="294"/>
      <c r="AM51" s="294"/>
    </row>
    <row r="52" spans="1:39">
      <c r="AL52" s="294"/>
      <c r="AM52" s="294"/>
    </row>
    <row r="53" spans="1:39">
      <c r="AL53" s="294"/>
      <c r="AM53" s="294"/>
    </row>
    <row r="54" spans="1:39">
      <c r="AL54" s="294"/>
      <c r="AM54" s="294"/>
    </row>
    <row r="55" spans="1:39">
      <c r="AL55" s="294"/>
      <c r="AM55" s="294"/>
    </row>
    <row r="56" spans="1:39">
      <c r="A56" s="56"/>
      <c r="AL56" s="294"/>
      <c r="AM56" s="294"/>
    </row>
    <row r="57" spans="1:39">
      <c r="AL57" s="294"/>
      <c r="AM57" s="294"/>
    </row>
    <row r="58" spans="1:39">
      <c r="AL58" s="294"/>
      <c r="AM58" s="294"/>
    </row>
    <row r="59" spans="1:39">
      <c r="AL59" s="294"/>
      <c r="AM59" s="294"/>
    </row>
    <row r="60" spans="1:39">
      <c r="AL60" s="294"/>
      <c r="AM60" s="294"/>
    </row>
    <row r="61" spans="1:39">
      <c r="AL61" s="294"/>
      <c r="AM61" s="294"/>
    </row>
    <row r="62" spans="1:39">
      <c r="AL62" s="294"/>
      <c r="AM62" s="294"/>
    </row>
    <row r="63" spans="1:39">
      <c r="AL63" s="294"/>
      <c r="AM63" s="294"/>
    </row>
    <row r="64" spans="1:39">
      <c r="AL64" s="294"/>
      <c r="AM64" s="294"/>
    </row>
    <row r="65" spans="38:39">
      <c r="AL65" s="294"/>
      <c r="AM65" s="294"/>
    </row>
    <row r="66" spans="38:39">
      <c r="AL66" s="294"/>
      <c r="AM66" s="294"/>
    </row>
    <row r="67" spans="38:39">
      <c r="AL67" s="294"/>
      <c r="AM67" s="294"/>
    </row>
    <row r="68" spans="38:39">
      <c r="AL68" s="294"/>
      <c r="AM68" s="294"/>
    </row>
    <row r="69" spans="38:39">
      <c r="AL69" s="294"/>
      <c r="AM69" s="294"/>
    </row>
    <row r="70" spans="38:39">
      <c r="AL70" s="294"/>
      <c r="AM70" s="294"/>
    </row>
    <row r="71" spans="38:39">
      <c r="AL71" s="294"/>
      <c r="AM71" s="294"/>
    </row>
    <row r="72" spans="38:39">
      <c r="AL72" s="294"/>
      <c r="AM72" s="294"/>
    </row>
    <row r="73" spans="38:39">
      <c r="AL73" s="294"/>
      <c r="AM73" s="294"/>
    </row>
    <row r="74" spans="38:39">
      <c r="AL74" s="294"/>
      <c r="AM74" s="294"/>
    </row>
    <row r="75" spans="38:39">
      <c r="AL75" s="294"/>
      <c r="AM75" s="294"/>
    </row>
    <row r="76" spans="38:39">
      <c r="AL76" s="294"/>
      <c r="AM76" s="294"/>
    </row>
    <row r="77" spans="38:39">
      <c r="AL77" s="294"/>
      <c r="AM77" s="294"/>
    </row>
    <row r="78" spans="38:39">
      <c r="AL78" s="294"/>
      <c r="AM78" s="294"/>
    </row>
    <row r="79" spans="38:39">
      <c r="AL79" s="294"/>
      <c r="AM79" s="294"/>
    </row>
    <row r="80" spans="38:39">
      <c r="AL80" s="294"/>
      <c r="AM80" s="294"/>
    </row>
    <row r="81" spans="2:39">
      <c r="AL81" s="294"/>
      <c r="AM81" s="294"/>
    </row>
    <row r="82" spans="2:39">
      <c r="AL82" s="294"/>
      <c r="AM82" s="294"/>
    </row>
    <row r="83" spans="2:39">
      <c r="AL83" s="294"/>
      <c r="AM83" s="294"/>
    </row>
    <row r="84" spans="2:39">
      <c r="AL84" s="294"/>
      <c r="AM84" s="294"/>
    </row>
    <row r="85" spans="2:39">
      <c r="AL85" s="294"/>
      <c r="AM85" s="294"/>
    </row>
    <row r="86" spans="2:39">
      <c r="AL86" s="294"/>
      <c r="AM86" s="294"/>
    </row>
    <row r="87" spans="2:39">
      <c r="AL87" s="294"/>
      <c r="AM87" s="294"/>
    </row>
    <row r="88" spans="2:39">
      <c r="AL88" s="294"/>
      <c r="AM88" s="294"/>
    </row>
    <row r="89" spans="2:39">
      <c r="AL89" s="294"/>
      <c r="AM89" s="294"/>
    </row>
    <row r="90" spans="2:39">
      <c r="AL90" s="17"/>
      <c r="AM90" s="17"/>
    </row>
    <row r="91" spans="2:39">
      <c r="AL91" s="17"/>
      <c r="AM91" s="17"/>
    </row>
    <row r="92" spans="2:39">
      <c r="B92" s="56"/>
      <c r="AL92" s="17"/>
      <c r="AM92" s="17"/>
    </row>
    <row r="93" spans="2:39">
      <c r="AL93" s="17"/>
      <c r="AM93" s="17"/>
    </row>
    <row r="94" spans="2:39">
      <c r="AL94" s="17"/>
      <c r="AM94" s="17"/>
    </row>
    <row r="95" spans="2:39">
      <c r="AL95" s="17"/>
      <c r="AM95" s="17"/>
    </row>
    <row r="96" spans="2:39">
      <c r="AL96" s="17"/>
      <c r="AM96" s="17"/>
    </row>
    <row r="97" spans="38:39">
      <c r="AL97" s="17"/>
      <c r="AM97" s="17"/>
    </row>
    <row r="98" spans="38:39">
      <c r="AL98" s="17"/>
      <c r="AM98" s="17"/>
    </row>
    <row r="99" spans="38:39">
      <c r="AL99" s="17"/>
      <c r="AM99" s="17"/>
    </row>
    <row r="100" spans="38:39">
      <c r="AL100" s="17"/>
      <c r="AM100" s="17"/>
    </row>
    <row r="101" spans="38:39">
      <c r="AL101" s="17"/>
      <c r="AM101" s="17"/>
    </row>
    <row r="102" spans="38:39">
      <c r="AL102" s="17"/>
      <c r="AM102" s="17"/>
    </row>
    <row r="103" spans="38:39">
      <c r="AL103" s="17"/>
      <c r="AM103" s="17"/>
    </row>
    <row r="104" spans="38:39">
      <c r="AL104" s="17"/>
      <c r="AM104" s="17"/>
    </row>
    <row r="105" spans="38:39">
      <c r="AL105" s="17"/>
      <c r="AM105" s="17"/>
    </row>
    <row r="106" spans="38:39">
      <c r="AL106" s="17"/>
      <c r="AM106" s="17"/>
    </row>
    <row r="107" spans="38:39">
      <c r="AL107" s="17"/>
      <c r="AM107" s="17"/>
    </row>
    <row r="108" spans="38:39">
      <c r="AL108" s="17"/>
      <c r="AM108" s="17"/>
    </row>
    <row r="109" spans="38:39">
      <c r="AL109" s="17"/>
      <c r="AM109" s="17"/>
    </row>
    <row r="110" spans="38:39">
      <c r="AL110" s="17"/>
      <c r="AM110" s="17"/>
    </row>
    <row r="111" spans="38:39">
      <c r="AL111" s="17"/>
      <c r="AM111" s="17"/>
    </row>
    <row r="112" spans="38:39">
      <c r="AL112" s="17"/>
      <c r="AM112" s="17"/>
    </row>
    <row r="113" spans="38:39">
      <c r="AL113" s="17"/>
      <c r="AM113" s="17"/>
    </row>
    <row r="114" spans="38:39">
      <c r="AL114" s="17"/>
      <c r="AM114" s="17"/>
    </row>
    <row r="115" spans="38:39">
      <c r="AL115" s="17"/>
      <c r="AM115" s="17"/>
    </row>
    <row r="116" spans="38:39">
      <c r="AL116" s="17"/>
      <c r="AM116" s="17"/>
    </row>
    <row r="117" spans="38:39">
      <c r="AL117" s="17"/>
      <c r="AM117" s="17"/>
    </row>
    <row r="118" spans="38:39">
      <c r="AL118" s="17"/>
      <c r="AM118" s="17"/>
    </row>
    <row r="119" spans="38:39">
      <c r="AL119" s="17"/>
      <c r="AM119" s="17"/>
    </row>
    <row r="120" spans="38:39">
      <c r="AL120" s="17"/>
      <c r="AM120" s="17"/>
    </row>
    <row r="121" spans="38:39">
      <c r="AL121" s="17"/>
      <c r="AM121" s="17"/>
    </row>
    <row r="122" spans="38:39">
      <c r="AL122" s="17"/>
      <c r="AM122" s="17"/>
    </row>
    <row r="123" spans="38:39">
      <c r="AL123" s="17"/>
      <c r="AM123" s="17"/>
    </row>
    <row r="124" spans="38:39">
      <c r="AL124" s="17"/>
      <c r="AM124" s="17"/>
    </row>
    <row r="125" spans="38:39">
      <c r="AL125" s="17"/>
      <c r="AM125" s="17"/>
    </row>
    <row r="126" spans="38:39">
      <c r="AL126" s="17"/>
      <c r="AM126" s="17"/>
    </row>
    <row r="127" spans="38:39">
      <c r="AL127" s="17"/>
      <c r="AM127" s="17"/>
    </row>
    <row r="128" spans="38:39">
      <c r="AL128" s="17"/>
      <c r="AM128" s="17"/>
    </row>
    <row r="129" spans="38:39">
      <c r="AL129" s="17"/>
      <c r="AM129" s="17"/>
    </row>
    <row r="130" spans="38:39">
      <c r="AL130" s="17"/>
      <c r="AM130" s="17"/>
    </row>
    <row r="131" spans="38:39">
      <c r="AL131" s="17"/>
      <c r="AM131" s="17"/>
    </row>
  </sheetData>
  <sheetProtection formatCells="0" formatColumns="0" formatRows="0" insertColumns="0" insertRows="0" insertHyperlinks="0" deleteColumns="0" deleteRows="0" sort="0" autoFilter="0" pivotTables="0"/>
  <mergeCells count="5">
    <mergeCell ref="B4:AR4"/>
    <mergeCell ref="AT4:AX4"/>
    <mergeCell ref="AY4:AZ4"/>
    <mergeCell ref="BA4:BG4"/>
    <mergeCell ref="BI4:BM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97"/>
  <sheetViews>
    <sheetView showZeros="0" rightToLeft="1" zoomScaleNormal="100" workbookViewId="0">
      <pane xSplit="3" ySplit="5" topLeftCell="D79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453125" defaultRowHeight="14"/>
  <cols>
    <col min="1" max="1" width="5.08984375" style="12" customWidth="1"/>
    <col min="2" max="2" width="5" style="12" bestFit="1" customWidth="1"/>
    <col min="3" max="3" width="29.6328125" style="18" bestFit="1" customWidth="1"/>
    <col min="4" max="5" width="11.08984375" style="14" hidden="1" customWidth="1"/>
    <col min="6" max="6" width="8.36328125" style="14" hidden="1" customWidth="1"/>
    <col min="7" max="7" width="12.6328125" style="14" hidden="1" customWidth="1"/>
    <col min="8" max="8" width="12" style="14" hidden="1" customWidth="1"/>
    <col min="9" max="10" width="10.453125" style="14" hidden="1" customWidth="1"/>
    <col min="11" max="11" width="11.36328125" style="14" hidden="1" customWidth="1"/>
    <col min="12" max="12" width="11.08984375" style="14" hidden="1" customWidth="1"/>
    <col min="13" max="15" width="10.08984375" style="14" hidden="1" customWidth="1"/>
    <col min="16" max="16" width="11.08984375" style="14" hidden="1" customWidth="1"/>
    <col min="17" max="17" width="10.08984375" style="14" hidden="1" customWidth="1"/>
    <col min="18" max="19" width="11.54296875" style="14" hidden="1" customWidth="1"/>
    <col min="20" max="21" width="9.08984375" style="14" hidden="1" customWidth="1"/>
    <col min="22" max="23" width="10.08984375" style="12" hidden="1" customWidth="1"/>
    <col min="24" max="24" width="6.6328125" style="12" hidden="1" customWidth="1"/>
    <col min="25" max="25" width="9" style="12" hidden="1" customWidth="1"/>
    <col min="26" max="26" width="7.54296875" style="12" hidden="1" customWidth="1"/>
    <col min="27" max="27" width="9.08984375" style="12" hidden="1" customWidth="1"/>
    <col min="28" max="28" width="84.54296875" style="18" hidden="1" customWidth="1"/>
    <col min="29" max="29" width="10.08984375" style="12" hidden="1" customWidth="1"/>
    <col min="30" max="30" width="6.08984375" style="387" hidden="1" customWidth="1"/>
    <col min="31" max="31" width="8" style="18" hidden="1" customWidth="1"/>
    <col min="32" max="32" width="5.08984375" style="18" hidden="1" customWidth="1"/>
    <col min="33" max="33" width="6.90625" style="18" hidden="1" customWidth="1"/>
    <col min="34" max="34" width="9.54296875" style="12" hidden="1" customWidth="1"/>
    <col min="35" max="35" width="10.08984375" style="12" hidden="1" customWidth="1"/>
    <col min="36" max="36" width="9.90625" style="12" hidden="1" customWidth="1"/>
    <col min="37" max="37" width="10.08984375" style="12" hidden="1" customWidth="1"/>
    <col min="38" max="38" width="9" style="12" hidden="1" customWidth="1"/>
    <col min="39" max="39" width="7.54296875" style="12" hidden="1" customWidth="1"/>
    <col min="40" max="40" width="12.54296875" style="12" hidden="1" customWidth="1"/>
    <col min="41" max="41" width="16.54296875" style="12" hidden="1" customWidth="1"/>
    <col min="42" max="42" width="16.36328125" style="12" hidden="1" customWidth="1"/>
    <col min="43" max="43" width="18.6328125" style="166" hidden="1" customWidth="1"/>
    <col min="44" max="44" width="9.81640625" style="166" hidden="1" customWidth="1"/>
    <col min="45" max="45" width="10.6328125" style="166" hidden="1" customWidth="1"/>
    <col min="46" max="46" width="10" style="166" hidden="1" customWidth="1"/>
    <col min="47" max="47" width="10.179687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2" customWidth="1"/>
    <col min="56" max="60" width="11.81640625" style="166" hidden="1" customWidth="1"/>
    <col min="61" max="61" width="11.81640625" style="12" hidden="1" customWidth="1"/>
    <col min="62" max="62" width="11.81640625" style="12" customWidth="1"/>
    <col min="63" max="63" width="11.81640625" style="166" customWidth="1"/>
    <col min="64" max="65" width="11.81640625" style="12" customWidth="1"/>
    <col min="66" max="67" width="11.81640625" style="12" hidden="1" customWidth="1"/>
    <col min="68" max="68" width="11.81640625" style="12" customWidth="1"/>
    <col min="69" max="16384" width="9.453125" style="12"/>
  </cols>
  <sheetData>
    <row r="1" spans="1:68" s="28" customFormat="1" ht="18">
      <c r="A1" s="27"/>
      <c r="B1" s="27"/>
      <c r="C1" s="27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7"/>
      <c r="AD1" s="387"/>
      <c r="AE1" s="18"/>
      <c r="AF1" s="18"/>
      <c r="AG1" s="18"/>
      <c r="AQ1" s="166"/>
      <c r="AR1" s="166"/>
      <c r="AS1" s="284"/>
      <c r="AT1" s="284"/>
      <c r="AU1" s="284"/>
      <c r="AV1" s="284"/>
      <c r="AW1" s="284"/>
      <c r="AX1" s="284"/>
      <c r="AY1" s="284"/>
      <c r="AZ1" s="284"/>
      <c r="BA1" s="284"/>
      <c r="BD1" s="166"/>
      <c r="BE1" s="166"/>
      <c r="BF1" s="166"/>
      <c r="BG1" s="166"/>
      <c r="BH1" s="166"/>
      <c r="BK1" s="166"/>
    </row>
    <row r="2" spans="1:68" ht="18">
      <c r="A2" s="71" t="s">
        <v>1442</v>
      </c>
      <c r="B2" s="27"/>
      <c r="C2" s="277"/>
      <c r="D2" s="408"/>
      <c r="E2" s="27"/>
      <c r="F2" s="27"/>
      <c r="G2" s="27"/>
      <c r="H2" s="27"/>
      <c r="I2" s="27"/>
      <c r="J2" s="27"/>
      <c r="K2" s="27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10"/>
      <c r="W2" s="408"/>
      <c r="X2" s="408"/>
      <c r="Y2" s="408"/>
      <c r="Z2" s="408"/>
      <c r="AA2" s="408"/>
    </row>
    <row r="3" spans="1:68" ht="18">
      <c r="A3" s="71"/>
      <c r="B3" s="27"/>
      <c r="C3" s="277"/>
      <c r="D3" s="408"/>
      <c r="E3" s="27"/>
      <c r="F3" s="27"/>
      <c r="G3" s="27"/>
      <c r="H3" s="27"/>
      <c r="I3" s="27"/>
      <c r="J3" s="27"/>
      <c r="K3" s="27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10"/>
      <c r="W3" s="408"/>
      <c r="X3" s="408"/>
      <c r="Y3" s="408"/>
      <c r="Z3" s="408"/>
      <c r="AA3" s="408"/>
    </row>
    <row r="4" spans="1:68">
      <c r="A4" s="40"/>
      <c r="B4" s="534"/>
      <c r="C4" s="534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311</v>
      </c>
      <c r="AX4" s="779"/>
      <c r="AY4" s="779"/>
      <c r="AZ4" s="779"/>
      <c r="BA4" s="779"/>
      <c r="BB4" s="769" t="s">
        <v>1137</v>
      </c>
      <c r="BC4" s="771"/>
      <c r="BD4" s="775" t="s">
        <v>282</v>
      </c>
      <c r="BE4" s="775"/>
      <c r="BF4" s="775"/>
      <c r="BG4" s="775"/>
      <c r="BH4" s="775"/>
      <c r="BI4" s="775"/>
      <c r="BJ4" s="775"/>
      <c r="BK4" s="346"/>
      <c r="BL4" s="780" t="s">
        <v>969</v>
      </c>
      <c r="BM4" s="781"/>
      <c r="BN4" s="781"/>
      <c r="BO4" s="781"/>
      <c r="BP4" s="782"/>
    </row>
    <row r="5" spans="1:68" s="30" customFormat="1" ht="70">
      <c r="A5" s="432" t="s">
        <v>0</v>
      </c>
      <c r="B5" s="432" t="s">
        <v>1</v>
      </c>
      <c r="C5" s="432" t="s">
        <v>2</v>
      </c>
      <c r="D5" s="432" t="s">
        <v>98</v>
      </c>
      <c r="E5" s="432" t="s">
        <v>4</v>
      </c>
      <c r="F5" s="432" t="s">
        <v>5</v>
      </c>
      <c r="G5" s="432" t="s">
        <v>6</v>
      </c>
      <c r="H5" s="432" t="s">
        <v>7</v>
      </c>
      <c r="I5" s="432" t="s">
        <v>9</v>
      </c>
      <c r="J5" s="432" t="s">
        <v>178</v>
      </c>
      <c r="K5" s="432" t="s">
        <v>10</v>
      </c>
      <c r="L5" s="432" t="s">
        <v>11</v>
      </c>
      <c r="M5" s="432" t="s">
        <v>970</v>
      </c>
      <c r="N5" s="433" t="s">
        <v>971</v>
      </c>
      <c r="O5" s="433" t="s">
        <v>972</v>
      </c>
      <c r="P5" s="432" t="s">
        <v>628</v>
      </c>
      <c r="Q5" s="432" t="s">
        <v>12</v>
      </c>
      <c r="R5" s="432" t="s">
        <v>630</v>
      </c>
      <c r="S5" s="432" t="s">
        <v>631</v>
      </c>
      <c r="T5" s="432" t="s">
        <v>632</v>
      </c>
      <c r="U5" s="432" t="s">
        <v>629</v>
      </c>
      <c r="V5" s="446" t="s">
        <v>973</v>
      </c>
      <c r="W5" s="432" t="s">
        <v>13</v>
      </c>
      <c r="X5" s="432" t="s">
        <v>14</v>
      </c>
      <c r="Y5" s="432" t="s">
        <v>15</v>
      </c>
      <c r="Z5" s="432" t="s">
        <v>301</v>
      </c>
      <c r="AA5" s="432" t="s">
        <v>91</v>
      </c>
      <c r="AB5" s="433" t="s">
        <v>344</v>
      </c>
      <c r="AC5" s="432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">
        <v>1</v>
      </c>
      <c r="B6" s="3">
        <v>179</v>
      </c>
      <c r="C6" s="3" t="s">
        <v>29</v>
      </c>
      <c r="D6" s="4">
        <v>3170250</v>
      </c>
      <c r="E6" s="4">
        <v>3170250</v>
      </c>
      <c r="F6" s="4">
        <f t="shared" ref="F6:F69" si="0">D6-E6</f>
        <v>0</v>
      </c>
      <c r="G6" s="4">
        <v>2970250</v>
      </c>
      <c r="H6" s="4">
        <v>2877615.07</v>
      </c>
      <c r="I6" s="4"/>
      <c r="J6" s="4">
        <v>57992.22</v>
      </c>
      <c r="K6" s="4">
        <f>I6+J6</f>
        <v>57992.22</v>
      </c>
      <c r="L6" s="4">
        <f>H6+K6</f>
        <v>2935607.29</v>
      </c>
      <c r="M6" s="4">
        <f>G6-L6</f>
        <v>34642.709999999963</v>
      </c>
      <c r="N6" s="4">
        <f>250000-150000+100000</f>
        <v>200000</v>
      </c>
      <c r="O6" s="4">
        <f>N6-AH6</f>
        <v>200000</v>
      </c>
      <c r="P6" s="4">
        <f>D6-L6-M6-O6</f>
        <v>0</v>
      </c>
      <c r="Q6" s="4">
        <f t="shared" ref="Q6:Q69" si="1">G6-L6</f>
        <v>34642.709999999963</v>
      </c>
      <c r="R6" s="4"/>
      <c r="S6" s="4"/>
      <c r="T6" s="4">
        <f t="shared" ref="T6:T65" si="2">SUM(R6:S6)</f>
        <v>0</v>
      </c>
      <c r="U6" s="4">
        <f>Q6-M6+T6</f>
        <v>0</v>
      </c>
      <c r="V6" s="4">
        <f t="shared" ref="V6:V13" si="3">N6-U6</f>
        <v>200000</v>
      </c>
      <c r="W6" s="4">
        <f t="shared" ref="W6:W69" si="4">V6-AA6-X6-Z6</f>
        <v>200000</v>
      </c>
      <c r="X6" s="4"/>
      <c r="Y6" s="4"/>
      <c r="Z6" s="4"/>
      <c r="AA6" s="3"/>
      <c r="AB6" s="3" t="s">
        <v>345</v>
      </c>
      <c r="AC6" s="3">
        <v>732000</v>
      </c>
      <c r="AD6" s="524"/>
      <c r="AE6" s="378"/>
      <c r="AF6" s="378"/>
      <c r="AG6" s="378"/>
      <c r="AH6" s="4">
        <f>SUM(AD6:AG6)</f>
        <v>0</v>
      </c>
      <c r="AI6" s="4">
        <f>V6-AH6</f>
        <v>200000</v>
      </c>
      <c r="AJ6" s="4">
        <f>AI6-AN6</f>
        <v>200000</v>
      </c>
      <c r="AK6" s="3"/>
      <c r="AL6" s="3"/>
      <c r="AM6" s="3"/>
      <c r="AN6" s="3"/>
      <c r="AO6" s="4">
        <v>130000</v>
      </c>
      <c r="AP6" s="4">
        <f>M6</f>
        <v>34642.709999999963</v>
      </c>
      <c r="AQ6" s="535" t="s">
        <v>1138</v>
      </c>
      <c r="AR6" s="173">
        <v>130000</v>
      </c>
      <c r="AS6" s="173">
        <f t="shared" ref="AS6:AS12" si="5">M6</f>
        <v>34642.709999999963</v>
      </c>
      <c r="AT6" s="173">
        <f>SUM(AR6:AS6)</f>
        <v>164642.70999999996</v>
      </c>
      <c r="AU6" s="173">
        <f>D6-L6-AT6</f>
        <v>70000</v>
      </c>
      <c r="AV6" s="173">
        <f>AR6+AS6-M6</f>
        <v>130000</v>
      </c>
      <c r="AW6" s="173">
        <f t="shared" ref="AW6:AW69" si="6">AR6+AS6-M6-BA6</f>
        <v>130000</v>
      </c>
      <c r="AX6" s="173"/>
      <c r="AY6" s="172"/>
      <c r="AZ6" s="172"/>
      <c r="BA6" s="172"/>
      <c r="BB6" s="173">
        <f>AS6-M6</f>
        <v>0</v>
      </c>
      <c r="BC6" s="4">
        <f>AR6</f>
        <v>130000</v>
      </c>
      <c r="BD6" s="4">
        <v>130000</v>
      </c>
      <c r="BE6" s="4"/>
      <c r="BF6" s="4"/>
      <c r="BG6" s="4"/>
      <c r="BH6" s="4">
        <f>SUM(BD6:BF6)</f>
        <v>130000</v>
      </c>
      <c r="BI6" s="3"/>
      <c r="BJ6" s="4">
        <f>BI6+BH6</f>
        <v>130000</v>
      </c>
      <c r="BK6" s="4">
        <f>AV6-BJ6</f>
        <v>0</v>
      </c>
      <c r="BL6" s="4">
        <f>BJ6-BP6</f>
        <v>130000</v>
      </c>
      <c r="BM6" s="3"/>
      <c r="BN6" s="3"/>
      <c r="BO6" s="3"/>
      <c r="BP6" s="3"/>
    </row>
    <row r="7" spans="1:68" s="5" customFormat="1" ht="30" customHeight="1">
      <c r="A7" s="3">
        <v>2</v>
      </c>
      <c r="B7" s="3">
        <v>304</v>
      </c>
      <c r="C7" s="3" t="s">
        <v>51</v>
      </c>
      <c r="D7" s="4">
        <v>54930000</v>
      </c>
      <c r="E7" s="4">
        <v>54930000</v>
      </c>
      <c r="F7" s="4">
        <f t="shared" si="0"/>
        <v>0</v>
      </c>
      <c r="G7" s="4">
        <v>54930000</v>
      </c>
      <c r="H7" s="4">
        <v>54780522.609999999</v>
      </c>
      <c r="I7" s="4">
        <v>149074.13</v>
      </c>
      <c r="J7" s="4"/>
      <c r="K7" s="4">
        <f t="shared" ref="K7:K70" si="7">I7+J7</f>
        <v>149074.13</v>
      </c>
      <c r="L7" s="4">
        <f t="shared" ref="L7:L70" si="8">H7+K7</f>
        <v>54929596.740000002</v>
      </c>
      <c r="M7" s="4">
        <f t="shared" ref="M7:M70" si="9">G7-L7</f>
        <v>403.25999999791384</v>
      </c>
      <c r="N7" s="4"/>
      <c r="O7" s="4">
        <f t="shared" ref="O7:O70" si="10">N7-AH7</f>
        <v>0</v>
      </c>
      <c r="P7" s="4">
        <f t="shared" ref="P7:P70" si="11">D7-L7-M7-O7</f>
        <v>0</v>
      </c>
      <c r="Q7" s="4">
        <f t="shared" si="1"/>
        <v>403.25999999791384</v>
      </c>
      <c r="R7" s="4"/>
      <c r="S7" s="4"/>
      <c r="T7" s="4">
        <f t="shared" si="2"/>
        <v>0</v>
      </c>
      <c r="U7" s="4">
        <f>Q7-M7+T7</f>
        <v>0</v>
      </c>
      <c r="V7" s="4">
        <f t="shared" si="3"/>
        <v>0</v>
      </c>
      <c r="W7" s="4">
        <f t="shared" si="4"/>
        <v>0</v>
      </c>
      <c r="X7" s="4"/>
      <c r="Y7" s="4"/>
      <c r="Z7" s="4"/>
      <c r="AA7" s="3"/>
      <c r="AB7" s="3"/>
      <c r="AC7" s="3">
        <v>746000</v>
      </c>
      <c r="AD7" s="210"/>
      <c r="AE7" s="378"/>
      <c r="AF7" s="378"/>
      <c r="AG7" s="378"/>
      <c r="AH7" s="4">
        <f t="shared" ref="AH7:AH58" si="12">SUM(AD7:AG7)</f>
        <v>0</v>
      </c>
      <c r="AI7" s="4">
        <f t="shared" ref="AI7:AI70" si="13">V7-AH7</f>
        <v>0</v>
      </c>
      <c r="AJ7" s="4">
        <f t="shared" ref="AJ7:AJ70" si="14">AI7-AN7</f>
        <v>0</v>
      </c>
      <c r="AK7" s="3"/>
      <c r="AL7" s="3"/>
      <c r="AM7" s="3"/>
      <c r="AN7" s="3"/>
      <c r="AO7" s="3"/>
      <c r="AP7" s="3">
        <v>0</v>
      </c>
      <c r="AQ7" s="535" t="s">
        <v>1139</v>
      </c>
      <c r="AR7" s="173"/>
      <c r="AS7" s="173">
        <f t="shared" si="5"/>
        <v>403.25999999791384</v>
      </c>
      <c r="AT7" s="173">
        <f t="shared" ref="AT7:AT17" si="15">SUM(AR7:AS7)</f>
        <v>403.25999999791384</v>
      </c>
      <c r="AU7" s="173">
        <f t="shared" ref="AU7:AU70" si="16">D7-L7-AT7</f>
        <v>0</v>
      </c>
      <c r="AV7" s="173">
        <f t="shared" ref="AV7:AV17" si="17">AR7+AS7-M7</f>
        <v>0</v>
      </c>
      <c r="AW7" s="169">
        <f t="shared" si="6"/>
        <v>0</v>
      </c>
      <c r="AX7" s="173"/>
      <c r="AY7" s="172"/>
      <c r="AZ7" s="172"/>
      <c r="BA7" s="172"/>
      <c r="BB7" s="173">
        <f t="shared" ref="BB7:BB70" si="18">AS7-M7</f>
        <v>0</v>
      </c>
      <c r="BC7" s="4">
        <f t="shared" ref="BC7:BC70" si="19">AR7</f>
        <v>0</v>
      </c>
      <c r="BD7" s="4"/>
      <c r="BE7" s="4"/>
      <c r="BF7" s="4"/>
      <c r="BG7" s="4"/>
      <c r="BH7" s="4">
        <f t="shared" ref="BH7:BH12" si="20">SUM(BD7:BF7)</f>
        <v>0</v>
      </c>
      <c r="BI7" s="3"/>
      <c r="BJ7" s="4">
        <f t="shared" ref="BJ7:BJ70" si="21">BI7+BH7</f>
        <v>0</v>
      </c>
      <c r="BK7" s="4">
        <f t="shared" ref="BK7:BK70" si="22">AV7-BJ7</f>
        <v>0</v>
      </c>
      <c r="BL7" s="4">
        <f t="shared" ref="BL7:BL70" si="23">BJ7-BP7</f>
        <v>0</v>
      </c>
      <c r="BM7" s="3"/>
      <c r="BN7" s="3"/>
      <c r="BO7" s="3"/>
      <c r="BP7" s="3"/>
    </row>
    <row r="8" spans="1:68" s="5" customFormat="1" ht="30" customHeight="1">
      <c r="A8" s="3">
        <v>3</v>
      </c>
      <c r="B8" s="3">
        <v>507</v>
      </c>
      <c r="C8" s="3" t="s">
        <v>43</v>
      </c>
      <c r="D8" s="4">
        <v>2310000</v>
      </c>
      <c r="E8" s="4">
        <v>2310000</v>
      </c>
      <c r="F8" s="4">
        <f t="shared" si="0"/>
        <v>0</v>
      </c>
      <c r="G8" s="4">
        <v>1815000</v>
      </c>
      <c r="H8" s="4">
        <v>1653104.23</v>
      </c>
      <c r="I8" s="4"/>
      <c r="J8" s="4">
        <v>18103.150000000001</v>
      </c>
      <c r="K8" s="4">
        <f t="shared" si="7"/>
        <v>18103.150000000001</v>
      </c>
      <c r="L8" s="4">
        <f t="shared" si="8"/>
        <v>1671207.38</v>
      </c>
      <c r="M8" s="4">
        <f t="shared" si="9"/>
        <v>143792.62000000011</v>
      </c>
      <c r="N8" s="4">
        <f>300000-150000</f>
        <v>150000</v>
      </c>
      <c r="O8" s="4">
        <f t="shared" si="10"/>
        <v>150000</v>
      </c>
      <c r="P8" s="4">
        <f t="shared" si="11"/>
        <v>345000</v>
      </c>
      <c r="Q8" s="4">
        <f t="shared" si="1"/>
        <v>143792.62000000011</v>
      </c>
      <c r="R8" s="4"/>
      <c r="S8" s="4"/>
      <c r="T8" s="4">
        <f t="shared" si="2"/>
        <v>0</v>
      </c>
      <c r="U8" s="4">
        <f>Q8-M8+T8</f>
        <v>0</v>
      </c>
      <c r="V8" s="4">
        <f t="shared" si="3"/>
        <v>150000</v>
      </c>
      <c r="W8" s="4">
        <f t="shared" si="4"/>
        <v>150000</v>
      </c>
      <c r="X8" s="4"/>
      <c r="Y8" s="4"/>
      <c r="Z8" s="4"/>
      <c r="AA8" s="3"/>
      <c r="AB8" s="3" t="s">
        <v>665</v>
      </c>
      <c r="AC8" s="3">
        <v>742000</v>
      </c>
      <c r="AD8" s="210"/>
      <c r="AE8" s="378"/>
      <c r="AF8" s="378"/>
      <c r="AG8" s="378"/>
      <c r="AH8" s="4">
        <f t="shared" si="12"/>
        <v>0</v>
      </c>
      <c r="AI8" s="4">
        <f t="shared" si="13"/>
        <v>150000</v>
      </c>
      <c r="AJ8" s="4">
        <f t="shared" si="14"/>
        <v>150000</v>
      </c>
      <c r="AK8" s="3"/>
      <c r="AL8" s="3"/>
      <c r="AM8" s="3"/>
      <c r="AN8" s="3"/>
      <c r="AO8" s="4">
        <f>AI8</f>
        <v>150000</v>
      </c>
      <c r="AP8" s="4">
        <f>M8</f>
        <v>143792.62000000011</v>
      </c>
      <c r="AQ8" s="9"/>
      <c r="AR8" s="173">
        <v>150000</v>
      </c>
      <c r="AS8" s="173">
        <f t="shared" si="5"/>
        <v>143792.62000000011</v>
      </c>
      <c r="AT8" s="173">
        <f t="shared" si="15"/>
        <v>293792.62000000011</v>
      </c>
      <c r="AU8" s="173">
        <f t="shared" si="16"/>
        <v>345000</v>
      </c>
      <c r="AV8" s="173">
        <f t="shared" si="17"/>
        <v>150000</v>
      </c>
      <c r="AW8" s="173">
        <f t="shared" si="6"/>
        <v>150000</v>
      </c>
      <c r="AX8" s="173"/>
      <c r="AY8" s="172"/>
      <c r="AZ8" s="172"/>
      <c r="BA8" s="172"/>
      <c r="BB8" s="173">
        <f t="shared" si="18"/>
        <v>0</v>
      </c>
      <c r="BC8" s="4">
        <f t="shared" si="19"/>
        <v>150000</v>
      </c>
      <c r="BD8" s="4">
        <v>150000</v>
      </c>
      <c r="BE8" s="4"/>
      <c r="BF8" s="4"/>
      <c r="BG8" s="4"/>
      <c r="BH8" s="4">
        <f t="shared" si="20"/>
        <v>150000</v>
      </c>
      <c r="BI8" s="3"/>
      <c r="BJ8" s="4">
        <f t="shared" si="21"/>
        <v>150000</v>
      </c>
      <c r="BK8" s="4">
        <f t="shared" si="22"/>
        <v>0</v>
      </c>
      <c r="BL8" s="4">
        <f t="shared" si="23"/>
        <v>150000</v>
      </c>
      <c r="BM8" s="3"/>
      <c r="BN8" s="3"/>
      <c r="BO8" s="3"/>
      <c r="BP8" s="3"/>
    </row>
    <row r="9" spans="1:68" s="5" customFormat="1" ht="30" customHeight="1">
      <c r="A9" s="3">
        <v>4</v>
      </c>
      <c r="B9" s="3">
        <v>546</v>
      </c>
      <c r="C9" s="3" t="s">
        <v>44</v>
      </c>
      <c r="D9" s="4">
        <v>2920000</v>
      </c>
      <c r="E9" s="4">
        <v>2920000</v>
      </c>
      <c r="F9" s="4">
        <f t="shared" si="0"/>
        <v>0</v>
      </c>
      <c r="G9" s="4">
        <v>2920000</v>
      </c>
      <c r="H9" s="4">
        <v>2895703.4</v>
      </c>
      <c r="I9" s="4"/>
      <c r="J9" s="4">
        <v>18052.75</v>
      </c>
      <c r="K9" s="4">
        <f t="shared" si="7"/>
        <v>18052.75</v>
      </c>
      <c r="L9" s="4">
        <f t="shared" si="8"/>
        <v>2913756.15</v>
      </c>
      <c r="M9" s="4">
        <f t="shared" si="9"/>
        <v>6243.8500000000931</v>
      </c>
      <c r="N9" s="4"/>
      <c r="O9" s="4">
        <f t="shared" si="10"/>
        <v>0</v>
      </c>
      <c r="P9" s="4">
        <f t="shared" si="11"/>
        <v>0</v>
      </c>
      <c r="Q9" s="4">
        <f t="shared" si="1"/>
        <v>6243.8500000000931</v>
      </c>
      <c r="R9" s="4"/>
      <c r="S9" s="4"/>
      <c r="T9" s="4">
        <f t="shared" si="2"/>
        <v>0</v>
      </c>
      <c r="U9" s="4">
        <f>Q9-M9+T9</f>
        <v>0</v>
      </c>
      <c r="V9" s="4">
        <f t="shared" si="3"/>
        <v>0</v>
      </c>
      <c r="W9" s="4">
        <f t="shared" si="4"/>
        <v>0</v>
      </c>
      <c r="X9" s="4"/>
      <c r="Y9" s="4"/>
      <c r="Z9" s="4"/>
      <c r="AA9" s="3"/>
      <c r="AB9" s="3"/>
      <c r="AC9" s="3">
        <v>742000</v>
      </c>
      <c r="AD9" s="210"/>
      <c r="AE9" s="378"/>
      <c r="AF9" s="378"/>
      <c r="AG9" s="378"/>
      <c r="AH9" s="4">
        <f t="shared" si="12"/>
        <v>0</v>
      </c>
      <c r="AI9" s="4">
        <f t="shared" si="13"/>
        <v>0</v>
      </c>
      <c r="AJ9" s="4">
        <f t="shared" si="14"/>
        <v>0</v>
      </c>
      <c r="AK9" s="3"/>
      <c r="AL9" s="3"/>
      <c r="AM9" s="3"/>
      <c r="AN9" s="3"/>
      <c r="AO9" s="4">
        <f>AI9</f>
        <v>0</v>
      </c>
      <c r="AP9" s="4">
        <f>M9</f>
        <v>6243.8500000000931</v>
      </c>
      <c r="AQ9" s="535" t="s">
        <v>1140</v>
      </c>
      <c r="AR9" s="173"/>
      <c r="AS9" s="173">
        <f t="shared" si="5"/>
        <v>6243.8500000000931</v>
      </c>
      <c r="AT9" s="173">
        <f t="shared" si="15"/>
        <v>6243.8500000000931</v>
      </c>
      <c r="AU9" s="173">
        <f t="shared" si="16"/>
        <v>0</v>
      </c>
      <c r="AV9" s="173">
        <f t="shared" si="17"/>
        <v>0</v>
      </c>
      <c r="AW9" s="173">
        <f t="shared" si="6"/>
        <v>0</v>
      </c>
      <c r="AX9" s="180"/>
      <c r="AY9" s="180">
        <f>SUM(AY6:AY8)</f>
        <v>0</v>
      </c>
      <c r="AZ9" s="180">
        <f>SUM(AZ6:AZ8)</f>
        <v>0</v>
      </c>
      <c r="BA9" s="180">
        <f>SUM(BA6:BA8)</f>
        <v>0</v>
      </c>
      <c r="BB9" s="173">
        <f t="shared" si="18"/>
        <v>0</v>
      </c>
      <c r="BC9" s="4">
        <f t="shared" si="19"/>
        <v>0</v>
      </c>
      <c r="BD9" s="4"/>
      <c r="BE9" s="4"/>
      <c r="BF9" s="4"/>
      <c r="BG9" s="4"/>
      <c r="BH9" s="4">
        <f t="shared" si="20"/>
        <v>0</v>
      </c>
      <c r="BI9" s="3"/>
      <c r="BJ9" s="4">
        <f t="shared" si="21"/>
        <v>0</v>
      </c>
      <c r="BK9" s="4">
        <f t="shared" si="22"/>
        <v>0</v>
      </c>
      <c r="BL9" s="4">
        <f t="shared" si="23"/>
        <v>0</v>
      </c>
      <c r="BM9" s="3"/>
      <c r="BN9" s="3"/>
      <c r="BO9" s="3"/>
      <c r="BP9" s="3"/>
    </row>
    <row r="10" spans="1:68" s="5" customFormat="1" ht="30" customHeight="1">
      <c r="A10" s="3">
        <v>5</v>
      </c>
      <c r="B10" s="3">
        <v>592</v>
      </c>
      <c r="C10" s="3" t="s">
        <v>23</v>
      </c>
      <c r="D10" s="4">
        <v>54893000</v>
      </c>
      <c r="E10" s="4">
        <v>54893000</v>
      </c>
      <c r="F10" s="4">
        <f t="shared" si="0"/>
        <v>0</v>
      </c>
      <c r="G10" s="4">
        <v>20720000</v>
      </c>
      <c r="H10" s="4">
        <v>18679668.059999999</v>
      </c>
      <c r="I10" s="4">
        <v>149113.19</v>
      </c>
      <c r="J10" s="4">
        <v>1493817.76</v>
      </c>
      <c r="K10" s="4">
        <f t="shared" si="7"/>
        <v>1642930.95</v>
      </c>
      <c r="L10" s="4">
        <f t="shared" si="8"/>
        <v>20322599.009999998</v>
      </c>
      <c r="M10" s="4">
        <f t="shared" si="9"/>
        <v>397400.99000000209</v>
      </c>
      <c r="N10" s="4">
        <v>1300000</v>
      </c>
      <c r="O10" s="4">
        <f t="shared" si="10"/>
        <v>1300000</v>
      </c>
      <c r="P10" s="4">
        <f t="shared" si="11"/>
        <v>32873000</v>
      </c>
      <c r="Q10" s="4">
        <f t="shared" si="1"/>
        <v>397400.99000000209</v>
      </c>
      <c r="R10" s="4"/>
      <c r="S10" s="4"/>
      <c r="T10" s="4">
        <f t="shared" si="2"/>
        <v>0</v>
      </c>
      <c r="U10" s="4">
        <f>Q10-M10+T10</f>
        <v>0</v>
      </c>
      <c r="V10" s="4">
        <f t="shared" si="3"/>
        <v>1300000</v>
      </c>
      <c r="W10" s="4">
        <f t="shared" si="4"/>
        <v>1300000</v>
      </c>
      <c r="X10" s="4"/>
      <c r="Y10" s="4"/>
      <c r="Z10" s="4"/>
      <c r="AA10" s="3"/>
      <c r="AB10" s="3" t="s">
        <v>788</v>
      </c>
      <c r="AC10" s="3">
        <v>742000</v>
      </c>
      <c r="AD10" s="210"/>
      <c r="AE10" s="378"/>
      <c r="AF10" s="378"/>
      <c r="AG10" s="378"/>
      <c r="AH10" s="4">
        <f t="shared" si="12"/>
        <v>0</v>
      </c>
      <c r="AI10" s="4">
        <f t="shared" si="13"/>
        <v>1300000</v>
      </c>
      <c r="AJ10" s="4">
        <f t="shared" si="14"/>
        <v>1300000</v>
      </c>
      <c r="AK10" s="3"/>
      <c r="AL10" s="3"/>
      <c r="AM10" s="3"/>
      <c r="AN10" s="3"/>
      <c r="AO10" s="4">
        <f>AI10</f>
        <v>1300000</v>
      </c>
      <c r="AP10" s="4">
        <f>M10</f>
        <v>397400.99000000209</v>
      </c>
      <c r="AQ10" s="9"/>
      <c r="AR10" s="173">
        <v>1300000</v>
      </c>
      <c r="AS10" s="173">
        <f t="shared" si="5"/>
        <v>397400.99000000209</v>
      </c>
      <c r="AT10" s="173">
        <f t="shared" si="15"/>
        <v>1697400.9900000021</v>
      </c>
      <c r="AU10" s="173">
        <f t="shared" si="16"/>
        <v>32873000</v>
      </c>
      <c r="AV10" s="173">
        <f t="shared" si="17"/>
        <v>1300000</v>
      </c>
      <c r="AW10" s="173">
        <f t="shared" si="6"/>
        <v>1300000</v>
      </c>
      <c r="AX10" s="172"/>
      <c r="AY10" s="172"/>
      <c r="AZ10" s="172"/>
      <c r="BA10" s="172"/>
      <c r="BB10" s="173">
        <f t="shared" si="18"/>
        <v>0</v>
      </c>
      <c r="BC10" s="4">
        <f t="shared" si="19"/>
        <v>1300000</v>
      </c>
      <c r="BD10" s="4">
        <v>1300000</v>
      </c>
      <c r="BE10" s="4"/>
      <c r="BF10" s="4"/>
      <c r="BG10" s="4"/>
      <c r="BH10" s="4">
        <f t="shared" si="20"/>
        <v>1300000</v>
      </c>
      <c r="BI10" s="3"/>
      <c r="BJ10" s="4">
        <f t="shared" si="21"/>
        <v>1300000</v>
      </c>
      <c r="BK10" s="4">
        <f t="shared" si="22"/>
        <v>0</v>
      </c>
      <c r="BL10" s="4">
        <f t="shared" si="23"/>
        <v>1300000</v>
      </c>
      <c r="BM10" s="3"/>
      <c r="BN10" s="3"/>
      <c r="BO10" s="3"/>
      <c r="BP10" s="3"/>
    </row>
    <row r="11" spans="1:68" s="5" customFormat="1" ht="30" customHeight="1">
      <c r="A11" s="3">
        <v>6</v>
      </c>
      <c r="B11" s="3">
        <v>608</v>
      </c>
      <c r="C11" s="3" t="s">
        <v>30</v>
      </c>
      <c r="D11" s="4">
        <v>8300000</v>
      </c>
      <c r="E11" s="4">
        <v>8300000</v>
      </c>
      <c r="F11" s="4">
        <f t="shared" si="0"/>
        <v>0</v>
      </c>
      <c r="G11" s="4">
        <v>6200000</v>
      </c>
      <c r="H11" s="4">
        <v>5423462.8300000001</v>
      </c>
      <c r="I11" s="4"/>
      <c r="J11" s="4">
        <v>358685.13</v>
      </c>
      <c r="K11" s="4">
        <f t="shared" si="7"/>
        <v>358685.13</v>
      </c>
      <c r="L11" s="4">
        <f t="shared" si="8"/>
        <v>5782147.96</v>
      </c>
      <c r="M11" s="4">
        <f t="shared" si="9"/>
        <v>417852.04000000004</v>
      </c>
      <c r="N11" s="4"/>
      <c r="O11" s="4">
        <f t="shared" si="10"/>
        <v>0</v>
      </c>
      <c r="P11" s="4">
        <f t="shared" si="11"/>
        <v>2100000</v>
      </c>
      <c r="Q11" s="4">
        <f t="shared" si="1"/>
        <v>417852.04000000004</v>
      </c>
      <c r="R11" s="4"/>
      <c r="S11" s="4"/>
      <c r="T11" s="4">
        <f t="shared" si="2"/>
        <v>0</v>
      </c>
      <c r="U11" s="4"/>
      <c r="V11" s="4">
        <f t="shared" si="3"/>
        <v>0</v>
      </c>
      <c r="W11" s="4">
        <f t="shared" si="4"/>
        <v>0</v>
      </c>
      <c r="X11" s="4"/>
      <c r="Y11" s="4"/>
      <c r="Z11" s="4"/>
      <c r="AA11" s="3"/>
      <c r="AB11" s="3" t="s">
        <v>346</v>
      </c>
      <c r="AC11" s="3">
        <v>745000</v>
      </c>
      <c r="AD11" s="210"/>
      <c r="AE11" s="378"/>
      <c r="AF11" s="378"/>
      <c r="AG11" s="378"/>
      <c r="AH11" s="4">
        <f t="shared" si="12"/>
        <v>0</v>
      </c>
      <c r="AI11" s="4">
        <f t="shared" si="13"/>
        <v>0</v>
      </c>
      <c r="AJ11" s="4">
        <f t="shared" si="14"/>
        <v>0</v>
      </c>
      <c r="AK11" s="3"/>
      <c r="AL11" s="3"/>
      <c r="AM11" s="3"/>
      <c r="AN11" s="3"/>
      <c r="AO11" s="4">
        <f>AI11</f>
        <v>0</v>
      </c>
      <c r="AP11" s="4">
        <f>M11</f>
        <v>417852.04000000004</v>
      </c>
      <c r="AQ11" s="9"/>
      <c r="AR11" s="173"/>
      <c r="AS11" s="173">
        <f t="shared" si="5"/>
        <v>417852.04000000004</v>
      </c>
      <c r="AT11" s="173">
        <f t="shared" si="15"/>
        <v>417852.04000000004</v>
      </c>
      <c r="AU11" s="173">
        <f t="shared" si="16"/>
        <v>2100000</v>
      </c>
      <c r="AV11" s="173">
        <f t="shared" si="17"/>
        <v>0</v>
      </c>
      <c r="AW11" s="173">
        <f t="shared" si="6"/>
        <v>0</v>
      </c>
      <c r="AX11" s="184"/>
      <c r="AY11" s="184"/>
      <c r="AZ11" s="184"/>
      <c r="BA11" s="184"/>
      <c r="BB11" s="173">
        <f t="shared" si="18"/>
        <v>0</v>
      </c>
      <c r="BC11" s="4">
        <f t="shared" si="19"/>
        <v>0</v>
      </c>
      <c r="BD11" s="4"/>
      <c r="BE11" s="4"/>
      <c r="BF11" s="4"/>
      <c r="BG11" s="4"/>
      <c r="BH11" s="4">
        <f t="shared" si="20"/>
        <v>0</v>
      </c>
      <c r="BI11" s="3"/>
      <c r="BJ11" s="4">
        <f t="shared" si="21"/>
        <v>0</v>
      </c>
      <c r="BK11" s="4">
        <f>AV11-BJ11</f>
        <v>0</v>
      </c>
      <c r="BL11" s="4">
        <f t="shared" si="23"/>
        <v>0</v>
      </c>
      <c r="BM11" s="3"/>
      <c r="BN11" s="3"/>
      <c r="BO11" s="3"/>
      <c r="BP11" s="3"/>
    </row>
    <row r="12" spans="1:68" s="6" customFormat="1" ht="30" customHeight="1">
      <c r="A12" s="3">
        <v>7</v>
      </c>
      <c r="B12" s="3">
        <v>626</v>
      </c>
      <c r="C12" s="3" t="s">
        <v>635</v>
      </c>
      <c r="D12" s="4">
        <v>25195000</v>
      </c>
      <c r="E12" s="4">
        <v>25195000</v>
      </c>
      <c r="F12" s="4">
        <f t="shared" si="0"/>
        <v>0</v>
      </c>
      <c r="G12" s="4">
        <v>14775000</v>
      </c>
      <c r="H12" s="4">
        <v>13572560.42</v>
      </c>
      <c r="I12" s="4"/>
      <c r="J12" s="4">
        <v>76657.41</v>
      </c>
      <c r="K12" s="4">
        <f t="shared" si="7"/>
        <v>76657.41</v>
      </c>
      <c r="L12" s="4">
        <f t="shared" si="8"/>
        <v>13649217.83</v>
      </c>
      <c r="M12" s="4">
        <f t="shared" si="9"/>
        <v>1125782.17</v>
      </c>
      <c r="N12" s="4">
        <f>10420000-7420000</f>
        <v>3000000</v>
      </c>
      <c r="O12" s="4">
        <f t="shared" si="10"/>
        <v>3000000</v>
      </c>
      <c r="P12" s="4">
        <f t="shared" si="11"/>
        <v>7420000</v>
      </c>
      <c r="Q12" s="4">
        <f t="shared" si="1"/>
        <v>1125782.17</v>
      </c>
      <c r="R12" s="4"/>
      <c r="S12" s="4"/>
      <c r="T12" s="4">
        <f t="shared" si="2"/>
        <v>0</v>
      </c>
      <c r="U12" s="4">
        <f t="shared" ref="U12:U75" si="24">Q12-M12+T12</f>
        <v>0</v>
      </c>
      <c r="V12" s="4">
        <f t="shared" si="3"/>
        <v>3000000</v>
      </c>
      <c r="W12" s="4">
        <f t="shared" si="4"/>
        <v>3000000</v>
      </c>
      <c r="X12" s="4"/>
      <c r="Y12" s="4"/>
      <c r="Z12" s="4"/>
      <c r="AA12" s="4"/>
      <c r="AB12" s="3" t="s">
        <v>805</v>
      </c>
      <c r="AC12" s="3">
        <v>732000</v>
      </c>
      <c r="AD12" s="536"/>
      <c r="AE12" s="378"/>
      <c r="AF12" s="378"/>
      <c r="AG12" s="378"/>
      <c r="AH12" s="4">
        <f t="shared" si="12"/>
        <v>0</v>
      </c>
      <c r="AI12" s="4">
        <f t="shared" si="13"/>
        <v>3000000</v>
      </c>
      <c r="AJ12" s="4">
        <f t="shared" si="14"/>
        <v>3000000</v>
      </c>
      <c r="AK12" s="7"/>
      <c r="AL12" s="7"/>
      <c r="AM12" s="7"/>
      <c r="AN12" s="7"/>
      <c r="AO12" s="4">
        <f>AI12</f>
        <v>3000000</v>
      </c>
      <c r="AP12" s="4">
        <f>M12</f>
        <v>1125782.17</v>
      </c>
      <c r="AQ12" s="9"/>
      <c r="AR12" s="173">
        <v>3000000</v>
      </c>
      <c r="AS12" s="173">
        <f t="shared" si="5"/>
        <v>1125782.17</v>
      </c>
      <c r="AT12" s="173">
        <f t="shared" si="15"/>
        <v>4125782.17</v>
      </c>
      <c r="AU12" s="173">
        <f t="shared" si="16"/>
        <v>7420000</v>
      </c>
      <c r="AV12" s="173">
        <f t="shared" si="17"/>
        <v>3000000</v>
      </c>
      <c r="AW12" s="173">
        <f t="shared" si="6"/>
        <v>3000000</v>
      </c>
      <c r="AX12" s="184"/>
      <c r="AY12" s="184"/>
      <c r="AZ12" s="184"/>
      <c r="BA12" s="184"/>
      <c r="BB12" s="173">
        <f t="shared" si="18"/>
        <v>0</v>
      </c>
      <c r="BC12" s="4">
        <f t="shared" si="19"/>
        <v>3000000</v>
      </c>
      <c r="BD12" s="4">
        <v>3000000</v>
      </c>
      <c r="BE12" s="4"/>
      <c r="BF12" s="4"/>
      <c r="BG12" s="4"/>
      <c r="BH12" s="4">
        <f t="shared" si="20"/>
        <v>3000000</v>
      </c>
      <c r="BI12" s="7"/>
      <c r="BJ12" s="4">
        <f t="shared" si="21"/>
        <v>3000000</v>
      </c>
      <c r="BK12" s="4">
        <f t="shared" si="22"/>
        <v>0</v>
      </c>
      <c r="BL12" s="4">
        <f t="shared" si="23"/>
        <v>3000000</v>
      </c>
      <c r="BM12" s="7"/>
      <c r="BN12" s="7"/>
      <c r="BO12" s="7"/>
      <c r="BP12" s="7"/>
    </row>
    <row r="13" spans="1:68" s="5" customFormat="1" ht="30" customHeight="1">
      <c r="A13" s="3">
        <v>8</v>
      </c>
      <c r="B13" s="3">
        <v>638</v>
      </c>
      <c r="C13" s="3" t="s">
        <v>605</v>
      </c>
      <c r="D13" s="4">
        <v>7000000</v>
      </c>
      <c r="E13" s="4">
        <v>7000000</v>
      </c>
      <c r="F13" s="4">
        <f t="shared" si="0"/>
        <v>0</v>
      </c>
      <c r="G13" s="4">
        <v>4600000</v>
      </c>
      <c r="H13" s="4">
        <v>3708630.43</v>
      </c>
      <c r="I13" s="4"/>
      <c r="J13" s="4">
        <v>221160.67</v>
      </c>
      <c r="K13" s="4">
        <f t="shared" si="7"/>
        <v>221160.67</v>
      </c>
      <c r="L13" s="4">
        <f t="shared" si="8"/>
        <v>3929791.1</v>
      </c>
      <c r="M13" s="4">
        <f t="shared" si="9"/>
        <v>670208.89999999991</v>
      </c>
      <c r="N13" s="4"/>
      <c r="O13" s="4">
        <f t="shared" si="10"/>
        <v>0</v>
      </c>
      <c r="P13" s="4">
        <f t="shared" si="11"/>
        <v>2400000</v>
      </c>
      <c r="Q13" s="4">
        <f t="shared" si="1"/>
        <v>670208.89999999991</v>
      </c>
      <c r="R13" s="4"/>
      <c r="S13" s="4"/>
      <c r="T13" s="4">
        <f t="shared" si="2"/>
        <v>0</v>
      </c>
      <c r="U13" s="4">
        <f t="shared" si="24"/>
        <v>0</v>
      </c>
      <c r="V13" s="4">
        <f t="shared" si="3"/>
        <v>0</v>
      </c>
      <c r="W13" s="4">
        <f t="shared" si="4"/>
        <v>0</v>
      </c>
      <c r="X13" s="4"/>
      <c r="Y13" s="4"/>
      <c r="Z13" s="4"/>
      <c r="AA13" s="3"/>
      <c r="AB13" s="3" t="s">
        <v>871</v>
      </c>
      <c r="AC13" s="3">
        <v>742000</v>
      </c>
      <c r="AD13" s="524"/>
      <c r="AE13" s="378"/>
      <c r="AF13" s="378"/>
      <c r="AG13" s="378"/>
      <c r="AH13" s="4">
        <f t="shared" si="12"/>
        <v>0</v>
      </c>
      <c r="AI13" s="4">
        <f t="shared" si="13"/>
        <v>0</v>
      </c>
      <c r="AJ13" s="4">
        <f t="shared" si="14"/>
        <v>0</v>
      </c>
      <c r="AK13" s="3"/>
      <c r="AL13" s="3"/>
      <c r="AM13" s="3"/>
      <c r="AN13" s="3"/>
      <c r="AO13" s="4"/>
      <c r="AP13" s="4"/>
      <c r="AQ13" s="535" t="s">
        <v>1139</v>
      </c>
      <c r="AR13" s="173"/>
      <c r="AS13" s="173">
        <f>M13-670000</f>
        <v>208.89999999990687</v>
      </c>
      <c r="AT13" s="173">
        <f t="shared" si="15"/>
        <v>208.89999999990687</v>
      </c>
      <c r="AU13" s="173">
        <f t="shared" si="16"/>
        <v>3070000</v>
      </c>
      <c r="AV13" s="173">
        <f t="shared" si="17"/>
        <v>-670000</v>
      </c>
      <c r="AW13" s="173">
        <f t="shared" si="6"/>
        <v>-670000</v>
      </c>
      <c r="AX13" s="184"/>
      <c r="AY13" s="184"/>
      <c r="AZ13" s="184"/>
      <c r="BA13" s="184"/>
      <c r="BB13" s="173">
        <f t="shared" si="18"/>
        <v>-670000</v>
      </c>
      <c r="BC13" s="4">
        <f t="shared" si="19"/>
        <v>0</v>
      </c>
      <c r="BD13" s="4">
        <v>-664000</v>
      </c>
      <c r="BE13" s="4"/>
      <c r="BF13" s="4"/>
      <c r="BG13" s="4"/>
      <c r="BH13" s="4">
        <f t="shared" ref="BH13:BH76" si="25">SUM(BD13:BF13)</f>
        <v>-664000</v>
      </c>
      <c r="BI13" s="3"/>
      <c r="BJ13" s="4">
        <f t="shared" si="21"/>
        <v>-664000</v>
      </c>
      <c r="BK13" s="4">
        <f t="shared" si="22"/>
        <v>-6000</v>
      </c>
      <c r="BL13" s="4">
        <f t="shared" si="23"/>
        <v>-664000</v>
      </c>
      <c r="BM13" s="3"/>
      <c r="BN13" s="3"/>
      <c r="BO13" s="3"/>
      <c r="BP13" s="3"/>
    </row>
    <row r="14" spans="1:68" s="5" customFormat="1" ht="30" customHeight="1">
      <c r="A14" s="3">
        <v>9</v>
      </c>
      <c r="B14" s="3">
        <v>1018</v>
      </c>
      <c r="C14" s="3" t="s">
        <v>24</v>
      </c>
      <c r="D14" s="4">
        <v>31900000</v>
      </c>
      <c r="E14" s="4">
        <v>31900000</v>
      </c>
      <c r="F14" s="4">
        <f t="shared" si="0"/>
        <v>0</v>
      </c>
      <c r="G14" s="4">
        <v>5100000</v>
      </c>
      <c r="H14" s="4">
        <v>3059670.79</v>
      </c>
      <c r="I14" s="4">
        <v>84192.99</v>
      </c>
      <c r="J14" s="4"/>
      <c r="K14" s="4">
        <f t="shared" si="7"/>
        <v>84192.99</v>
      </c>
      <c r="L14" s="4">
        <f t="shared" si="8"/>
        <v>3143863.7800000003</v>
      </c>
      <c r="M14" s="74">
        <f t="shared" si="9"/>
        <v>1956136.2199999997</v>
      </c>
      <c r="N14" s="74">
        <v>-1400000</v>
      </c>
      <c r="O14" s="74">
        <f t="shared" si="10"/>
        <v>-1400000</v>
      </c>
      <c r="P14" s="74">
        <f t="shared" si="11"/>
        <v>28200000</v>
      </c>
      <c r="Q14" s="74">
        <f t="shared" si="1"/>
        <v>1956136.2199999997</v>
      </c>
      <c r="R14" s="74"/>
      <c r="S14" s="74"/>
      <c r="T14" s="74">
        <f t="shared" si="2"/>
        <v>0</v>
      </c>
      <c r="U14" s="74">
        <f t="shared" si="24"/>
        <v>0</v>
      </c>
      <c r="V14" s="74">
        <v>-1400000</v>
      </c>
      <c r="W14" s="74">
        <f t="shared" si="4"/>
        <v>-1400000</v>
      </c>
      <c r="X14" s="74"/>
      <c r="Y14" s="74"/>
      <c r="Z14" s="74"/>
      <c r="AA14" s="490"/>
      <c r="AB14" s="490" t="s">
        <v>666</v>
      </c>
      <c r="AC14" s="490">
        <v>742000</v>
      </c>
      <c r="AD14" s="537"/>
      <c r="AE14" s="538"/>
      <c r="AF14" s="538"/>
      <c r="AG14" s="538"/>
      <c r="AH14" s="74">
        <f t="shared" si="12"/>
        <v>0</v>
      </c>
      <c r="AI14" s="74">
        <f t="shared" si="13"/>
        <v>-1400000</v>
      </c>
      <c r="AJ14" s="4">
        <f t="shared" si="14"/>
        <v>-1400000</v>
      </c>
      <c r="AK14" s="3"/>
      <c r="AL14" s="3"/>
      <c r="AM14" s="3"/>
      <c r="AN14" s="3"/>
      <c r="AO14" s="4"/>
      <c r="AP14" s="4"/>
      <c r="AQ14" s="535" t="s">
        <v>1141</v>
      </c>
      <c r="AR14" s="173">
        <v>-1400000</v>
      </c>
      <c r="AS14" s="173">
        <f>M14-550000</f>
        <v>1406136.2199999997</v>
      </c>
      <c r="AT14" s="173">
        <f t="shared" si="15"/>
        <v>6136.2199999997392</v>
      </c>
      <c r="AU14" s="173">
        <f t="shared" si="16"/>
        <v>28750000</v>
      </c>
      <c r="AV14" s="173">
        <f t="shared" si="17"/>
        <v>-1950000</v>
      </c>
      <c r="AW14" s="173">
        <f t="shared" si="6"/>
        <v>-1950000</v>
      </c>
      <c r="AX14" s="184"/>
      <c r="AY14" s="184"/>
      <c r="AZ14" s="184"/>
      <c r="BA14" s="184"/>
      <c r="BB14" s="173">
        <f t="shared" si="18"/>
        <v>-550000</v>
      </c>
      <c r="BC14" s="4">
        <f t="shared" si="19"/>
        <v>-1400000</v>
      </c>
      <c r="BD14" s="4">
        <v>-1950000</v>
      </c>
      <c r="BE14" s="4"/>
      <c r="BF14" s="4"/>
      <c r="BG14" s="4"/>
      <c r="BH14" s="4">
        <f t="shared" si="25"/>
        <v>-1950000</v>
      </c>
      <c r="BI14" s="3"/>
      <c r="BJ14" s="4">
        <f t="shared" si="21"/>
        <v>-1950000</v>
      </c>
      <c r="BK14" s="4">
        <f>AV14-BJ14</f>
        <v>0</v>
      </c>
      <c r="BL14" s="4">
        <f t="shared" si="23"/>
        <v>-1950000</v>
      </c>
      <c r="BM14" s="3"/>
      <c r="BN14" s="3"/>
      <c r="BO14" s="3"/>
      <c r="BP14" s="3"/>
    </row>
    <row r="15" spans="1:68" s="5" customFormat="1" ht="30" customHeight="1">
      <c r="A15" s="3">
        <v>10</v>
      </c>
      <c r="B15" s="3">
        <v>1100</v>
      </c>
      <c r="C15" s="3" t="s">
        <v>17</v>
      </c>
      <c r="D15" s="4">
        <v>7000000</v>
      </c>
      <c r="E15" s="4">
        <v>7000000</v>
      </c>
      <c r="F15" s="4">
        <f t="shared" si="0"/>
        <v>0</v>
      </c>
      <c r="G15" s="4">
        <v>5900000</v>
      </c>
      <c r="H15" s="4">
        <v>3833127.7</v>
      </c>
      <c r="I15" s="4">
        <v>1613939.78</v>
      </c>
      <c r="J15" s="4">
        <v>71948.55</v>
      </c>
      <c r="K15" s="4">
        <f t="shared" si="7"/>
        <v>1685888.33</v>
      </c>
      <c r="L15" s="4">
        <f t="shared" si="8"/>
        <v>5519016.0300000003</v>
      </c>
      <c r="M15" s="4">
        <f t="shared" si="9"/>
        <v>380983.96999999974</v>
      </c>
      <c r="N15" s="4">
        <v>400000</v>
      </c>
      <c r="O15" s="4">
        <f t="shared" si="10"/>
        <v>400000</v>
      </c>
      <c r="P15" s="4">
        <f t="shared" si="11"/>
        <v>700000</v>
      </c>
      <c r="Q15" s="4">
        <f t="shared" si="1"/>
        <v>380983.96999999974</v>
      </c>
      <c r="R15" s="4"/>
      <c r="S15" s="4"/>
      <c r="T15" s="4">
        <f t="shared" si="2"/>
        <v>0</v>
      </c>
      <c r="U15" s="4">
        <f t="shared" si="24"/>
        <v>0</v>
      </c>
      <c r="V15" s="4">
        <f t="shared" ref="V15:V77" si="26">N15-U15</f>
        <v>400000</v>
      </c>
      <c r="W15" s="4">
        <f t="shared" si="4"/>
        <v>400000</v>
      </c>
      <c r="X15" s="4"/>
      <c r="Y15" s="4"/>
      <c r="Z15" s="4"/>
      <c r="AA15" s="3"/>
      <c r="AB15" s="3" t="s">
        <v>864</v>
      </c>
      <c r="AC15" s="3">
        <v>732000</v>
      </c>
      <c r="AD15" s="210"/>
      <c r="AE15" s="378"/>
      <c r="AF15" s="378"/>
      <c r="AG15" s="378"/>
      <c r="AH15" s="4">
        <f t="shared" si="12"/>
        <v>0</v>
      </c>
      <c r="AI15" s="4">
        <f t="shared" si="13"/>
        <v>400000</v>
      </c>
      <c r="AJ15" s="4">
        <f t="shared" si="14"/>
        <v>400000</v>
      </c>
      <c r="AK15" s="3"/>
      <c r="AL15" s="3"/>
      <c r="AM15" s="3"/>
      <c r="AN15" s="3"/>
      <c r="AO15" s="4">
        <v>200000</v>
      </c>
      <c r="AP15" s="4">
        <f>M15</f>
        <v>380983.96999999974</v>
      </c>
      <c r="AQ15" s="535" t="s">
        <v>1142</v>
      </c>
      <c r="AR15" s="173">
        <v>200000</v>
      </c>
      <c r="AS15" s="173">
        <f>M15</f>
        <v>380983.96999999974</v>
      </c>
      <c r="AT15" s="173">
        <f t="shared" si="15"/>
        <v>580983.96999999974</v>
      </c>
      <c r="AU15" s="173">
        <f t="shared" si="16"/>
        <v>900000</v>
      </c>
      <c r="AV15" s="173">
        <f t="shared" si="17"/>
        <v>200000</v>
      </c>
      <c r="AW15" s="173">
        <f t="shared" si="6"/>
        <v>200000</v>
      </c>
      <c r="AX15" s="184"/>
      <c r="AY15" s="184"/>
      <c r="AZ15" s="184"/>
      <c r="BA15" s="184"/>
      <c r="BB15" s="173">
        <f t="shared" si="18"/>
        <v>0</v>
      </c>
      <c r="BC15" s="4">
        <f t="shared" si="19"/>
        <v>200000</v>
      </c>
      <c r="BD15" s="4">
        <v>200000</v>
      </c>
      <c r="BE15" s="4"/>
      <c r="BF15" s="4"/>
      <c r="BG15" s="4"/>
      <c r="BH15" s="4">
        <f t="shared" si="25"/>
        <v>200000</v>
      </c>
      <c r="BI15" s="3"/>
      <c r="BJ15" s="4">
        <f t="shared" si="21"/>
        <v>200000</v>
      </c>
      <c r="BK15" s="4">
        <f t="shared" si="22"/>
        <v>0</v>
      </c>
      <c r="BL15" s="4">
        <f t="shared" si="23"/>
        <v>200000</v>
      </c>
      <c r="BM15" s="3"/>
      <c r="BN15" s="3"/>
      <c r="BO15" s="3"/>
      <c r="BP15" s="3"/>
    </row>
    <row r="16" spans="1:68" s="6" customFormat="1" ht="30" customHeight="1">
      <c r="A16" s="3">
        <v>11</v>
      </c>
      <c r="B16" s="3">
        <v>1129</v>
      </c>
      <c r="C16" s="3" t="s">
        <v>31</v>
      </c>
      <c r="D16" s="4">
        <v>7000000</v>
      </c>
      <c r="E16" s="4">
        <v>7000000</v>
      </c>
      <c r="F16" s="4">
        <f t="shared" si="0"/>
        <v>0</v>
      </c>
      <c r="G16" s="4">
        <v>5991771</v>
      </c>
      <c r="H16" s="4">
        <v>5124940.99</v>
      </c>
      <c r="I16" s="4"/>
      <c r="J16" s="4">
        <v>782940.8</v>
      </c>
      <c r="K16" s="4">
        <f t="shared" si="7"/>
        <v>782940.8</v>
      </c>
      <c r="L16" s="4">
        <f t="shared" si="8"/>
        <v>5907881.79</v>
      </c>
      <c r="M16" s="4">
        <f t="shared" si="9"/>
        <v>83889.209999999963</v>
      </c>
      <c r="N16" s="4"/>
      <c r="O16" s="4">
        <f t="shared" si="10"/>
        <v>0</v>
      </c>
      <c r="P16" s="4">
        <f t="shared" si="11"/>
        <v>1008229</v>
      </c>
      <c r="Q16" s="4">
        <f t="shared" si="1"/>
        <v>83889.209999999963</v>
      </c>
      <c r="R16" s="4"/>
      <c r="S16" s="4"/>
      <c r="T16" s="4">
        <f t="shared" si="2"/>
        <v>0</v>
      </c>
      <c r="U16" s="4">
        <f t="shared" si="24"/>
        <v>0</v>
      </c>
      <c r="V16" s="4">
        <f t="shared" si="26"/>
        <v>0</v>
      </c>
      <c r="W16" s="4">
        <f t="shared" si="4"/>
        <v>0</v>
      </c>
      <c r="X16" s="4"/>
      <c r="Y16" s="4"/>
      <c r="Z16" s="4"/>
      <c r="AA16" s="3"/>
      <c r="AB16" s="3" t="s">
        <v>502</v>
      </c>
      <c r="AC16" s="3">
        <v>742000</v>
      </c>
      <c r="AD16" s="524"/>
      <c r="AE16" s="378"/>
      <c r="AF16" s="378"/>
      <c r="AG16" s="378"/>
      <c r="AH16" s="4">
        <f t="shared" si="12"/>
        <v>0</v>
      </c>
      <c r="AI16" s="4">
        <f t="shared" si="13"/>
        <v>0</v>
      </c>
      <c r="AJ16" s="4">
        <f t="shared" si="14"/>
        <v>0</v>
      </c>
      <c r="AK16" s="7"/>
      <c r="AL16" s="7"/>
      <c r="AM16" s="7"/>
      <c r="AN16" s="7"/>
      <c r="AO16" s="4">
        <v>200000</v>
      </c>
      <c r="AP16" s="4">
        <f>M16</f>
        <v>83889.209999999963</v>
      </c>
      <c r="AQ16" s="535" t="s">
        <v>1143</v>
      </c>
      <c r="AR16" s="173">
        <v>200000</v>
      </c>
      <c r="AS16" s="173">
        <f>M16</f>
        <v>83889.209999999963</v>
      </c>
      <c r="AT16" s="173">
        <f t="shared" si="15"/>
        <v>283889.20999999996</v>
      </c>
      <c r="AU16" s="173">
        <f t="shared" si="16"/>
        <v>808229</v>
      </c>
      <c r="AV16" s="173">
        <f t="shared" si="17"/>
        <v>200000</v>
      </c>
      <c r="AW16" s="173">
        <f t="shared" si="6"/>
        <v>200000</v>
      </c>
      <c r="AX16" s="184"/>
      <c r="AY16" s="184"/>
      <c r="AZ16" s="184"/>
      <c r="BA16" s="184"/>
      <c r="BB16" s="173">
        <f t="shared" si="18"/>
        <v>0</v>
      </c>
      <c r="BC16" s="4">
        <f t="shared" si="19"/>
        <v>200000</v>
      </c>
      <c r="BD16" s="4">
        <v>200000</v>
      </c>
      <c r="BE16" s="4"/>
      <c r="BF16" s="4"/>
      <c r="BG16" s="4"/>
      <c r="BH16" s="4">
        <f t="shared" si="25"/>
        <v>200000</v>
      </c>
      <c r="BI16" s="7"/>
      <c r="BJ16" s="4">
        <f t="shared" si="21"/>
        <v>200000</v>
      </c>
      <c r="BK16" s="4">
        <f t="shared" si="22"/>
        <v>0</v>
      </c>
      <c r="BL16" s="4">
        <f t="shared" si="23"/>
        <v>200000</v>
      </c>
      <c r="BM16" s="7"/>
      <c r="BN16" s="7"/>
      <c r="BO16" s="7"/>
      <c r="BP16" s="7"/>
    </row>
    <row r="17" spans="1:68" s="5" customFormat="1" ht="30" customHeight="1">
      <c r="A17" s="3">
        <v>12</v>
      </c>
      <c r="B17" s="3">
        <v>1220</v>
      </c>
      <c r="C17" s="3" t="s">
        <v>33</v>
      </c>
      <c r="D17" s="4">
        <v>7000000</v>
      </c>
      <c r="E17" s="4">
        <v>7000000</v>
      </c>
      <c r="F17" s="4">
        <f t="shared" si="0"/>
        <v>0</v>
      </c>
      <c r="G17" s="4">
        <v>5600000</v>
      </c>
      <c r="H17" s="4">
        <v>4767439.1100000003</v>
      </c>
      <c r="I17" s="4">
        <v>181971.27</v>
      </c>
      <c r="J17" s="4">
        <v>453835.91</v>
      </c>
      <c r="K17" s="4">
        <f t="shared" si="7"/>
        <v>635807.17999999993</v>
      </c>
      <c r="L17" s="4">
        <f t="shared" si="8"/>
        <v>5403246.29</v>
      </c>
      <c r="M17" s="4">
        <f t="shared" si="9"/>
        <v>196753.70999999996</v>
      </c>
      <c r="N17" s="4">
        <v>700000</v>
      </c>
      <c r="O17" s="4">
        <f t="shared" si="10"/>
        <v>700000</v>
      </c>
      <c r="P17" s="4">
        <f t="shared" si="11"/>
        <v>700000</v>
      </c>
      <c r="Q17" s="4">
        <f t="shared" si="1"/>
        <v>196753.70999999996</v>
      </c>
      <c r="R17" s="4"/>
      <c r="S17" s="4"/>
      <c r="T17" s="4">
        <f t="shared" si="2"/>
        <v>0</v>
      </c>
      <c r="U17" s="4">
        <f t="shared" si="24"/>
        <v>0</v>
      </c>
      <c r="V17" s="4">
        <f t="shared" si="26"/>
        <v>700000</v>
      </c>
      <c r="W17" s="4">
        <f t="shared" si="4"/>
        <v>700000</v>
      </c>
      <c r="X17" s="4"/>
      <c r="Y17" s="4"/>
      <c r="Z17" s="4"/>
      <c r="AA17" s="3"/>
      <c r="AB17" s="3" t="s">
        <v>503</v>
      </c>
      <c r="AC17" s="3">
        <v>732000</v>
      </c>
      <c r="AD17" s="210"/>
      <c r="AE17" s="378"/>
      <c r="AF17" s="378"/>
      <c r="AG17" s="378"/>
      <c r="AH17" s="4">
        <f t="shared" si="12"/>
        <v>0</v>
      </c>
      <c r="AI17" s="4">
        <f t="shared" si="13"/>
        <v>700000</v>
      </c>
      <c r="AJ17" s="4">
        <f t="shared" si="14"/>
        <v>700000</v>
      </c>
      <c r="AK17" s="3"/>
      <c r="AL17" s="3"/>
      <c r="AM17" s="3"/>
      <c r="AN17" s="3"/>
      <c r="AO17" s="4">
        <v>350000</v>
      </c>
      <c r="AP17" s="4">
        <f>M17</f>
        <v>196753.70999999996</v>
      </c>
      <c r="AQ17" s="535" t="s">
        <v>1144</v>
      </c>
      <c r="AR17" s="173">
        <v>350000</v>
      </c>
      <c r="AS17" s="173">
        <f>M17</f>
        <v>196753.70999999996</v>
      </c>
      <c r="AT17" s="173">
        <f t="shared" si="15"/>
        <v>546753.71</v>
      </c>
      <c r="AU17" s="173">
        <f t="shared" si="16"/>
        <v>1050000</v>
      </c>
      <c r="AV17" s="173">
        <f t="shared" si="17"/>
        <v>350000</v>
      </c>
      <c r="AW17" s="173">
        <f t="shared" si="6"/>
        <v>350000</v>
      </c>
      <c r="AX17" s="184"/>
      <c r="AY17" s="184"/>
      <c r="AZ17" s="184"/>
      <c r="BA17" s="184"/>
      <c r="BB17" s="173">
        <f t="shared" si="18"/>
        <v>0</v>
      </c>
      <c r="BC17" s="4">
        <f t="shared" si="19"/>
        <v>350000</v>
      </c>
      <c r="BD17" s="4">
        <v>350000</v>
      </c>
      <c r="BE17" s="4"/>
      <c r="BF17" s="4"/>
      <c r="BG17" s="4"/>
      <c r="BH17" s="4">
        <f t="shared" si="25"/>
        <v>350000</v>
      </c>
      <c r="BI17" s="3"/>
      <c r="BJ17" s="4">
        <f t="shared" si="21"/>
        <v>350000</v>
      </c>
      <c r="BK17" s="4">
        <f t="shared" si="22"/>
        <v>0</v>
      </c>
      <c r="BL17" s="4">
        <f t="shared" si="23"/>
        <v>350000</v>
      </c>
      <c r="BM17" s="3"/>
      <c r="BN17" s="3"/>
      <c r="BO17" s="3"/>
      <c r="BP17" s="3"/>
    </row>
    <row r="18" spans="1:68" s="5" customFormat="1" ht="30" customHeight="1">
      <c r="A18" s="3">
        <v>13</v>
      </c>
      <c r="B18" s="3">
        <v>1320</v>
      </c>
      <c r="C18" s="3" t="s">
        <v>46</v>
      </c>
      <c r="D18" s="4">
        <v>23500000</v>
      </c>
      <c r="E18" s="4">
        <v>23500000</v>
      </c>
      <c r="F18" s="4">
        <f t="shared" si="0"/>
        <v>0</v>
      </c>
      <c r="G18" s="4">
        <v>21550000</v>
      </c>
      <c r="H18" s="4">
        <v>21339439.079999998</v>
      </c>
      <c r="I18" s="4">
        <v>204226.2</v>
      </c>
      <c r="J18" s="4"/>
      <c r="K18" s="4">
        <f t="shared" si="7"/>
        <v>204226.2</v>
      </c>
      <c r="L18" s="4">
        <f t="shared" si="8"/>
        <v>21543665.279999997</v>
      </c>
      <c r="M18" s="4">
        <f t="shared" si="9"/>
        <v>6334.7200000025332</v>
      </c>
      <c r="N18" s="4"/>
      <c r="O18" s="4">
        <f t="shared" si="10"/>
        <v>0</v>
      </c>
      <c r="P18" s="4">
        <f t="shared" si="11"/>
        <v>1950000</v>
      </c>
      <c r="Q18" s="4">
        <f t="shared" si="1"/>
        <v>6334.7200000025332</v>
      </c>
      <c r="R18" s="4"/>
      <c r="S18" s="4"/>
      <c r="T18" s="4">
        <f t="shared" si="2"/>
        <v>0</v>
      </c>
      <c r="U18" s="4">
        <f t="shared" si="24"/>
        <v>0</v>
      </c>
      <c r="V18" s="4">
        <f t="shared" si="26"/>
        <v>0</v>
      </c>
      <c r="W18" s="4">
        <f t="shared" si="4"/>
        <v>0</v>
      </c>
      <c r="X18" s="4"/>
      <c r="Y18" s="4"/>
      <c r="Z18" s="4"/>
      <c r="AA18" s="3"/>
      <c r="AB18" s="3"/>
      <c r="AC18" s="3">
        <v>746000</v>
      </c>
      <c r="AD18" s="210"/>
      <c r="AE18" s="378"/>
      <c r="AF18" s="378"/>
      <c r="AG18" s="378"/>
      <c r="AH18" s="4">
        <f t="shared" si="12"/>
        <v>0</v>
      </c>
      <c r="AI18" s="4">
        <f t="shared" si="13"/>
        <v>0</v>
      </c>
      <c r="AJ18" s="4">
        <f t="shared" si="14"/>
        <v>0</v>
      </c>
      <c r="AK18" s="3"/>
      <c r="AL18" s="3"/>
      <c r="AM18" s="3"/>
      <c r="AN18" s="3"/>
      <c r="AO18" s="3"/>
      <c r="AP18" s="4">
        <f>M18</f>
        <v>6334.7200000025332</v>
      </c>
      <c r="AQ18" s="9"/>
      <c r="AR18" s="173"/>
      <c r="AS18" s="173">
        <f>M18</f>
        <v>6334.7200000025332</v>
      </c>
      <c r="AT18" s="173">
        <f>SUM(AR18:AS18)</f>
        <v>6334.7200000025332</v>
      </c>
      <c r="AU18" s="173">
        <f t="shared" si="16"/>
        <v>1950000</v>
      </c>
      <c r="AV18" s="173">
        <f>AR18+AS18-M18</f>
        <v>0</v>
      </c>
      <c r="AW18" s="173">
        <f t="shared" si="6"/>
        <v>0</v>
      </c>
      <c r="AX18" s="184"/>
      <c r="AY18" s="184"/>
      <c r="AZ18" s="184"/>
      <c r="BA18" s="184"/>
      <c r="BB18" s="173">
        <f t="shared" si="18"/>
        <v>0</v>
      </c>
      <c r="BC18" s="4">
        <f t="shared" si="19"/>
        <v>0</v>
      </c>
      <c r="BD18" s="4"/>
      <c r="BE18" s="4"/>
      <c r="BF18" s="4"/>
      <c r="BG18" s="4"/>
      <c r="BH18" s="4">
        <f t="shared" si="25"/>
        <v>0</v>
      </c>
      <c r="BI18" s="3"/>
      <c r="BJ18" s="4">
        <f t="shared" si="21"/>
        <v>0</v>
      </c>
      <c r="BK18" s="4">
        <f>AV18-BJ18</f>
        <v>0</v>
      </c>
      <c r="BL18" s="4">
        <f t="shared" si="23"/>
        <v>0</v>
      </c>
      <c r="BM18" s="3"/>
      <c r="BN18" s="3"/>
      <c r="BO18" s="3"/>
      <c r="BP18" s="3"/>
    </row>
    <row r="19" spans="1:68" s="5" customFormat="1" ht="30" customHeight="1">
      <c r="A19" s="3">
        <v>14</v>
      </c>
      <c r="B19" s="3">
        <v>1324</v>
      </c>
      <c r="C19" s="3" t="s">
        <v>1606</v>
      </c>
      <c r="D19" s="4">
        <v>180000</v>
      </c>
      <c r="E19" s="4">
        <v>180000</v>
      </c>
      <c r="F19" s="4">
        <f t="shared" si="0"/>
        <v>0</v>
      </c>
      <c r="G19" s="4">
        <v>180000</v>
      </c>
      <c r="H19" s="4">
        <v>120629.48</v>
      </c>
      <c r="I19" s="4"/>
      <c r="J19" s="4"/>
      <c r="K19" s="4">
        <f t="shared" si="7"/>
        <v>0</v>
      </c>
      <c r="L19" s="4">
        <f t="shared" si="8"/>
        <v>120629.48</v>
      </c>
      <c r="M19" s="4">
        <f t="shared" si="9"/>
        <v>59370.520000000004</v>
      </c>
      <c r="N19" s="4"/>
      <c r="O19" s="4">
        <f t="shared" si="10"/>
        <v>0</v>
      </c>
      <c r="P19" s="4">
        <f t="shared" si="11"/>
        <v>0</v>
      </c>
      <c r="Q19" s="4">
        <f t="shared" si="1"/>
        <v>59370.520000000004</v>
      </c>
      <c r="R19" s="4"/>
      <c r="S19" s="4"/>
      <c r="T19" s="4">
        <f t="shared" si="2"/>
        <v>0</v>
      </c>
      <c r="U19" s="4">
        <f t="shared" si="24"/>
        <v>0</v>
      </c>
      <c r="V19" s="4">
        <f t="shared" si="26"/>
        <v>0</v>
      </c>
      <c r="W19" s="4">
        <f t="shared" si="4"/>
        <v>0</v>
      </c>
      <c r="X19" s="4"/>
      <c r="Y19" s="4"/>
      <c r="Z19" s="4"/>
      <c r="AA19" s="3"/>
      <c r="AB19" s="3"/>
      <c r="AC19" s="3">
        <v>742000</v>
      </c>
      <c r="AD19" s="210"/>
      <c r="AE19" s="378"/>
      <c r="AF19" s="378"/>
      <c r="AG19" s="378"/>
      <c r="AH19" s="4">
        <f t="shared" si="12"/>
        <v>0</v>
      </c>
      <c r="AI19" s="4">
        <f t="shared" si="13"/>
        <v>0</v>
      </c>
      <c r="AJ19" s="4">
        <f t="shared" si="14"/>
        <v>0</v>
      </c>
      <c r="AK19" s="3"/>
      <c r="AL19" s="3"/>
      <c r="AM19" s="3"/>
      <c r="AN19" s="3"/>
      <c r="AO19" s="3"/>
      <c r="AP19" s="3"/>
      <c r="AQ19" s="535" t="s">
        <v>1139</v>
      </c>
      <c r="AR19" s="173"/>
      <c r="AS19" s="173">
        <f>M19-50000</f>
        <v>9370.5200000000041</v>
      </c>
      <c r="AT19" s="173">
        <f t="shared" ref="AT19:AT40" si="27">SUM(AR19:AS19)</f>
        <v>9370.5200000000041</v>
      </c>
      <c r="AU19" s="173">
        <f t="shared" si="16"/>
        <v>50000</v>
      </c>
      <c r="AV19" s="173">
        <f t="shared" ref="AV19:AV82" si="28">AR19+AS19-M19</f>
        <v>-50000</v>
      </c>
      <c r="AW19" s="173">
        <f t="shared" si="6"/>
        <v>-50000</v>
      </c>
      <c r="AX19" s="184"/>
      <c r="AY19" s="184"/>
      <c r="AZ19" s="184"/>
      <c r="BA19" s="184"/>
      <c r="BB19" s="173">
        <f t="shared" si="18"/>
        <v>-50000</v>
      </c>
      <c r="BC19" s="4">
        <f t="shared" si="19"/>
        <v>0</v>
      </c>
      <c r="BD19" s="4">
        <v>-50000</v>
      </c>
      <c r="BE19" s="4"/>
      <c r="BF19" s="4"/>
      <c r="BG19" s="4"/>
      <c r="BH19" s="4">
        <f t="shared" si="25"/>
        <v>-50000</v>
      </c>
      <c r="BI19" s="3"/>
      <c r="BJ19" s="4">
        <f t="shared" si="21"/>
        <v>-50000</v>
      </c>
      <c r="BK19" s="4">
        <f t="shared" si="22"/>
        <v>0</v>
      </c>
      <c r="BL19" s="4">
        <f t="shared" si="23"/>
        <v>-50000</v>
      </c>
      <c r="BM19" s="3"/>
      <c r="BN19" s="3"/>
      <c r="BO19" s="3"/>
      <c r="BP19" s="3"/>
    </row>
    <row r="20" spans="1:68" s="5" customFormat="1" ht="30" customHeight="1">
      <c r="A20" s="3">
        <v>15</v>
      </c>
      <c r="B20" s="3">
        <v>1363</v>
      </c>
      <c r="C20" s="3" t="s">
        <v>36</v>
      </c>
      <c r="D20" s="4">
        <v>15500000</v>
      </c>
      <c r="E20" s="4">
        <v>15500000</v>
      </c>
      <c r="F20" s="4">
        <f t="shared" si="0"/>
        <v>0</v>
      </c>
      <c r="G20" s="4">
        <v>8050000</v>
      </c>
      <c r="H20" s="4">
        <v>2811761.96</v>
      </c>
      <c r="I20" s="4">
        <v>72509.899999999994</v>
      </c>
      <c r="J20" s="4">
        <v>910570.84</v>
      </c>
      <c r="K20" s="4">
        <f t="shared" si="7"/>
        <v>983080.74</v>
      </c>
      <c r="L20" s="4">
        <f t="shared" si="8"/>
        <v>3794842.7</v>
      </c>
      <c r="M20" s="4">
        <f t="shared" si="9"/>
        <v>4255157.3</v>
      </c>
      <c r="N20" s="4"/>
      <c r="O20" s="4">
        <f t="shared" si="10"/>
        <v>0</v>
      </c>
      <c r="P20" s="4">
        <f t="shared" si="11"/>
        <v>7450000.0000000009</v>
      </c>
      <c r="Q20" s="4">
        <f t="shared" si="1"/>
        <v>4255157.3</v>
      </c>
      <c r="R20" s="4"/>
      <c r="S20" s="4"/>
      <c r="T20" s="4">
        <f t="shared" si="2"/>
        <v>0</v>
      </c>
      <c r="U20" s="4">
        <f t="shared" si="24"/>
        <v>0</v>
      </c>
      <c r="V20" s="4">
        <f t="shared" si="26"/>
        <v>0</v>
      </c>
      <c r="W20" s="4">
        <f t="shared" si="4"/>
        <v>0</v>
      </c>
      <c r="X20" s="4"/>
      <c r="Y20" s="4"/>
      <c r="Z20" s="4"/>
      <c r="AA20" s="3"/>
      <c r="AB20" s="3" t="s">
        <v>521</v>
      </c>
      <c r="AC20" s="3">
        <v>742000</v>
      </c>
      <c r="AD20" s="210"/>
      <c r="AE20" s="378"/>
      <c r="AF20" s="378"/>
      <c r="AG20" s="378"/>
      <c r="AH20" s="4">
        <f t="shared" si="12"/>
        <v>0</v>
      </c>
      <c r="AI20" s="4">
        <f t="shared" si="13"/>
        <v>0</v>
      </c>
      <c r="AJ20" s="4">
        <f t="shared" si="14"/>
        <v>0</v>
      </c>
      <c r="AK20" s="3"/>
      <c r="AL20" s="3"/>
      <c r="AM20" s="3"/>
      <c r="AN20" s="3"/>
      <c r="AO20" s="3"/>
      <c r="AP20" s="4">
        <f>M20</f>
        <v>4255157.3</v>
      </c>
      <c r="AQ20" s="9"/>
      <c r="AR20" s="173"/>
      <c r="AS20" s="173">
        <f>M20</f>
        <v>4255157.3</v>
      </c>
      <c r="AT20" s="173">
        <f t="shared" si="27"/>
        <v>4255157.3</v>
      </c>
      <c r="AU20" s="173">
        <f t="shared" si="16"/>
        <v>7450000.0000000009</v>
      </c>
      <c r="AV20" s="173">
        <f t="shared" si="28"/>
        <v>0</v>
      </c>
      <c r="AW20" s="173">
        <f t="shared" si="6"/>
        <v>0</v>
      </c>
      <c r="AX20" s="184"/>
      <c r="AY20" s="184"/>
      <c r="AZ20" s="184"/>
      <c r="BA20" s="184"/>
      <c r="BB20" s="173">
        <f t="shared" si="18"/>
        <v>0</v>
      </c>
      <c r="BC20" s="4">
        <f t="shared" si="19"/>
        <v>0</v>
      </c>
      <c r="BD20" s="4"/>
      <c r="BE20" s="4"/>
      <c r="BF20" s="4"/>
      <c r="BG20" s="4"/>
      <c r="BH20" s="4">
        <f t="shared" si="25"/>
        <v>0</v>
      </c>
      <c r="BI20" s="3"/>
      <c r="BJ20" s="4">
        <f t="shared" si="21"/>
        <v>0</v>
      </c>
      <c r="BK20" s="4">
        <f t="shared" si="22"/>
        <v>0</v>
      </c>
      <c r="BL20" s="4">
        <f t="shared" si="23"/>
        <v>0</v>
      </c>
      <c r="BM20" s="3"/>
      <c r="BN20" s="3"/>
      <c r="BO20" s="3"/>
      <c r="BP20" s="3"/>
    </row>
    <row r="21" spans="1:68" s="6" customFormat="1" ht="30" customHeight="1">
      <c r="A21" s="3">
        <v>16</v>
      </c>
      <c r="B21" s="3">
        <v>1366</v>
      </c>
      <c r="C21" s="3" t="s">
        <v>37</v>
      </c>
      <c r="D21" s="4">
        <v>1500000</v>
      </c>
      <c r="E21" s="4">
        <v>1500000</v>
      </c>
      <c r="F21" s="4">
        <f t="shared" si="0"/>
        <v>0</v>
      </c>
      <c r="G21" s="4">
        <v>846000</v>
      </c>
      <c r="H21" s="4">
        <v>742520.72</v>
      </c>
      <c r="I21" s="4"/>
      <c r="J21" s="4">
        <v>1755.22</v>
      </c>
      <c r="K21" s="4">
        <f t="shared" si="7"/>
        <v>1755.22</v>
      </c>
      <c r="L21" s="4">
        <f t="shared" si="8"/>
        <v>744275.94</v>
      </c>
      <c r="M21" s="4">
        <f t="shared" si="9"/>
        <v>101724.06000000006</v>
      </c>
      <c r="N21" s="4"/>
      <c r="O21" s="4">
        <f t="shared" si="10"/>
        <v>0</v>
      </c>
      <c r="P21" s="4">
        <f t="shared" si="11"/>
        <v>654000</v>
      </c>
      <c r="Q21" s="4">
        <f t="shared" si="1"/>
        <v>101724.06000000006</v>
      </c>
      <c r="R21" s="4"/>
      <c r="S21" s="4"/>
      <c r="T21" s="4">
        <f t="shared" si="2"/>
        <v>0</v>
      </c>
      <c r="U21" s="4">
        <f t="shared" si="24"/>
        <v>0</v>
      </c>
      <c r="V21" s="4">
        <f t="shared" si="26"/>
        <v>0</v>
      </c>
      <c r="W21" s="4">
        <f t="shared" si="4"/>
        <v>0</v>
      </c>
      <c r="X21" s="4"/>
      <c r="Y21" s="4"/>
      <c r="Z21" s="4"/>
      <c r="AA21" s="3"/>
      <c r="AB21" s="3" t="s">
        <v>522</v>
      </c>
      <c r="AC21" s="3">
        <v>742000</v>
      </c>
      <c r="AD21" s="536"/>
      <c r="AE21" s="378"/>
      <c r="AF21" s="378"/>
      <c r="AG21" s="378"/>
      <c r="AH21" s="4">
        <f t="shared" si="12"/>
        <v>0</v>
      </c>
      <c r="AI21" s="4">
        <f t="shared" si="13"/>
        <v>0</v>
      </c>
      <c r="AJ21" s="4">
        <f t="shared" si="14"/>
        <v>0</v>
      </c>
      <c r="AK21" s="7"/>
      <c r="AL21" s="7"/>
      <c r="AM21" s="7"/>
      <c r="AN21" s="7"/>
      <c r="AO21" s="7"/>
      <c r="AP21" s="4">
        <f>M21</f>
        <v>101724.06000000006</v>
      </c>
      <c r="AQ21" s="9"/>
      <c r="AR21" s="173"/>
      <c r="AS21" s="173">
        <f>M21</f>
        <v>101724.06000000006</v>
      </c>
      <c r="AT21" s="173">
        <f t="shared" si="27"/>
        <v>101724.06000000006</v>
      </c>
      <c r="AU21" s="173">
        <f t="shared" si="16"/>
        <v>654000</v>
      </c>
      <c r="AV21" s="173">
        <f t="shared" si="28"/>
        <v>0</v>
      </c>
      <c r="AW21" s="173">
        <f t="shared" si="6"/>
        <v>0</v>
      </c>
      <c r="AX21" s="184"/>
      <c r="AY21" s="184"/>
      <c r="AZ21" s="184"/>
      <c r="BA21" s="184"/>
      <c r="BB21" s="173">
        <f t="shared" si="18"/>
        <v>0</v>
      </c>
      <c r="BC21" s="4">
        <f t="shared" si="19"/>
        <v>0</v>
      </c>
      <c r="BD21" s="4"/>
      <c r="BE21" s="4"/>
      <c r="BF21" s="4"/>
      <c r="BG21" s="4"/>
      <c r="BH21" s="4">
        <f t="shared" si="25"/>
        <v>0</v>
      </c>
      <c r="BI21" s="7"/>
      <c r="BJ21" s="4">
        <f t="shared" si="21"/>
        <v>0</v>
      </c>
      <c r="BK21" s="4">
        <f t="shared" si="22"/>
        <v>0</v>
      </c>
      <c r="BL21" s="4">
        <f t="shared" si="23"/>
        <v>0</v>
      </c>
      <c r="BM21" s="7"/>
      <c r="BN21" s="7"/>
      <c r="BO21" s="7"/>
      <c r="BP21" s="7"/>
    </row>
    <row r="22" spans="1:68" s="6" customFormat="1" ht="30" customHeight="1">
      <c r="A22" s="3">
        <v>17</v>
      </c>
      <c r="B22" s="3">
        <v>1406</v>
      </c>
      <c r="C22" s="3" t="s">
        <v>129</v>
      </c>
      <c r="D22" s="4">
        <v>1400000</v>
      </c>
      <c r="E22" s="4">
        <v>1400000</v>
      </c>
      <c r="F22" s="4">
        <f t="shared" si="0"/>
        <v>0</v>
      </c>
      <c r="G22" s="4">
        <v>1300000</v>
      </c>
      <c r="H22" s="4">
        <v>845857.52</v>
      </c>
      <c r="I22" s="4">
        <v>33785.1</v>
      </c>
      <c r="J22" s="4"/>
      <c r="K22" s="4">
        <f t="shared" si="7"/>
        <v>33785.1</v>
      </c>
      <c r="L22" s="4">
        <f t="shared" si="8"/>
        <v>879642.62</v>
      </c>
      <c r="M22" s="4">
        <f t="shared" si="9"/>
        <v>420357.38</v>
      </c>
      <c r="N22" s="4">
        <v>100000</v>
      </c>
      <c r="O22" s="4">
        <f t="shared" si="10"/>
        <v>100000</v>
      </c>
      <c r="P22" s="4">
        <f t="shared" si="11"/>
        <v>0</v>
      </c>
      <c r="Q22" s="4">
        <f t="shared" si="1"/>
        <v>420357.38</v>
      </c>
      <c r="R22" s="4"/>
      <c r="S22" s="4"/>
      <c r="T22" s="4">
        <f t="shared" si="2"/>
        <v>0</v>
      </c>
      <c r="U22" s="4">
        <f t="shared" si="24"/>
        <v>0</v>
      </c>
      <c r="V22" s="4">
        <f t="shared" si="26"/>
        <v>100000</v>
      </c>
      <c r="W22" s="4">
        <f t="shared" si="4"/>
        <v>100000</v>
      </c>
      <c r="X22" s="4"/>
      <c r="Y22" s="4"/>
      <c r="Z22" s="4"/>
      <c r="AA22" s="3"/>
      <c r="AB22" s="3" t="s">
        <v>504</v>
      </c>
      <c r="AC22" s="3">
        <v>732000</v>
      </c>
      <c r="AD22" s="536"/>
      <c r="AE22" s="378"/>
      <c r="AF22" s="378"/>
      <c r="AG22" s="378"/>
      <c r="AH22" s="4">
        <f t="shared" si="12"/>
        <v>0</v>
      </c>
      <c r="AI22" s="4">
        <f t="shared" si="13"/>
        <v>100000</v>
      </c>
      <c r="AJ22" s="4">
        <f t="shared" si="14"/>
        <v>100000</v>
      </c>
      <c r="AK22" s="7"/>
      <c r="AL22" s="7"/>
      <c r="AM22" s="7"/>
      <c r="AN22" s="7"/>
      <c r="AO22" s="7"/>
      <c r="AP22" s="4">
        <f>M22</f>
        <v>420357.38</v>
      </c>
      <c r="AQ22" s="535" t="s">
        <v>1145</v>
      </c>
      <c r="AR22" s="173"/>
      <c r="AS22" s="173">
        <f>M22</f>
        <v>420357.38</v>
      </c>
      <c r="AT22" s="173">
        <f t="shared" si="27"/>
        <v>420357.38</v>
      </c>
      <c r="AU22" s="173">
        <f t="shared" si="16"/>
        <v>100000</v>
      </c>
      <c r="AV22" s="173">
        <f t="shared" si="28"/>
        <v>0</v>
      </c>
      <c r="AW22" s="173">
        <f t="shared" si="6"/>
        <v>0</v>
      </c>
      <c r="AX22" s="184"/>
      <c r="AY22" s="184"/>
      <c r="AZ22" s="184"/>
      <c r="BA22" s="184"/>
      <c r="BB22" s="173">
        <f t="shared" si="18"/>
        <v>0</v>
      </c>
      <c r="BC22" s="4">
        <f t="shared" si="19"/>
        <v>0</v>
      </c>
      <c r="BD22" s="4"/>
      <c r="BE22" s="4"/>
      <c r="BF22" s="4"/>
      <c r="BG22" s="4"/>
      <c r="BH22" s="4">
        <f t="shared" si="25"/>
        <v>0</v>
      </c>
      <c r="BI22" s="7"/>
      <c r="BJ22" s="4">
        <f t="shared" si="21"/>
        <v>0</v>
      </c>
      <c r="BK22" s="4">
        <f t="shared" si="22"/>
        <v>0</v>
      </c>
      <c r="BL22" s="4">
        <f t="shared" si="23"/>
        <v>0</v>
      </c>
      <c r="BM22" s="7"/>
      <c r="BN22" s="7"/>
      <c r="BO22" s="7"/>
      <c r="BP22" s="7"/>
    </row>
    <row r="23" spans="1:68" s="6" customFormat="1" ht="30" customHeight="1">
      <c r="A23" s="3">
        <v>18</v>
      </c>
      <c r="B23" s="3">
        <v>1407</v>
      </c>
      <c r="C23" s="3" t="s">
        <v>18</v>
      </c>
      <c r="D23" s="4">
        <v>4895000</v>
      </c>
      <c r="E23" s="4">
        <v>4895000</v>
      </c>
      <c r="F23" s="4">
        <f t="shared" si="0"/>
        <v>0</v>
      </c>
      <c r="G23" s="4">
        <v>3795000</v>
      </c>
      <c r="H23" s="4">
        <v>2613890.6800000002</v>
      </c>
      <c r="I23" s="4">
        <v>138024.98000000001</v>
      </c>
      <c r="J23" s="4">
        <v>273687.67</v>
      </c>
      <c r="K23" s="4">
        <f t="shared" si="7"/>
        <v>411712.65</v>
      </c>
      <c r="L23" s="4">
        <f t="shared" si="8"/>
        <v>3025603.33</v>
      </c>
      <c r="M23" s="4">
        <f t="shared" si="9"/>
        <v>769396.66999999993</v>
      </c>
      <c r="N23" s="4">
        <f>500000-200000+400000+400000-300000</f>
        <v>800000</v>
      </c>
      <c r="O23" s="4">
        <f t="shared" si="10"/>
        <v>800000</v>
      </c>
      <c r="P23" s="4">
        <f t="shared" si="11"/>
        <v>300000</v>
      </c>
      <c r="Q23" s="4">
        <f t="shared" si="1"/>
        <v>769396.66999999993</v>
      </c>
      <c r="R23" s="4"/>
      <c r="S23" s="4"/>
      <c r="T23" s="4">
        <f t="shared" si="2"/>
        <v>0</v>
      </c>
      <c r="U23" s="4">
        <f t="shared" si="24"/>
        <v>0</v>
      </c>
      <c r="V23" s="4">
        <f t="shared" si="26"/>
        <v>800000</v>
      </c>
      <c r="W23" s="4">
        <f t="shared" si="4"/>
        <v>800000</v>
      </c>
      <c r="X23" s="4"/>
      <c r="Y23" s="4"/>
      <c r="Z23" s="4"/>
      <c r="AA23" s="3"/>
      <c r="AB23" s="3" t="s">
        <v>505</v>
      </c>
      <c r="AC23" s="3">
        <v>732000</v>
      </c>
      <c r="AD23" s="536"/>
      <c r="AE23" s="378"/>
      <c r="AF23" s="378"/>
      <c r="AG23" s="378"/>
      <c r="AH23" s="4">
        <f t="shared" si="12"/>
        <v>0</v>
      </c>
      <c r="AI23" s="4">
        <f t="shared" si="13"/>
        <v>800000</v>
      </c>
      <c r="AJ23" s="4">
        <f t="shared" si="14"/>
        <v>800000</v>
      </c>
      <c r="AK23" s="7"/>
      <c r="AL23" s="7"/>
      <c r="AM23" s="7"/>
      <c r="AN23" s="7"/>
      <c r="AO23" s="4">
        <v>300000</v>
      </c>
      <c r="AP23" s="4">
        <f>M23</f>
        <v>769396.66999999993</v>
      </c>
      <c r="AQ23" s="535" t="s">
        <v>1146</v>
      </c>
      <c r="AR23" s="173">
        <v>300000</v>
      </c>
      <c r="AS23" s="173">
        <f>M23</f>
        <v>769396.66999999993</v>
      </c>
      <c r="AT23" s="173">
        <f t="shared" si="27"/>
        <v>1069396.67</v>
      </c>
      <c r="AU23" s="173">
        <f t="shared" si="16"/>
        <v>800000</v>
      </c>
      <c r="AV23" s="173">
        <f t="shared" si="28"/>
        <v>300000</v>
      </c>
      <c r="AW23" s="173">
        <f t="shared" si="6"/>
        <v>300000</v>
      </c>
      <c r="AX23" s="184"/>
      <c r="AY23" s="184"/>
      <c r="AZ23" s="184"/>
      <c r="BA23" s="184"/>
      <c r="BB23" s="173">
        <f t="shared" si="18"/>
        <v>0</v>
      </c>
      <c r="BC23" s="4">
        <f t="shared" si="19"/>
        <v>300000</v>
      </c>
      <c r="BD23" s="4">
        <v>300000</v>
      </c>
      <c r="BE23" s="4"/>
      <c r="BF23" s="4"/>
      <c r="BG23" s="4"/>
      <c r="BH23" s="4">
        <f t="shared" si="25"/>
        <v>300000</v>
      </c>
      <c r="BI23" s="7"/>
      <c r="BJ23" s="4">
        <f t="shared" si="21"/>
        <v>300000</v>
      </c>
      <c r="BK23" s="4">
        <f t="shared" si="22"/>
        <v>0</v>
      </c>
      <c r="BL23" s="4">
        <f t="shared" si="23"/>
        <v>300000</v>
      </c>
      <c r="BM23" s="7"/>
      <c r="BN23" s="7"/>
      <c r="BO23" s="7"/>
      <c r="BP23" s="7"/>
    </row>
    <row r="24" spans="1:68" s="5" customFormat="1" ht="30" customHeight="1">
      <c r="A24" s="3">
        <v>19</v>
      </c>
      <c r="B24" s="3">
        <v>1409</v>
      </c>
      <c r="C24" s="31" t="s">
        <v>667</v>
      </c>
      <c r="D24" s="4">
        <v>7680000</v>
      </c>
      <c r="E24" s="4">
        <v>7680000</v>
      </c>
      <c r="F24" s="4">
        <f t="shared" si="0"/>
        <v>0</v>
      </c>
      <c r="G24" s="4">
        <v>7680000</v>
      </c>
      <c r="H24" s="4">
        <v>5099564.13</v>
      </c>
      <c r="I24" s="4">
        <v>1314720.22</v>
      </c>
      <c r="J24" s="4">
        <v>8190</v>
      </c>
      <c r="K24" s="4">
        <f t="shared" si="7"/>
        <v>1322910.22</v>
      </c>
      <c r="L24" s="4">
        <f t="shared" si="8"/>
        <v>6422474.3499999996</v>
      </c>
      <c r="M24" s="4">
        <f t="shared" si="9"/>
        <v>1257525.6500000004</v>
      </c>
      <c r="N24" s="4"/>
      <c r="O24" s="4">
        <f t="shared" si="10"/>
        <v>0</v>
      </c>
      <c r="P24" s="4">
        <f t="shared" si="11"/>
        <v>0</v>
      </c>
      <c r="Q24" s="4">
        <f t="shared" si="1"/>
        <v>1257525.6500000004</v>
      </c>
      <c r="R24" s="4"/>
      <c r="S24" s="4"/>
      <c r="T24" s="4">
        <f t="shared" si="2"/>
        <v>0</v>
      </c>
      <c r="U24" s="4">
        <f t="shared" si="24"/>
        <v>0</v>
      </c>
      <c r="V24" s="4">
        <f t="shared" si="26"/>
        <v>0</v>
      </c>
      <c r="W24" s="4">
        <f t="shared" si="4"/>
        <v>0</v>
      </c>
      <c r="X24" s="4"/>
      <c r="Y24" s="4"/>
      <c r="Z24" s="4"/>
      <c r="AA24" s="3"/>
      <c r="AB24" s="3" t="s">
        <v>348</v>
      </c>
      <c r="AC24" s="3">
        <v>732000</v>
      </c>
      <c r="AD24" s="210"/>
      <c r="AE24" s="378"/>
      <c r="AF24" s="378"/>
      <c r="AG24" s="378"/>
      <c r="AH24" s="4">
        <f t="shared" si="12"/>
        <v>0</v>
      </c>
      <c r="AI24" s="4">
        <f t="shared" si="13"/>
        <v>0</v>
      </c>
      <c r="AJ24" s="4">
        <f t="shared" si="14"/>
        <v>0</v>
      </c>
      <c r="AK24" s="3"/>
      <c r="AL24" s="3"/>
      <c r="AM24" s="3"/>
      <c r="AN24" s="3"/>
      <c r="AO24" s="3"/>
      <c r="AP24" s="4">
        <v>900000</v>
      </c>
      <c r="AQ24" s="535" t="s">
        <v>1147</v>
      </c>
      <c r="AR24" s="173"/>
      <c r="AS24" s="173">
        <f>M24-350000</f>
        <v>907525.65000000037</v>
      </c>
      <c r="AT24" s="173">
        <f t="shared" si="27"/>
        <v>907525.65000000037</v>
      </c>
      <c r="AU24" s="173">
        <f t="shared" si="16"/>
        <v>350000</v>
      </c>
      <c r="AV24" s="173">
        <f t="shared" si="28"/>
        <v>-350000</v>
      </c>
      <c r="AW24" s="173">
        <f t="shared" si="6"/>
        <v>-350000</v>
      </c>
      <c r="AX24" s="184"/>
      <c r="AY24" s="184"/>
      <c r="AZ24" s="184"/>
      <c r="BA24" s="184"/>
      <c r="BB24" s="173">
        <f t="shared" si="18"/>
        <v>-350000</v>
      </c>
      <c r="BC24" s="4">
        <f t="shared" si="19"/>
        <v>0</v>
      </c>
      <c r="BD24" s="4">
        <v>-350000</v>
      </c>
      <c r="BE24" s="4"/>
      <c r="BF24" s="4"/>
      <c r="BG24" s="4"/>
      <c r="BH24" s="4">
        <f t="shared" si="25"/>
        <v>-350000</v>
      </c>
      <c r="BI24" s="3"/>
      <c r="BJ24" s="4">
        <f t="shared" si="21"/>
        <v>-350000</v>
      </c>
      <c r="BK24" s="4">
        <f t="shared" si="22"/>
        <v>0</v>
      </c>
      <c r="BL24" s="4">
        <f t="shared" si="23"/>
        <v>-350000</v>
      </c>
      <c r="BM24" s="3"/>
      <c r="BN24" s="3"/>
      <c r="BO24" s="3"/>
      <c r="BP24" s="3"/>
    </row>
    <row r="25" spans="1:68" s="5" customFormat="1" ht="30" customHeight="1">
      <c r="A25" s="3">
        <v>20</v>
      </c>
      <c r="B25" s="3">
        <v>1457</v>
      </c>
      <c r="C25" s="3" t="s">
        <v>177</v>
      </c>
      <c r="D25" s="4">
        <v>1100000</v>
      </c>
      <c r="E25" s="4">
        <v>1100000</v>
      </c>
      <c r="F25" s="4">
        <f t="shared" si="0"/>
        <v>0</v>
      </c>
      <c r="G25" s="4">
        <v>430000</v>
      </c>
      <c r="H25" s="4">
        <v>166857.09</v>
      </c>
      <c r="I25" s="4"/>
      <c r="J25" s="4">
        <v>13366.49</v>
      </c>
      <c r="K25" s="4">
        <f t="shared" si="7"/>
        <v>13366.49</v>
      </c>
      <c r="L25" s="4">
        <f t="shared" si="8"/>
        <v>180223.58</v>
      </c>
      <c r="M25" s="4">
        <f t="shared" si="9"/>
        <v>249776.42</v>
      </c>
      <c r="N25" s="4"/>
      <c r="O25" s="4"/>
      <c r="P25" s="4">
        <f t="shared" si="11"/>
        <v>670000</v>
      </c>
      <c r="Q25" s="4">
        <f t="shared" si="1"/>
        <v>249776.42</v>
      </c>
      <c r="R25" s="4"/>
      <c r="S25" s="4"/>
      <c r="T25" s="4">
        <f t="shared" si="2"/>
        <v>0</v>
      </c>
      <c r="U25" s="4">
        <f t="shared" si="24"/>
        <v>0</v>
      </c>
      <c r="V25" s="4">
        <f t="shared" si="26"/>
        <v>0</v>
      </c>
      <c r="W25" s="4">
        <f t="shared" si="4"/>
        <v>0</v>
      </c>
      <c r="X25" s="4"/>
      <c r="Y25" s="4"/>
      <c r="Z25" s="4"/>
      <c r="AA25" s="3"/>
      <c r="AB25" s="3" t="s">
        <v>349</v>
      </c>
      <c r="AC25" s="3">
        <v>742000</v>
      </c>
      <c r="AD25" s="524"/>
      <c r="AE25" s="378"/>
      <c r="AF25" s="378"/>
      <c r="AG25" s="378"/>
      <c r="AH25" s="4">
        <f t="shared" si="12"/>
        <v>0</v>
      </c>
      <c r="AI25" s="4">
        <f t="shared" si="13"/>
        <v>0</v>
      </c>
      <c r="AJ25" s="4">
        <f t="shared" si="14"/>
        <v>0</v>
      </c>
      <c r="AK25" s="3"/>
      <c r="AL25" s="3"/>
      <c r="AM25" s="3"/>
      <c r="AN25" s="3"/>
      <c r="AO25" s="3"/>
      <c r="AP25" s="4">
        <f t="shared" ref="AP25:AP42" si="29">M25</f>
        <v>249776.42</v>
      </c>
      <c r="AQ25" s="9"/>
      <c r="AR25" s="173"/>
      <c r="AS25" s="173">
        <f t="shared" ref="AS25:AS42" si="30">M25</f>
        <v>249776.42</v>
      </c>
      <c r="AT25" s="173">
        <f t="shared" si="27"/>
        <v>249776.42</v>
      </c>
      <c r="AU25" s="173">
        <f t="shared" si="16"/>
        <v>670000</v>
      </c>
      <c r="AV25" s="173">
        <f t="shared" si="28"/>
        <v>0</v>
      </c>
      <c r="AW25" s="173">
        <f t="shared" si="6"/>
        <v>0</v>
      </c>
      <c r="AX25" s="184"/>
      <c r="AY25" s="184"/>
      <c r="AZ25" s="184"/>
      <c r="BA25" s="184"/>
      <c r="BB25" s="173">
        <f t="shared" si="18"/>
        <v>0</v>
      </c>
      <c r="BC25" s="4">
        <f t="shared" si="19"/>
        <v>0</v>
      </c>
      <c r="BD25" s="4"/>
      <c r="BE25" s="4"/>
      <c r="BF25" s="4"/>
      <c r="BG25" s="4"/>
      <c r="BH25" s="4">
        <f t="shared" si="25"/>
        <v>0</v>
      </c>
      <c r="BI25" s="3"/>
      <c r="BJ25" s="4">
        <f t="shared" si="21"/>
        <v>0</v>
      </c>
      <c r="BK25" s="4">
        <f t="shared" si="22"/>
        <v>0</v>
      </c>
      <c r="BL25" s="4">
        <f t="shared" si="23"/>
        <v>0</v>
      </c>
      <c r="BM25" s="3"/>
      <c r="BN25" s="3"/>
      <c r="BO25" s="3"/>
      <c r="BP25" s="3"/>
    </row>
    <row r="26" spans="1:68" s="5" customFormat="1" ht="30" customHeight="1">
      <c r="A26" s="3">
        <v>21</v>
      </c>
      <c r="B26" s="3">
        <v>1466</v>
      </c>
      <c r="C26" s="3" t="s">
        <v>19</v>
      </c>
      <c r="D26" s="4">
        <v>2200000</v>
      </c>
      <c r="E26" s="4">
        <v>2200000</v>
      </c>
      <c r="F26" s="4">
        <f t="shared" si="0"/>
        <v>0</v>
      </c>
      <c r="G26" s="4">
        <v>1500000</v>
      </c>
      <c r="H26" s="4">
        <v>1239869.8899999999</v>
      </c>
      <c r="I26" s="4"/>
      <c r="J26" s="4">
        <v>4844</v>
      </c>
      <c r="K26" s="4">
        <f t="shared" si="7"/>
        <v>4844</v>
      </c>
      <c r="L26" s="4">
        <f t="shared" si="8"/>
        <v>1244713.8899999999</v>
      </c>
      <c r="M26" s="4">
        <f t="shared" si="9"/>
        <v>255286.1100000001</v>
      </c>
      <c r="N26" s="4"/>
      <c r="O26" s="4">
        <f t="shared" si="10"/>
        <v>0</v>
      </c>
      <c r="P26" s="4">
        <f t="shared" si="11"/>
        <v>700000</v>
      </c>
      <c r="Q26" s="4">
        <f t="shared" si="1"/>
        <v>255286.1100000001</v>
      </c>
      <c r="R26" s="4"/>
      <c r="S26" s="4"/>
      <c r="T26" s="4">
        <f t="shared" si="2"/>
        <v>0</v>
      </c>
      <c r="U26" s="4">
        <f t="shared" si="24"/>
        <v>0</v>
      </c>
      <c r="V26" s="4">
        <f t="shared" si="26"/>
        <v>0</v>
      </c>
      <c r="W26" s="4">
        <f t="shared" si="4"/>
        <v>0</v>
      </c>
      <c r="X26" s="4"/>
      <c r="Y26" s="4"/>
      <c r="Z26" s="4"/>
      <c r="AA26" s="3"/>
      <c r="AB26" s="3" t="s">
        <v>350</v>
      </c>
      <c r="AC26" s="3">
        <v>732000</v>
      </c>
      <c r="AD26" s="210"/>
      <c r="AE26" s="378"/>
      <c r="AF26" s="378"/>
      <c r="AG26" s="378"/>
      <c r="AH26" s="4">
        <f t="shared" si="12"/>
        <v>0</v>
      </c>
      <c r="AI26" s="4">
        <f t="shared" si="13"/>
        <v>0</v>
      </c>
      <c r="AJ26" s="4">
        <f t="shared" si="14"/>
        <v>0</v>
      </c>
      <c r="AK26" s="3"/>
      <c r="AL26" s="3"/>
      <c r="AM26" s="3"/>
      <c r="AN26" s="3"/>
      <c r="AO26" s="3"/>
      <c r="AP26" s="4">
        <f t="shared" si="29"/>
        <v>255286.1100000001</v>
      </c>
      <c r="AQ26" s="9"/>
      <c r="AR26" s="173"/>
      <c r="AS26" s="173">
        <f t="shared" si="30"/>
        <v>255286.1100000001</v>
      </c>
      <c r="AT26" s="173">
        <f t="shared" si="27"/>
        <v>255286.1100000001</v>
      </c>
      <c r="AU26" s="173">
        <f t="shared" si="16"/>
        <v>700000</v>
      </c>
      <c r="AV26" s="173">
        <f t="shared" si="28"/>
        <v>0</v>
      </c>
      <c r="AW26" s="173">
        <f t="shared" si="6"/>
        <v>0</v>
      </c>
      <c r="AX26" s="184"/>
      <c r="AY26" s="184"/>
      <c r="AZ26" s="184"/>
      <c r="BA26" s="184"/>
      <c r="BB26" s="173">
        <f t="shared" si="18"/>
        <v>0</v>
      </c>
      <c r="BC26" s="4">
        <f t="shared" si="19"/>
        <v>0</v>
      </c>
      <c r="BD26" s="4"/>
      <c r="BE26" s="4"/>
      <c r="BF26" s="4"/>
      <c r="BG26" s="4"/>
      <c r="BH26" s="4">
        <f t="shared" si="25"/>
        <v>0</v>
      </c>
      <c r="BI26" s="3"/>
      <c r="BJ26" s="4">
        <f t="shared" si="21"/>
        <v>0</v>
      </c>
      <c r="BK26" s="4">
        <f t="shared" si="22"/>
        <v>0</v>
      </c>
      <c r="BL26" s="4">
        <f t="shared" si="23"/>
        <v>0</v>
      </c>
      <c r="BM26" s="3"/>
      <c r="BN26" s="3"/>
      <c r="BO26" s="3"/>
      <c r="BP26" s="3"/>
    </row>
    <row r="27" spans="1:68" s="5" customFormat="1" ht="30" customHeight="1">
      <c r="A27" s="3">
        <v>22</v>
      </c>
      <c r="B27" s="3">
        <v>1511</v>
      </c>
      <c r="C27" s="3" t="s">
        <v>38</v>
      </c>
      <c r="D27" s="4">
        <v>960000</v>
      </c>
      <c r="E27" s="4">
        <v>960000</v>
      </c>
      <c r="F27" s="4">
        <f t="shared" si="0"/>
        <v>0</v>
      </c>
      <c r="G27" s="4">
        <v>100000</v>
      </c>
      <c r="H27" s="4">
        <v>17284</v>
      </c>
      <c r="I27" s="4"/>
      <c r="J27" s="4"/>
      <c r="K27" s="4">
        <f t="shared" si="7"/>
        <v>0</v>
      </c>
      <c r="L27" s="4">
        <f t="shared" si="8"/>
        <v>17284</v>
      </c>
      <c r="M27" s="4">
        <f t="shared" si="9"/>
        <v>82716</v>
      </c>
      <c r="N27" s="4"/>
      <c r="O27" s="4">
        <f t="shared" si="10"/>
        <v>0</v>
      </c>
      <c r="P27" s="4">
        <f t="shared" si="11"/>
        <v>860000</v>
      </c>
      <c r="Q27" s="4">
        <f t="shared" si="1"/>
        <v>82716</v>
      </c>
      <c r="R27" s="4"/>
      <c r="S27" s="4"/>
      <c r="T27" s="4">
        <f t="shared" si="2"/>
        <v>0</v>
      </c>
      <c r="U27" s="4">
        <f t="shared" si="24"/>
        <v>0</v>
      </c>
      <c r="V27" s="4">
        <f t="shared" si="26"/>
        <v>0</v>
      </c>
      <c r="W27" s="4">
        <f t="shared" si="4"/>
        <v>0</v>
      </c>
      <c r="X27" s="4"/>
      <c r="Y27" s="4"/>
      <c r="Z27" s="4"/>
      <c r="AA27" s="3"/>
      <c r="AB27" s="3" t="s">
        <v>884</v>
      </c>
      <c r="AC27" s="3">
        <v>742000</v>
      </c>
      <c r="AD27" s="210"/>
      <c r="AE27" s="378"/>
      <c r="AF27" s="378"/>
      <c r="AG27" s="378"/>
      <c r="AH27" s="4">
        <f t="shared" si="12"/>
        <v>0</v>
      </c>
      <c r="AI27" s="4">
        <f t="shared" si="13"/>
        <v>0</v>
      </c>
      <c r="AJ27" s="4">
        <f t="shared" si="14"/>
        <v>0</v>
      </c>
      <c r="AK27" s="3"/>
      <c r="AL27" s="3"/>
      <c r="AM27" s="3"/>
      <c r="AN27" s="3"/>
      <c r="AO27" s="3"/>
      <c r="AP27" s="4">
        <f t="shared" si="29"/>
        <v>82716</v>
      </c>
      <c r="AQ27" s="9"/>
      <c r="AR27" s="173"/>
      <c r="AS27" s="173">
        <f t="shared" si="30"/>
        <v>82716</v>
      </c>
      <c r="AT27" s="173">
        <f t="shared" si="27"/>
        <v>82716</v>
      </c>
      <c r="AU27" s="173">
        <f t="shared" si="16"/>
        <v>860000</v>
      </c>
      <c r="AV27" s="173">
        <f t="shared" si="28"/>
        <v>0</v>
      </c>
      <c r="AW27" s="173">
        <f t="shared" si="6"/>
        <v>0</v>
      </c>
      <c r="AX27" s="184"/>
      <c r="AY27" s="184"/>
      <c r="AZ27" s="184"/>
      <c r="BA27" s="184"/>
      <c r="BB27" s="173">
        <f t="shared" si="18"/>
        <v>0</v>
      </c>
      <c r="BC27" s="4">
        <f t="shared" si="19"/>
        <v>0</v>
      </c>
      <c r="BD27" s="4"/>
      <c r="BE27" s="4"/>
      <c r="BF27" s="4"/>
      <c r="BG27" s="4"/>
      <c r="BH27" s="4">
        <f t="shared" si="25"/>
        <v>0</v>
      </c>
      <c r="BI27" s="3"/>
      <c r="BJ27" s="4">
        <f t="shared" si="21"/>
        <v>0</v>
      </c>
      <c r="BK27" s="4">
        <f t="shared" si="22"/>
        <v>0</v>
      </c>
      <c r="BL27" s="4">
        <f t="shared" si="23"/>
        <v>0</v>
      </c>
      <c r="BM27" s="3"/>
      <c r="BN27" s="3"/>
      <c r="BO27" s="3"/>
      <c r="BP27" s="3"/>
    </row>
    <row r="28" spans="1:68" s="5" customFormat="1" ht="30" customHeight="1">
      <c r="A28" s="3">
        <v>23</v>
      </c>
      <c r="B28" s="3">
        <v>1527</v>
      </c>
      <c r="C28" s="3" t="s">
        <v>636</v>
      </c>
      <c r="D28" s="4">
        <v>3000000</v>
      </c>
      <c r="E28" s="4">
        <v>3000000</v>
      </c>
      <c r="F28" s="4">
        <f t="shared" si="0"/>
        <v>0</v>
      </c>
      <c r="G28" s="4">
        <v>850000</v>
      </c>
      <c r="H28" s="4">
        <v>821144.02</v>
      </c>
      <c r="I28" s="4"/>
      <c r="J28" s="4"/>
      <c r="K28" s="4">
        <f t="shared" si="7"/>
        <v>0</v>
      </c>
      <c r="L28" s="4">
        <f t="shared" si="8"/>
        <v>821144.02</v>
      </c>
      <c r="M28" s="4">
        <f t="shared" si="9"/>
        <v>28855.979999999981</v>
      </c>
      <c r="N28" s="4">
        <f>100000+250000</f>
        <v>350000</v>
      </c>
      <c r="O28" s="4">
        <f t="shared" si="10"/>
        <v>350000</v>
      </c>
      <c r="P28" s="4">
        <f t="shared" si="11"/>
        <v>1800000</v>
      </c>
      <c r="Q28" s="4">
        <f t="shared" si="1"/>
        <v>28855.979999999981</v>
      </c>
      <c r="R28" s="4"/>
      <c r="S28" s="4"/>
      <c r="T28" s="4">
        <f t="shared" si="2"/>
        <v>0</v>
      </c>
      <c r="U28" s="4">
        <f t="shared" si="24"/>
        <v>0</v>
      </c>
      <c r="V28" s="4">
        <f t="shared" si="26"/>
        <v>350000</v>
      </c>
      <c r="W28" s="4">
        <f t="shared" si="4"/>
        <v>350000</v>
      </c>
      <c r="X28" s="4"/>
      <c r="Y28" s="4"/>
      <c r="Z28" s="4"/>
      <c r="AA28" s="3"/>
      <c r="AB28" s="3" t="s">
        <v>865</v>
      </c>
      <c r="AC28" s="3">
        <v>732000</v>
      </c>
      <c r="AD28" s="524"/>
      <c r="AE28" s="378"/>
      <c r="AF28" s="378"/>
      <c r="AG28" s="378"/>
      <c r="AH28" s="4">
        <f t="shared" si="12"/>
        <v>0</v>
      </c>
      <c r="AI28" s="4">
        <f t="shared" si="13"/>
        <v>350000</v>
      </c>
      <c r="AJ28" s="4">
        <f t="shared" si="14"/>
        <v>350000</v>
      </c>
      <c r="AK28" s="3"/>
      <c r="AL28" s="3"/>
      <c r="AM28" s="3"/>
      <c r="AN28" s="3"/>
      <c r="AO28" s="4">
        <v>350000</v>
      </c>
      <c r="AP28" s="4">
        <f t="shared" si="29"/>
        <v>28855.979999999981</v>
      </c>
      <c r="AQ28" s="9"/>
      <c r="AR28" s="173">
        <v>350000</v>
      </c>
      <c r="AS28" s="173">
        <f t="shared" si="30"/>
        <v>28855.979999999981</v>
      </c>
      <c r="AT28" s="173">
        <f t="shared" si="27"/>
        <v>378855.98</v>
      </c>
      <c r="AU28" s="173">
        <f t="shared" si="16"/>
        <v>1800000</v>
      </c>
      <c r="AV28" s="173">
        <f t="shared" si="28"/>
        <v>350000</v>
      </c>
      <c r="AW28" s="173">
        <f t="shared" si="6"/>
        <v>350000</v>
      </c>
      <c r="AX28" s="184"/>
      <c r="AY28" s="184"/>
      <c r="AZ28" s="184"/>
      <c r="BA28" s="184"/>
      <c r="BB28" s="173">
        <f t="shared" si="18"/>
        <v>0</v>
      </c>
      <c r="BC28" s="4">
        <f t="shared" si="19"/>
        <v>350000</v>
      </c>
      <c r="BD28" s="4">
        <v>350000</v>
      </c>
      <c r="BE28" s="4"/>
      <c r="BF28" s="4"/>
      <c r="BG28" s="4"/>
      <c r="BH28" s="4">
        <f t="shared" si="25"/>
        <v>350000</v>
      </c>
      <c r="BI28" s="3"/>
      <c r="BJ28" s="4">
        <f t="shared" si="21"/>
        <v>350000</v>
      </c>
      <c r="BK28" s="4">
        <f t="shared" si="22"/>
        <v>0</v>
      </c>
      <c r="BL28" s="4">
        <f t="shared" si="23"/>
        <v>350000</v>
      </c>
      <c r="BM28" s="3"/>
      <c r="BN28" s="3"/>
      <c r="BO28" s="3"/>
      <c r="BP28" s="3"/>
    </row>
    <row r="29" spans="1:68" s="5" customFormat="1" ht="30" customHeight="1">
      <c r="A29" s="3">
        <v>24</v>
      </c>
      <c r="B29" s="3">
        <v>1529</v>
      </c>
      <c r="C29" s="3" t="s">
        <v>48</v>
      </c>
      <c r="D29" s="4">
        <v>500000</v>
      </c>
      <c r="E29" s="4">
        <v>500000</v>
      </c>
      <c r="F29" s="4">
        <f t="shared" si="0"/>
        <v>0</v>
      </c>
      <c r="G29" s="4">
        <v>400000</v>
      </c>
      <c r="H29" s="4">
        <v>367382.06</v>
      </c>
      <c r="I29" s="4"/>
      <c r="J29" s="4"/>
      <c r="K29" s="4">
        <f t="shared" si="7"/>
        <v>0</v>
      </c>
      <c r="L29" s="4">
        <f t="shared" si="8"/>
        <v>367382.06</v>
      </c>
      <c r="M29" s="4">
        <f t="shared" si="9"/>
        <v>32617.940000000002</v>
      </c>
      <c r="N29" s="4">
        <v>100000</v>
      </c>
      <c r="O29" s="4">
        <f t="shared" si="10"/>
        <v>100000</v>
      </c>
      <c r="P29" s="4">
        <f t="shared" si="11"/>
        <v>0</v>
      </c>
      <c r="Q29" s="4">
        <f t="shared" si="1"/>
        <v>32617.940000000002</v>
      </c>
      <c r="R29" s="4"/>
      <c r="S29" s="4"/>
      <c r="T29" s="4">
        <f t="shared" si="2"/>
        <v>0</v>
      </c>
      <c r="U29" s="4">
        <f t="shared" si="24"/>
        <v>0</v>
      </c>
      <c r="V29" s="4">
        <f t="shared" si="26"/>
        <v>100000</v>
      </c>
      <c r="W29" s="4">
        <f t="shared" si="4"/>
        <v>100000</v>
      </c>
      <c r="X29" s="4"/>
      <c r="Y29" s="4"/>
      <c r="Z29" s="4"/>
      <c r="AA29" s="3"/>
      <c r="AB29" s="3" t="s">
        <v>478</v>
      </c>
      <c r="AC29" s="3">
        <v>760000</v>
      </c>
      <c r="AD29" s="210"/>
      <c r="AE29" s="378"/>
      <c r="AF29" s="378"/>
      <c r="AG29" s="378"/>
      <c r="AH29" s="4">
        <f t="shared" si="12"/>
        <v>0</v>
      </c>
      <c r="AI29" s="4">
        <f t="shared" si="13"/>
        <v>100000</v>
      </c>
      <c r="AJ29" s="4">
        <f t="shared" si="14"/>
        <v>100000</v>
      </c>
      <c r="AK29" s="3"/>
      <c r="AL29" s="3"/>
      <c r="AM29" s="3"/>
      <c r="AN29" s="3"/>
      <c r="AO29" s="4">
        <f>AI29</f>
        <v>100000</v>
      </c>
      <c r="AP29" s="4">
        <f t="shared" si="29"/>
        <v>32617.940000000002</v>
      </c>
      <c r="AQ29" s="9"/>
      <c r="AR29" s="173">
        <v>100000</v>
      </c>
      <c r="AS29" s="173">
        <f t="shared" si="30"/>
        <v>32617.940000000002</v>
      </c>
      <c r="AT29" s="173">
        <f t="shared" si="27"/>
        <v>132617.94</v>
      </c>
      <c r="AU29" s="173">
        <f t="shared" si="16"/>
        <v>0</v>
      </c>
      <c r="AV29" s="173">
        <f t="shared" si="28"/>
        <v>100000</v>
      </c>
      <c r="AW29" s="173">
        <f t="shared" si="6"/>
        <v>100000</v>
      </c>
      <c r="AX29" s="184"/>
      <c r="AY29" s="184"/>
      <c r="AZ29" s="184"/>
      <c r="BA29" s="184"/>
      <c r="BB29" s="173">
        <f t="shared" si="18"/>
        <v>0</v>
      </c>
      <c r="BC29" s="4">
        <f t="shared" si="19"/>
        <v>100000</v>
      </c>
      <c r="BD29" s="4">
        <v>100000</v>
      </c>
      <c r="BE29" s="4"/>
      <c r="BF29" s="4"/>
      <c r="BG29" s="4"/>
      <c r="BH29" s="4">
        <f t="shared" si="25"/>
        <v>100000</v>
      </c>
      <c r="BI29" s="3"/>
      <c r="BJ29" s="4">
        <f t="shared" si="21"/>
        <v>100000</v>
      </c>
      <c r="BK29" s="4">
        <f t="shared" si="22"/>
        <v>0</v>
      </c>
      <c r="BL29" s="4">
        <f t="shared" si="23"/>
        <v>100000</v>
      </c>
      <c r="BM29" s="3"/>
      <c r="BN29" s="3"/>
      <c r="BO29" s="3"/>
      <c r="BP29" s="3"/>
    </row>
    <row r="30" spans="1:68" s="5" customFormat="1" ht="30" customHeight="1">
      <c r="A30" s="3">
        <v>25</v>
      </c>
      <c r="B30" s="3">
        <v>1551</v>
      </c>
      <c r="C30" s="3" t="s">
        <v>110</v>
      </c>
      <c r="D30" s="4">
        <v>525240</v>
      </c>
      <c r="E30" s="4">
        <v>525240</v>
      </c>
      <c r="F30" s="4">
        <f t="shared" si="0"/>
        <v>0</v>
      </c>
      <c r="G30" s="4">
        <v>375240</v>
      </c>
      <c r="H30" s="4">
        <v>204671</v>
      </c>
      <c r="I30" s="4"/>
      <c r="J30" s="4"/>
      <c r="K30" s="4">
        <f t="shared" si="7"/>
        <v>0</v>
      </c>
      <c r="L30" s="4">
        <f t="shared" si="8"/>
        <v>204671</v>
      </c>
      <c r="M30" s="4">
        <f t="shared" si="9"/>
        <v>170569</v>
      </c>
      <c r="N30" s="4">
        <v>150000</v>
      </c>
      <c r="O30" s="4">
        <f t="shared" si="10"/>
        <v>150000</v>
      </c>
      <c r="P30" s="4">
        <f t="shared" si="11"/>
        <v>0</v>
      </c>
      <c r="Q30" s="4">
        <f t="shared" si="1"/>
        <v>170569</v>
      </c>
      <c r="R30" s="4"/>
      <c r="S30" s="4"/>
      <c r="T30" s="4">
        <f t="shared" si="2"/>
        <v>0</v>
      </c>
      <c r="U30" s="4">
        <f t="shared" si="24"/>
        <v>0</v>
      </c>
      <c r="V30" s="4">
        <f t="shared" si="26"/>
        <v>150000</v>
      </c>
      <c r="W30" s="4">
        <f t="shared" si="4"/>
        <v>150000</v>
      </c>
      <c r="X30" s="4"/>
      <c r="Y30" s="4"/>
      <c r="Z30" s="4"/>
      <c r="AA30" s="3"/>
      <c r="AB30" s="3" t="s">
        <v>506</v>
      </c>
      <c r="AC30" s="3">
        <v>732000</v>
      </c>
      <c r="AD30" s="536"/>
      <c r="AE30" s="378"/>
      <c r="AF30" s="378"/>
      <c r="AG30" s="378"/>
      <c r="AH30" s="4">
        <f t="shared" si="12"/>
        <v>0</v>
      </c>
      <c r="AI30" s="4">
        <f t="shared" si="13"/>
        <v>150000</v>
      </c>
      <c r="AJ30" s="4">
        <f t="shared" si="14"/>
        <v>150000</v>
      </c>
      <c r="AK30" s="3"/>
      <c r="AL30" s="3"/>
      <c r="AM30" s="3"/>
      <c r="AN30" s="3"/>
      <c r="AO30" s="3"/>
      <c r="AP30" s="4">
        <f t="shared" si="29"/>
        <v>170569</v>
      </c>
      <c r="AQ30" s="535" t="s">
        <v>1145</v>
      </c>
      <c r="AR30" s="173"/>
      <c r="AS30" s="173">
        <f t="shared" si="30"/>
        <v>170569</v>
      </c>
      <c r="AT30" s="173">
        <f t="shared" si="27"/>
        <v>170569</v>
      </c>
      <c r="AU30" s="173">
        <f t="shared" si="16"/>
        <v>150000</v>
      </c>
      <c r="AV30" s="173">
        <f t="shared" si="28"/>
        <v>0</v>
      </c>
      <c r="AW30" s="173">
        <f t="shared" si="6"/>
        <v>0</v>
      </c>
      <c r="AX30" s="184"/>
      <c r="AY30" s="184"/>
      <c r="AZ30" s="184"/>
      <c r="BA30" s="184"/>
      <c r="BB30" s="173">
        <f t="shared" si="18"/>
        <v>0</v>
      </c>
      <c r="BC30" s="4">
        <f t="shared" si="19"/>
        <v>0</v>
      </c>
      <c r="BD30" s="4"/>
      <c r="BE30" s="4"/>
      <c r="BF30" s="4"/>
      <c r="BG30" s="4"/>
      <c r="BH30" s="4">
        <f t="shared" si="25"/>
        <v>0</v>
      </c>
      <c r="BI30" s="3"/>
      <c r="BJ30" s="4">
        <f t="shared" si="21"/>
        <v>0</v>
      </c>
      <c r="BK30" s="4">
        <f t="shared" si="22"/>
        <v>0</v>
      </c>
      <c r="BL30" s="4">
        <f t="shared" si="23"/>
        <v>0</v>
      </c>
      <c r="BM30" s="3"/>
      <c r="BN30" s="3"/>
      <c r="BO30" s="3"/>
      <c r="BP30" s="3"/>
    </row>
    <row r="31" spans="1:68" s="6" customFormat="1" ht="30" customHeight="1">
      <c r="A31" s="3">
        <v>26</v>
      </c>
      <c r="B31" s="3">
        <v>1568</v>
      </c>
      <c r="C31" s="3" t="s">
        <v>49</v>
      </c>
      <c r="D31" s="4">
        <v>46375301</v>
      </c>
      <c r="E31" s="4">
        <v>46375301</v>
      </c>
      <c r="F31" s="4">
        <f t="shared" si="0"/>
        <v>0</v>
      </c>
      <c r="G31" s="4">
        <v>28875301</v>
      </c>
      <c r="H31" s="4">
        <v>27763907.309999999</v>
      </c>
      <c r="I31" s="4">
        <v>822126.24</v>
      </c>
      <c r="J31" s="4">
        <v>37671.660000000003</v>
      </c>
      <c r="K31" s="4">
        <f t="shared" si="7"/>
        <v>859797.9</v>
      </c>
      <c r="L31" s="4">
        <f t="shared" si="8"/>
        <v>28623705.209999997</v>
      </c>
      <c r="M31" s="4">
        <f t="shared" si="9"/>
        <v>251595.79000000283</v>
      </c>
      <c r="N31" s="4"/>
      <c r="O31" s="4">
        <f t="shared" si="10"/>
        <v>0</v>
      </c>
      <c r="P31" s="4">
        <f t="shared" si="11"/>
        <v>17500000</v>
      </c>
      <c r="Q31" s="4">
        <f t="shared" si="1"/>
        <v>251595.79000000283</v>
      </c>
      <c r="R31" s="4"/>
      <c r="S31" s="4"/>
      <c r="T31" s="4">
        <f t="shared" si="2"/>
        <v>0</v>
      </c>
      <c r="U31" s="4">
        <f t="shared" si="24"/>
        <v>0</v>
      </c>
      <c r="V31" s="4">
        <f t="shared" si="26"/>
        <v>0</v>
      </c>
      <c r="W31" s="4">
        <f t="shared" si="4"/>
        <v>0</v>
      </c>
      <c r="X31" s="4"/>
      <c r="Y31" s="4"/>
      <c r="Z31" s="4"/>
      <c r="AA31" s="3"/>
      <c r="AB31" s="3"/>
      <c r="AC31" s="3">
        <v>746000</v>
      </c>
      <c r="AD31" s="536"/>
      <c r="AE31" s="378"/>
      <c r="AF31" s="378"/>
      <c r="AG31" s="378"/>
      <c r="AH31" s="4">
        <f t="shared" si="12"/>
        <v>0</v>
      </c>
      <c r="AI31" s="4">
        <f t="shared" si="13"/>
        <v>0</v>
      </c>
      <c r="AJ31" s="4">
        <f t="shared" si="14"/>
        <v>0</v>
      </c>
      <c r="AK31" s="7"/>
      <c r="AL31" s="7"/>
      <c r="AM31" s="7"/>
      <c r="AN31" s="7"/>
      <c r="AO31" s="7"/>
      <c r="AP31" s="4">
        <f t="shared" si="29"/>
        <v>251595.79000000283</v>
      </c>
      <c r="AQ31" s="9"/>
      <c r="AR31" s="173"/>
      <c r="AS31" s="173">
        <f t="shared" si="30"/>
        <v>251595.79000000283</v>
      </c>
      <c r="AT31" s="173">
        <f t="shared" si="27"/>
        <v>251595.79000000283</v>
      </c>
      <c r="AU31" s="173">
        <f t="shared" si="16"/>
        <v>17500000</v>
      </c>
      <c r="AV31" s="173">
        <f t="shared" si="28"/>
        <v>0</v>
      </c>
      <c r="AW31" s="173">
        <f t="shared" si="6"/>
        <v>0</v>
      </c>
      <c r="AX31" s="184"/>
      <c r="AY31" s="184"/>
      <c r="AZ31" s="184"/>
      <c r="BA31" s="184"/>
      <c r="BB31" s="173">
        <f t="shared" si="18"/>
        <v>0</v>
      </c>
      <c r="BC31" s="4">
        <f t="shared" si="19"/>
        <v>0</v>
      </c>
      <c r="BD31" s="4"/>
      <c r="BE31" s="4"/>
      <c r="BF31" s="4"/>
      <c r="BG31" s="4"/>
      <c r="BH31" s="4">
        <f t="shared" si="25"/>
        <v>0</v>
      </c>
      <c r="BI31" s="7"/>
      <c r="BJ31" s="4">
        <f t="shared" si="21"/>
        <v>0</v>
      </c>
      <c r="BK31" s="4">
        <f t="shared" si="22"/>
        <v>0</v>
      </c>
      <c r="BL31" s="4">
        <f t="shared" si="23"/>
        <v>0</v>
      </c>
      <c r="BM31" s="7"/>
      <c r="BN31" s="7"/>
      <c r="BO31" s="7"/>
      <c r="BP31" s="7"/>
    </row>
    <row r="32" spans="1:68" s="6" customFormat="1" ht="30" customHeight="1">
      <c r="A32" s="3">
        <v>27</v>
      </c>
      <c r="B32" s="3">
        <v>1576</v>
      </c>
      <c r="C32" s="3" t="s">
        <v>50</v>
      </c>
      <c r="D32" s="4">
        <v>1000000</v>
      </c>
      <c r="E32" s="4">
        <v>1000000</v>
      </c>
      <c r="F32" s="4">
        <f t="shared" si="0"/>
        <v>0</v>
      </c>
      <c r="G32" s="4">
        <v>420000</v>
      </c>
      <c r="H32" s="4">
        <v>368939.17</v>
      </c>
      <c r="I32" s="4">
        <v>25973</v>
      </c>
      <c r="J32" s="4"/>
      <c r="K32" s="4">
        <f t="shared" si="7"/>
        <v>25973</v>
      </c>
      <c r="L32" s="4">
        <f t="shared" si="8"/>
        <v>394912.17</v>
      </c>
      <c r="M32" s="4">
        <f t="shared" si="9"/>
        <v>25087.830000000016</v>
      </c>
      <c r="N32" s="4">
        <v>30000</v>
      </c>
      <c r="O32" s="4">
        <f t="shared" si="10"/>
        <v>30000</v>
      </c>
      <c r="P32" s="4">
        <f t="shared" si="11"/>
        <v>550000</v>
      </c>
      <c r="Q32" s="4">
        <f t="shared" si="1"/>
        <v>25087.830000000016</v>
      </c>
      <c r="R32" s="4"/>
      <c r="S32" s="4"/>
      <c r="T32" s="4">
        <f t="shared" si="2"/>
        <v>0</v>
      </c>
      <c r="U32" s="4">
        <f t="shared" si="24"/>
        <v>0</v>
      </c>
      <c r="V32" s="4">
        <f t="shared" si="26"/>
        <v>30000</v>
      </c>
      <c r="W32" s="4">
        <f t="shared" si="4"/>
        <v>30000</v>
      </c>
      <c r="X32" s="4"/>
      <c r="Y32" s="4"/>
      <c r="Z32" s="4"/>
      <c r="AA32" s="3"/>
      <c r="AB32" s="3" t="s">
        <v>507</v>
      </c>
      <c r="AC32" s="3">
        <v>732000</v>
      </c>
      <c r="AD32" s="210"/>
      <c r="AE32" s="378"/>
      <c r="AF32" s="378"/>
      <c r="AG32" s="378"/>
      <c r="AH32" s="4">
        <f t="shared" si="12"/>
        <v>0</v>
      </c>
      <c r="AI32" s="4">
        <f t="shared" si="13"/>
        <v>30000</v>
      </c>
      <c r="AJ32" s="4">
        <f t="shared" si="14"/>
        <v>30000</v>
      </c>
      <c r="AK32" s="7"/>
      <c r="AL32" s="7"/>
      <c r="AM32" s="7"/>
      <c r="AN32" s="7"/>
      <c r="AO32" s="4">
        <f>AI32</f>
        <v>30000</v>
      </c>
      <c r="AP32" s="4">
        <f t="shared" si="29"/>
        <v>25087.830000000016</v>
      </c>
      <c r="AQ32" s="9"/>
      <c r="AR32" s="173">
        <v>30000</v>
      </c>
      <c r="AS32" s="173">
        <f t="shared" si="30"/>
        <v>25087.830000000016</v>
      </c>
      <c r="AT32" s="173">
        <f t="shared" si="27"/>
        <v>55087.830000000016</v>
      </c>
      <c r="AU32" s="173">
        <f t="shared" si="16"/>
        <v>550000</v>
      </c>
      <c r="AV32" s="173">
        <f t="shared" si="28"/>
        <v>30000</v>
      </c>
      <c r="AW32" s="173">
        <f t="shared" si="6"/>
        <v>30000</v>
      </c>
      <c r="AX32" s="184"/>
      <c r="AY32" s="184"/>
      <c r="AZ32" s="184"/>
      <c r="BA32" s="184"/>
      <c r="BB32" s="173">
        <f t="shared" si="18"/>
        <v>0</v>
      </c>
      <c r="BC32" s="4">
        <f t="shared" si="19"/>
        <v>30000</v>
      </c>
      <c r="BD32" s="4">
        <v>30000</v>
      </c>
      <c r="BE32" s="4"/>
      <c r="BF32" s="4"/>
      <c r="BG32" s="4"/>
      <c r="BH32" s="4">
        <f t="shared" si="25"/>
        <v>30000</v>
      </c>
      <c r="BI32" s="7"/>
      <c r="BJ32" s="4">
        <f t="shared" si="21"/>
        <v>30000</v>
      </c>
      <c r="BK32" s="4">
        <f t="shared" si="22"/>
        <v>0</v>
      </c>
      <c r="BL32" s="4">
        <f t="shared" si="23"/>
        <v>30000</v>
      </c>
      <c r="BM32" s="7"/>
      <c r="BN32" s="7"/>
      <c r="BO32" s="7"/>
      <c r="BP32" s="7"/>
    </row>
    <row r="33" spans="1:68" s="5" customFormat="1" ht="30" customHeight="1">
      <c r="A33" s="3">
        <v>28</v>
      </c>
      <c r="B33" s="3">
        <v>1587</v>
      </c>
      <c r="C33" s="3" t="s">
        <v>111</v>
      </c>
      <c r="D33" s="4">
        <v>34200000</v>
      </c>
      <c r="E33" s="4">
        <v>34200000</v>
      </c>
      <c r="F33" s="4">
        <f t="shared" si="0"/>
        <v>0</v>
      </c>
      <c r="G33" s="4">
        <v>11550000</v>
      </c>
      <c r="H33" s="4">
        <v>8932630.3900000006</v>
      </c>
      <c r="I33" s="4">
        <v>1089975.07</v>
      </c>
      <c r="J33" s="4">
        <v>1077251.92</v>
      </c>
      <c r="K33" s="4">
        <f t="shared" si="7"/>
        <v>2167226.9900000002</v>
      </c>
      <c r="L33" s="4">
        <f t="shared" si="8"/>
        <v>11099857.380000001</v>
      </c>
      <c r="M33" s="4">
        <f t="shared" si="9"/>
        <v>450142.61999999918</v>
      </c>
      <c r="N33" s="4">
        <f>11300000-4300000-3000000</f>
        <v>4000000</v>
      </c>
      <c r="O33" s="4">
        <f t="shared" si="10"/>
        <v>4000000</v>
      </c>
      <c r="P33" s="4">
        <f t="shared" si="11"/>
        <v>18650000</v>
      </c>
      <c r="Q33" s="4">
        <f t="shared" si="1"/>
        <v>450142.61999999918</v>
      </c>
      <c r="R33" s="4"/>
      <c r="S33" s="4"/>
      <c r="T33" s="4">
        <f t="shared" si="2"/>
        <v>0</v>
      </c>
      <c r="U33" s="4">
        <f t="shared" si="24"/>
        <v>0</v>
      </c>
      <c r="V33" s="4">
        <f t="shared" si="26"/>
        <v>4000000</v>
      </c>
      <c r="W33" s="4">
        <f t="shared" si="4"/>
        <v>4000000</v>
      </c>
      <c r="X33" s="4"/>
      <c r="Y33" s="4"/>
      <c r="Z33" s="4"/>
      <c r="AA33" s="3"/>
      <c r="AB33" s="3" t="s">
        <v>806</v>
      </c>
      <c r="AC33" s="3">
        <v>742000</v>
      </c>
      <c r="AD33" s="536"/>
      <c r="AE33" s="378"/>
      <c r="AF33" s="378"/>
      <c r="AG33" s="378"/>
      <c r="AH33" s="4">
        <f t="shared" si="12"/>
        <v>0</v>
      </c>
      <c r="AI33" s="4">
        <f t="shared" si="13"/>
        <v>4000000</v>
      </c>
      <c r="AJ33" s="4">
        <f t="shared" si="14"/>
        <v>4000000</v>
      </c>
      <c r="AK33" s="3"/>
      <c r="AL33" s="3"/>
      <c r="AM33" s="3"/>
      <c r="AN33" s="3"/>
      <c r="AO33" s="4">
        <v>1000000</v>
      </c>
      <c r="AP33" s="4">
        <f t="shared" si="29"/>
        <v>450142.61999999918</v>
      </c>
      <c r="AQ33" s="535" t="s">
        <v>1148</v>
      </c>
      <c r="AR33" s="173">
        <v>1000000</v>
      </c>
      <c r="AS33" s="173">
        <f t="shared" si="30"/>
        <v>450142.61999999918</v>
      </c>
      <c r="AT33" s="173">
        <f t="shared" si="27"/>
        <v>1450142.6199999992</v>
      </c>
      <c r="AU33" s="173">
        <f t="shared" si="16"/>
        <v>21650000</v>
      </c>
      <c r="AV33" s="173">
        <f t="shared" si="28"/>
        <v>1000000</v>
      </c>
      <c r="AW33" s="173">
        <f t="shared" si="6"/>
        <v>1000000</v>
      </c>
      <c r="AX33" s="184"/>
      <c r="AY33" s="184"/>
      <c r="AZ33" s="184"/>
      <c r="BA33" s="184"/>
      <c r="BB33" s="173">
        <f t="shared" si="18"/>
        <v>0</v>
      </c>
      <c r="BC33" s="4">
        <f t="shared" si="19"/>
        <v>1000000</v>
      </c>
      <c r="BD33" s="4">
        <v>1000000</v>
      </c>
      <c r="BE33" s="4"/>
      <c r="BF33" s="4"/>
      <c r="BG33" s="4"/>
      <c r="BH33" s="4">
        <f t="shared" si="25"/>
        <v>1000000</v>
      </c>
      <c r="BI33" s="3"/>
      <c r="BJ33" s="4">
        <f t="shared" si="21"/>
        <v>1000000</v>
      </c>
      <c r="BK33" s="4">
        <f t="shared" si="22"/>
        <v>0</v>
      </c>
      <c r="BL33" s="4">
        <f t="shared" si="23"/>
        <v>1000000</v>
      </c>
      <c r="BM33" s="3"/>
      <c r="BN33" s="3"/>
      <c r="BO33" s="3"/>
      <c r="BP33" s="3"/>
    </row>
    <row r="34" spans="1:68" s="6" customFormat="1" ht="30" customHeight="1">
      <c r="A34" s="3">
        <v>29</v>
      </c>
      <c r="B34" s="3">
        <v>1601</v>
      </c>
      <c r="C34" s="3" t="s">
        <v>40</v>
      </c>
      <c r="D34" s="4">
        <v>700000</v>
      </c>
      <c r="E34" s="4">
        <v>700000</v>
      </c>
      <c r="F34" s="4">
        <f t="shared" si="0"/>
        <v>0</v>
      </c>
      <c r="G34" s="4">
        <v>650000</v>
      </c>
      <c r="H34" s="4">
        <v>533608.34</v>
      </c>
      <c r="I34" s="4"/>
      <c r="J34" s="4"/>
      <c r="K34" s="4">
        <f t="shared" si="7"/>
        <v>0</v>
      </c>
      <c r="L34" s="4">
        <f t="shared" si="8"/>
        <v>533608.34</v>
      </c>
      <c r="M34" s="4">
        <f t="shared" si="9"/>
        <v>116391.66000000003</v>
      </c>
      <c r="N34" s="4"/>
      <c r="O34" s="4">
        <f t="shared" si="10"/>
        <v>0</v>
      </c>
      <c r="P34" s="4">
        <f t="shared" si="11"/>
        <v>50000</v>
      </c>
      <c r="Q34" s="4">
        <f t="shared" si="1"/>
        <v>116391.66000000003</v>
      </c>
      <c r="R34" s="4"/>
      <c r="S34" s="4"/>
      <c r="T34" s="4">
        <f t="shared" si="2"/>
        <v>0</v>
      </c>
      <c r="U34" s="4">
        <f t="shared" si="24"/>
        <v>0</v>
      </c>
      <c r="V34" s="4">
        <f t="shared" si="26"/>
        <v>0</v>
      </c>
      <c r="W34" s="4">
        <f t="shared" si="4"/>
        <v>0</v>
      </c>
      <c r="X34" s="4"/>
      <c r="Y34" s="4"/>
      <c r="Z34" s="4"/>
      <c r="AA34" s="3"/>
      <c r="AB34" s="3"/>
      <c r="AC34" s="3">
        <v>742000</v>
      </c>
      <c r="AD34" s="210"/>
      <c r="AE34" s="378"/>
      <c r="AF34" s="378"/>
      <c r="AG34" s="378"/>
      <c r="AH34" s="4">
        <f t="shared" si="12"/>
        <v>0</v>
      </c>
      <c r="AI34" s="4">
        <f t="shared" si="13"/>
        <v>0</v>
      </c>
      <c r="AJ34" s="4">
        <f t="shared" si="14"/>
        <v>0</v>
      </c>
      <c r="AK34" s="7"/>
      <c r="AL34" s="7"/>
      <c r="AM34" s="7"/>
      <c r="AN34" s="7"/>
      <c r="AO34" s="7"/>
      <c r="AP34" s="4">
        <f t="shared" si="29"/>
        <v>116391.66000000003</v>
      </c>
      <c r="AQ34" s="9"/>
      <c r="AR34" s="173"/>
      <c r="AS34" s="173">
        <f t="shared" si="30"/>
        <v>116391.66000000003</v>
      </c>
      <c r="AT34" s="173">
        <f t="shared" si="27"/>
        <v>116391.66000000003</v>
      </c>
      <c r="AU34" s="173">
        <f t="shared" si="16"/>
        <v>50000</v>
      </c>
      <c r="AV34" s="173">
        <f t="shared" si="28"/>
        <v>0</v>
      </c>
      <c r="AW34" s="173">
        <f t="shared" si="6"/>
        <v>0</v>
      </c>
      <c r="AX34" s="184"/>
      <c r="AY34" s="184"/>
      <c r="AZ34" s="184"/>
      <c r="BA34" s="184"/>
      <c r="BB34" s="173">
        <f t="shared" si="18"/>
        <v>0</v>
      </c>
      <c r="BC34" s="4">
        <f t="shared" si="19"/>
        <v>0</v>
      </c>
      <c r="BD34" s="4"/>
      <c r="BE34" s="4"/>
      <c r="BF34" s="4"/>
      <c r="BG34" s="4"/>
      <c r="BH34" s="4">
        <f t="shared" si="25"/>
        <v>0</v>
      </c>
      <c r="BI34" s="7"/>
      <c r="BJ34" s="4">
        <f t="shared" si="21"/>
        <v>0</v>
      </c>
      <c r="BK34" s="4">
        <f t="shared" si="22"/>
        <v>0</v>
      </c>
      <c r="BL34" s="4">
        <f t="shared" si="23"/>
        <v>0</v>
      </c>
      <c r="BM34" s="7"/>
      <c r="BN34" s="7"/>
      <c r="BO34" s="7"/>
      <c r="BP34" s="7"/>
    </row>
    <row r="35" spans="1:68" s="5" customFormat="1" ht="30" customHeight="1">
      <c r="A35" s="3">
        <v>30</v>
      </c>
      <c r="B35" s="3">
        <v>1602</v>
      </c>
      <c r="C35" s="3" t="s">
        <v>26</v>
      </c>
      <c r="D35" s="4">
        <v>32500000</v>
      </c>
      <c r="E35" s="4">
        <v>32500000</v>
      </c>
      <c r="F35" s="4">
        <f t="shared" si="0"/>
        <v>0</v>
      </c>
      <c r="G35" s="4">
        <v>32500000</v>
      </c>
      <c r="H35" s="4">
        <v>29055696.18</v>
      </c>
      <c r="I35" s="4">
        <v>2590804.3199999998</v>
      </c>
      <c r="J35" s="4">
        <v>119804.53</v>
      </c>
      <c r="K35" s="4">
        <f t="shared" si="7"/>
        <v>2710608.8499999996</v>
      </c>
      <c r="L35" s="4">
        <f t="shared" si="8"/>
        <v>31766305.030000001</v>
      </c>
      <c r="M35" s="4">
        <f t="shared" si="9"/>
        <v>733694.96999999881</v>
      </c>
      <c r="N35" s="4"/>
      <c r="O35" s="4">
        <f t="shared" si="10"/>
        <v>0</v>
      </c>
      <c r="P35" s="4">
        <f t="shared" si="11"/>
        <v>0</v>
      </c>
      <c r="Q35" s="4">
        <f t="shared" si="1"/>
        <v>733694.96999999881</v>
      </c>
      <c r="R35" s="4"/>
      <c r="S35" s="4"/>
      <c r="T35" s="4">
        <f t="shared" si="2"/>
        <v>0</v>
      </c>
      <c r="U35" s="4">
        <f t="shared" si="24"/>
        <v>0</v>
      </c>
      <c r="V35" s="4">
        <f t="shared" si="26"/>
        <v>0</v>
      </c>
      <c r="W35" s="4">
        <f t="shared" si="4"/>
        <v>0</v>
      </c>
      <c r="X35" s="4"/>
      <c r="Y35" s="4"/>
      <c r="Z35" s="4"/>
      <c r="AA35" s="3"/>
      <c r="AB35" s="3" t="s">
        <v>889</v>
      </c>
      <c r="AC35" s="3">
        <v>742000</v>
      </c>
      <c r="AD35" s="210"/>
      <c r="AE35" s="378"/>
      <c r="AF35" s="378"/>
      <c r="AG35" s="378"/>
      <c r="AH35" s="4">
        <f t="shared" si="12"/>
        <v>0</v>
      </c>
      <c r="AI35" s="4">
        <f t="shared" si="13"/>
        <v>0</v>
      </c>
      <c r="AJ35" s="4">
        <f t="shared" si="14"/>
        <v>0</v>
      </c>
      <c r="AK35" s="3"/>
      <c r="AL35" s="3"/>
      <c r="AM35" s="3"/>
      <c r="AN35" s="3"/>
      <c r="AO35" s="3"/>
      <c r="AP35" s="4">
        <f t="shared" si="29"/>
        <v>733694.96999999881</v>
      </c>
      <c r="AQ35" s="9"/>
      <c r="AR35" s="173"/>
      <c r="AS35" s="173">
        <f t="shared" si="30"/>
        <v>733694.96999999881</v>
      </c>
      <c r="AT35" s="173">
        <f t="shared" si="27"/>
        <v>733694.96999999881</v>
      </c>
      <c r="AU35" s="173">
        <f t="shared" si="16"/>
        <v>0</v>
      </c>
      <c r="AV35" s="173">
        <f t="shared" si="28"/>
        <v>0</v>
      </c>
      <c r="AW35" s="173">
        <f t="shared" si="6"/>
        <v>0</v>
      </c>
      <c r="AX35" s="184"/>
      <c r="AY35" s="184"/>
      <c r="AZ35" s="184"/>
      <c r="BA35" s="184"/>
      <c r="BB35" s="173">
        <f t="shared" si="18"/>
        <v>0</v>
      </c>
      <c r="BC35" s="4">
        <f t="shared" si="19"/>
        <v>0</v>
      </c>
      <c r="BD35" s="4"/>
      <c r="BE35" s="4"/>
      <c r="BF35" s="4"/>
      <c r="BG35" s="4"/>
      <c r="BH35" s="4">
        <f t="shared" si="25"/>
        <v>0</v>
      </c>
      <c r="BI35" s="3"/>
      <c r="BJ35" s="4">
        <f t="shared" si="21"/>
        <v>0</v>
      </c>
      <c r="BK35" s="4">
        <f t="shared" si="22"/>
        <v>0</v>
      </c>
      <c r="BL35" s="4">
        <f t="shared" si="23"/>
        <v>0</v>
      </c>
      <c r="BM35" s="3"/>
      <c r="BN35" s="3"/>
      <c r="BO35" s="3"/>
      <c r="BP35" s="3"/>
    </row>
    <row r="36" spans="1:68" s="5" customFormat="1" ht="30" customHeight="1">
      <c r="A36" s="3">
        <v>31</v>
      </c>
      <c r="B36" s="3">
        <v>1619</v>
      </c>
      <c r="C36" s="3" t="s">
        <v>1607</v>
      </c>
      <c r="D36" s="4">
        <v>250000</v>
      </c>
      <c r="E36" s="4">
        <v>250000</v>
      </c>
      <c r="F36" s="4">
        <f t="shared" si="0"/>
        <v>0</v>
      </c>
      <c r="G36" s="4">
        <v>200000</v>
      </c>
      <c r="H36" s="4">
        <v>90207</v>
      </c>
      <c r="I36" s="4"/>
      <c r="J36" s="4"/>
      <c r="K36" s="4">
        <f t="shared" si="7"/>
        <v>0</v>
      </c>
      <c r="L36" s="4">
        <f t="shared" si="8"/>
        <v>90207</v>
      </c>
      <c r="M36" s="4">
        <f t="shared" si="9"/>
        <v>109793</v>
      </c>
      <c r="N36" s="4"/>
      <c r="O36" s="4">
        <f t="shared" si="10"/>
        <v>0</v>
      </c>
      <c r="P36" s="4">
        <f t="shared" si="11"/>
        <v>50000</v>
      </c>
      <c r="Q36" s="4">
        <f t="shared" si="1"/>
        <v>109793</v>
      </c>
      <c r="R36" s="4"/>
      <c r="S36" s="4"/>
      <c r="T36" s="4">
        <f t="shared" si="2"/>
        <v>0</v>
      </c>
      <c r="U36" s="4">
        <f t="shared" si="24"/>
        <v>0</v>
      </c>
      <c r="V36" s="4">
        <f t="shared" si="26"/>
        <v>0</v>
      </c>
      <c r="W36" s="4">
        <f t="shared" si="4"/>
        <v>0</v>
      </c>
      <c r="X36" s="4"/>
      <c r="Y36" s="4"/>
      <c r="Z36" s="4"/>
      <c r="AA36" s="3"/>
      <c r="AB36" s="3" t="s">
        <v>508</v>
      </c>
      <c r="AC36" s="3">
        <v>732000</v>
      </c>
      <c r="AD36" s="210"/>
      <c r="AE36" s="378"/>
      <c r="AF36" s="378"/>
      <c r="AG36" s="378"/>
      <c r="AH36" s="4">
        <f t="shared" si="12"/>
        <v>0</v>
      </c>
      <c r="AI36" s="4">
        <f t="shared" si="13"/>
        <v>0</v>
      </c>
      <c r="AJ36" s="4">
        <f t="shared" si="14"/>
        <v>0</v>
      </c>
      <c r="AK36" s="3"/>
      <c r="AL36" s="3"/>
      <c r="AM36" s="3"/>
      <c r="AN36" s="3"/>
      <c r="AO36" s="3"/>
      <c r="AP36" s="4">
        <f t="shared" si="29"/>
        <v>109793</v>
      </c>
      <c r="AQ36" s="9"/>
      <c r="AR36" s="173"/>
      <c r="AS36" s="173">
        <f t="shared" si="30"/>
        <v>109793</v>
      </c>
      <c r="AT36" s="173">
        <f t="shared" si="27"/>
        <v>109793</v>
      </c>
      <c r="AU36" s="173">
        <f t="shared" si="16"/>
        <v>50000</v>
      </c>
      <c r="AV36" s="173">
        <f t="shared" si="28"/>
        <v>0</v>
      </c>
      <c r="AW36" s="173">
        <f t="shared" si="6"/>
        <v>0</v>
      </c>
      <c r="AX36" s="184"/>
      <c r="AY36" s="184"/>
      <c r="AZ36" s="184"/>
      <c r="BA36" s="184"/>
      <c r="BB36" s="173">
        <f t="shared" si="18"/>
        <v>0</v>
      </c>
      <c r="BC36" s="4">
        <f t="shared" si="19"/>
        <v>0</v>
      </c>
      <c r="BD36" s="4"/>
      <c r="BE36" s="4"/>
      <c r="BF36" s="4"/>
      <c r="BG36" s="4"/>
      <c r="BH36" s="4">
        <f t="shared" si="25"/>
        <v>0</v>
      </c>
      <c r="BI36" s="3"/>
      <c r="BJ36" s="4">
        <f t="shared" si="21"/>
        <v>0</v>
      </c>
      <c r="BK36" s="4">
        <f t="shared" si="22"/>
        <v>0</v>
      </c>
      <c r="BL36" s="4">
        <f t="shared" si="23"/>
        <v>0</v>
      </c>
      <c r="BM36" s="3"/>
      <c r="BN36" s="3"/>
      <c r="BO36" s="3"/>
      <c r="BP36" s="3"/>
    </row>
    <row r="37" spans="1:68" s="5" customFormat="1" ht="30" customHeight="1">
      <c r="A37" s="3">
        <v>32</v>
      </c>
      <c r="B37" s="3">
        <v>1620</v>
      </c>
      <c r="C37" s="31" t="s">
        <v>668</v>
      </c>
      <c r="D37" s="4">
        <v>1000000</v>
      </c>
      <c r="E37" s="4">
        <v>1000000</v>
      </c>
      <c r="F37" s="4">
        <f t="shared" si="0"/>
        <v>0</v>
      </c>
      <c r="G37" s="4">
        <v>300000</v>
      </c>
      <c r="H37" s="4">
        <v>0</v>
      </c>
      <c r="I37" s="4"/>
      <c r="J37" s="4"/>
      <c r="K37" s="4">
        <f t="shared" si="7"/>
        <v>0</v>
      </c>
      <c r="L37" s="4">
        <f t="shared" si="8"/>
        <v>0</v>
      </c>
      <c r="M37" s="4">
        <f t="shared" si="9"/>
        <v>300000</v>
      </c>
      <c r="N37" s="4"/>
      <c r="O37" s="4">
        <f t="shared" si="10"/>
        <v>0</v>
      </c>
      <c r="P37" s="4">
        <f t="shared" si="11"/>
        <v>700000</v>
      </c>
      <c r="Q37" s="4">
        <f t="shared" si="1"/>
        <v>300000</v>
      </c>
      <c r="R37" s="4"/>
      <c r="S37" s="4"/>
      <c r="T37" s="4">
        <f t="shared" si="2"/>
        <v>0</v>
      </c>
      <c r="U37" s="4">
        <f t="shared" si="24"/>
        <v>0</v>
      </c>
      <c r="V37" s="4">
        <f t="shared" si="26"/>
        <v>0</v>
      </c>
      <c r="W37" s="4">
        <f t="shared" si="4"/>
        <v>0</v>
      </c>
      <c r="X37" s="4"/>
      <c r="Y37" s="4"/>
      <c r="Z37" s="4"/>
      <c r="AA37" s="3"/>
      <c r="AB37" s="3" t="s">
        <v>609</v>
      </c>
      <c r="AC37" s="3">
        <v>732000</v>
      </c>
      <c r="AD37" s="210"/>
      <c r="AE37" s="378"/>
      <c r="AF37" s="378"/>
      <c r="AG37" s="378"/>
      <c r="AH37" s="4">
        <f t="shared" si="12"/>
        <v>0</v>
      </c>
      <c r="AI37" s="4">
        <f t="shared" si="13"/>
        <v>0</v>
      </c>
      <c r="AJ37" s="4">
        <f t="shared" si="14"/>
        <v>0</v>
      </c>
      <c r="AK37" s="3"/>
      <c r="AL37" s="3"/>
      <c r="AM37" s="3"/>
      <c r="AN37" s="3"/>
      <c r="AO37" s="3"/>
      <c r="AP37" s="4">
        <f t="shared" si="29"/>
        <v>300000</v>
      </c>
      <c r="AQ37" s="9"/>
      <c r="AR37" s="173"/>
      <c r="AS37" s="173">
        <f t="shared" si="30"/>
        <v>300000</v>
      </c>
      <c r="AT37" s="173">
        <f t="shared" si="27"/>
        <v>300000</v>
      </c>
      <c r="AU37" s="173">
        <f t="shared" si="16"/>
        <v>700000</v>
      </c>
      <c r="AV37" s="173">
        <f t="shared" si="28"/>
        <v>0</v>
      </c>
      <c r="AW37" s="173">
        <f t="shared" si="6"/>
        <v>0</v>
      </c>
      <c r="AX37" s="184"/>
      <c r="AY37" s="184"/>
      <c r="AZ37" s="184"/>
      <c r="BA37" s="184"/>
      <c r="BB37" s="173">
        <f t="shared" si="18"/>
        <v>0</v>
      </c>
      <c r="BC37" s="4">
        <f t="shared" si="19"/>
        <v>0</v>
      </c>
      <c r="BD37" s="4"/>
      <c r="BE37" s="4"/>
      <c r="BF37" s="4"/>
      <c r="BG37" s="4"/>
      <c r="BH37" s="4">
        <f t="shared" si="25"/>
        <v>0</v>
      </c>
      <c r="BI37" s="3"/>
      <c r="BJ37" s="4">
        <f t="shared" si="21"/>
        <v>0</v>
      </c>
      <c r="BK37" s="4">
        <f t="shared" si="22"/>
        <v>0</v>
      </c>
      <c r="BL37" s="4">
        <f t="shared" si="23"/>
        <v>0</v>
      </c>
      <c r="BM37" s="3"/>
      <c r="BN37" s="3"/>
      <c r="BO37" s="3"/>
      <c r="BP37" s="3"/>
    </row>
    <row r="38" spans="1:68" s="5" customFormat="1" ht="30" customHeight="1">
      <c r="A38" s="3">
        <v>33</v>
      </c>
      <c r="B38" s="3">
        <v>1660</v>
      </c>
      <c r="C38" s="3" t="s">
        <v>20</v>
      </c>
      <c r="D38" s="4">
        <v>2000000</v>
      </c>
      <c r="E38" s="4">
        <v>2000000</v>
      </c>
      <c r="F38" s="4">
        <f t="shared" si="0"/>
        <v>0</v>
      </c>
      <c r="G38" s="4">
        <v>600000</v>
      </c>
      <c r="H38" s="4">
        <v>120082.5</v>
      </c>
      <c r="I38" s="4">
        <v>274950</v>
      </c>
      <c r="J38" s="4">
        <v>16103.59</v>
      </c>
      <c r="K38" s="4">
        <f t="shared" si="7"/>
        <v>291053.59000000003</v>
      </c>
      <c r="L38" s="4">
        <f t="shared" si="8"/>
        <v>411136.09</v>
      </c>
      <c r="M38" s="4">
        <f t="shared" si="9"/>
        <v>188863.90999999997</v>
      </c>
      <c r="N38" s="4">
        <f>500000+500000-500000</f>
        <v>500000</v>
      </c>
      <c r="O38" s="4">
        <f t="shared" si="10"/>
        <v>500000</v>
      </c>
      <c r="P38" s="4">
        <f t="shared" si="11"/>
        <v>900000</v>
      </c>
      <c r="Q38" s="4">
        <f t="shared" si="1"/>
        <v>188863.90999999997</v>
      </c>
      <c r="R38" s="4"/>
      <c r="S38" s="4"/>
      <c r="T38" s="4">
        <f t="shared" si="2"/>
        <v>0</v>
      </c>
      <c r="U38" s="4">
        <f t="shared" si="24"/>
        <v>0</v>
      </c>
      <c r="V38" s="4">
        <f t="shared" si="26"/>
        <v>500000</v>
      </c>
      <c r="W38" s="4">
        <f t="shared" si="4"/>
        <v>500000</v>
      </c>
      <c r="X38" s="4"/>
      <c r="Y38" s="4"/>
      <c r="Z38" s="4"/>
      <c r="AA38" s="3"/>
      <c r="AB38" s="3" t="s">
        <v>669</v>
      </c>
      <c r="AC38" s="3">
        <v>732000</v>
      </c>
      <c r="AD38" s="536"/>
      <c r="AE38" s="378"/>
      <c r="AF38" s="378"/>
      <c r="AG38" s="378"/>
      <c r="AH38" s="4">
        <f t="shared" si="12"/>
        <v>0</v>
      </c>
      <c r="AI38" s="4">
        <f t="shared" si="13"/>
        <v>500000</v>
      </c>
      <c r="AJ38" s="4">
        <f t="shared" si="14"/>
        <v>500000</v>
      </c>
      <c r="AK38" s="3"/>
      <c r="AL38" s="3"/>
      <c r="AM38" s="3"/>
      <c r="AN38" s="3"/>
      <c r="AO38" s="4">
        <f>AI38</f>
        <v>500000</v>
      </c>
      <c r="AP38" s="4">
        <f t="shared" si="29"/>
        <v>188863.90999999997</v>
      </c>
      <c r="AQ38" s="539"/>
      <c r="AR38" s="173">
        <v>500000</v>
      </c>
      <c r="AS38" s="173">
        <f t="shared" si="30"/>
        <v>188863.90999999997</v>
      </c>
      <c r="AT38" s="173">
        <f t="shared" si="27"/>
        <v>688863.90999999992</v>
      </c>
      <c r="AU38" s="173">
        <f t="shared" si="16"/>
        <v>900000</v>
      </c>
      <c r="AV38" s="173">
        <f t="shared" si="28"/>
        <v>499999.99999999994</v>
      </c>
      <c r="AW38" s="173">
        <f t="shared" si="6"/>
        <v>499999.99999999994</v>
      </c>
      <c r="AX38" s="184"/>
      <c r="AY38" s="184"/>
      <c r="AZ38" s="184"/>
      <c r="BA38" s="184"/>
      <c r="BB38" s="173">
        <f t="shared" si="18"/>
        <v>0</v>
      </c>
      <c r="BC38" s="4">
        <f t="shared" si="19"/>
        <v>500000</v>
      </c>
      <c r="BD38" s="4">
        <v>500000</v>
      </c>
      <c r="BE38" s="4"/>
      <c r="BF38" s="4"/>
      <c r="BG38" s="4"/>
      <c r="BH38" s="4">
        <f t="shared" si="25"/>
        <v>500000</v>
      </c>
      <c r="BI38" s="3"/>
      <c r="BJ38" s="4">
        <f t="shared" si="21"/>
        <v>500000</v>
      </c>
      <c r="BK38" s="4">
        <f t="shared" si="22"/>
        <v>0</v>
      </c>
      <c r="BL38" s="4">
        <f t="shared" si="23"/>
        <v>500000</v>
      </c>
      <c r="BM38" s="3"/>
      <c r="BN38" s="3"/>
      <c r="BO38" s="3"/>
      <c r="BP38" s="3"/>
    </row>
    <row r="39" spans="1:68" s="6" customFormat="1" ht="30" customHeight="1">
      <c r="A39" s="3">
        <v>34</v>
      </c>
      <c r="B39" s="3">
        <v>1670</v>
      </c>
      <c r="C39" s="3" t="s">
        <v>112</v>
      </c>
      <c r="D39" s="4">
        <v>12500000</v>
      </c>
      <c r="E39" s="4">
        <v>12500000</v>
      </c>
      <c r="F39" s="4">
        <f t="shared" si="0"/>
        <v>0</v>
      </c>
      <c r="G39" s="4">
        <v>850000</v>
      </c>
      <c r="H39" s="4">
        <v>171432</v>
      </c>
      <c r="I39" s="4">
        <v>195569.65</v>
      </c>
      <c r="J39" s="4">
        <v>40829.72</v>
      </c>
      <c r="K39" s="4">
        <f t="shared" si="7"/>
        <v>236399.37</v>
      </c>
      <c r="L39" s="4">
        <f t="shared" si="8"/>
        <v>407831.37</v>
      </c>
      <c r="M39" s="4">
        <f t="shared" si="9"/>
        <v>442168.63</v>
      </c>
      <c r="N39" s="4">
        <f>1000000-300000</f>
        <v>700000</v>
      </c>
      <c r="O39" s="4">
        <f t="shared" si="10"/>
        <v>700000</v>
      </c>
      <c r="P39" s="4">
        <f t="shared" si="11"/>
        <v>10950000</v>
      </c>
      <c r="Q39" s="4">
        <f t="shared" si="1"/>
        <v>442168.63</v>
      </c>
      <c r="R39" s="4"/>
      <c r="S39" s="4"/>
      <c r="T39" s="4">
        <f t="shared" si="2"/>
        <v>0</v>
      </c>
      <c r="U39" s="4">
        <f t="shared" si="24"/>
        <v>0</v>
      </c>
      <c r="V39" s="4">
        <f t="shared" si="26"/>
        <v>700000</v>
      </c>
      <c r="W39" s="4">
        <f t="shared" si="4"/>
        <v>700000</v>
      </c>
      <c r="X39" s="4"/>
      <c r="Y39" s="4"/>
      <c r="Z39" s="4"/>
      <c r="AA39" s="3"/>
      <c r="AB39" s="3" t="s">
        <v>523</v>
      </c>
      <c r="AC39" s="3">
        <v>742000</v>
      </c>
      <c r="AD39" s="210"/>
      <c r="AE39" s="378"/>
      <c r="AF39" s="378"/>
      <c r="AG39" s="378"/>
      <c r="AH39" s="4">
        <f t="shared" si="12"/>
        <v>0</v>
      </c>
      <c r="AI39" s="4">
        <f t="shared" si="13"/>
        <v>700000</v>
      </c>
      <c r="AJ39" s="4">
        <f t="shared" si="14"/>
        <v>700000</v>
      </c>
      <c r="AK39" s="7"/>
      <c r="AL39" s="7"/>
      <c r="AM39" s="7"/>
      <c r="AN39" s="7"/>
      <c r="AO39" s="4">
        <f>AI39</f>
        <v>700000</v>
      </c>
      <c r="AP39" s="4">
        <f t="shared" si="29"/>
        <v>442168.63</v>
      </c>
      <c r="AQ39" s="535" t="s">
        <v>1149</v>
      </c>
      <c r="AR39" s="173">
        <v>700000</v>
      </c>
      <c r="AS39" s="173">
        <f t="shared" si="30"/>
        <v>442168.63</v>
      </c>
      <c r="AT39" s="173">
        <f t="shared" si="27"/>
        <v>1142168.6299999999</v>
      </c>
      <c r="AU39" s="173">
        <f t="shared" si="16"/>
        <v>10950000</v>
      </c>
      <c r="AV39" s="173">
        <f t="shared" si="28"/>
        <v>699999.99999999988</v>
      </c>
      <c r="AW39" s="173">
        <f t="shared" si="6"/>
        <v>699999.99999999988</v>
      </c>
      <c r="AX39" s="184"/>
      <c r="AY39" s="184"/>
      <c r="AZ39" s="184"/>
      <c r="BA39" s="184"/>
      <c r="BB39" s="173">
        <f t="shared" si="18"/>
        <v>0</v>
      </c>
      <c r="BC39" s="4">
        <f t="shared" si="19"/>
        <v>700000</v>
      </c>
      <c r="BD39" s="4">
        <v>700000</v>
      </c>
      <c r="BE39" s="4"/>
      <c r="BF39" s="4"/>
      <c r="BG39" s="4"/>
      <c r="BH39" s="4">
        <f t="shared" si="25"/>
        <v>700000</v>
      </c>
      <c r="BI39" s="7"/>
      <c r="BJ39" s="4">
        <f t="shared" si="21"/>
        <v>700000</v>
      </c>
      <c r="BK39" s="4">
        <f t="shared" si="22"/>
        <v>0</v>
      </c>
      <c r="BL39" s="4">
        <f t="shared" si="23"/>
        <v>700000</v>
      </c>
      <c r="BM39" s="7"/>
      <c r="BN39" s="7"/>
      <c r="BO39" s="7"/>
      <c r="BP39" s="7"/>
    </row>
    <row r="40" spans="1:68" s="5" customFormat="1" ht="30" customHeight="1">
      <c r="A40" s="3">
        <v>35</v>
      </c>
      <c r="B40" s="3">
        <v>1674</v>
      </c>
      <c r="C40" s="3" t="s">
        <v>21</v>
      </c>
      <c r="D40" s="4">
        <v>1800000</v>
      </c>
      <c r="E40" s="4">
        <v>1800000</v>
      </c>
      <c r="F40" s="4">
        <f t="shared" si="0"/>
        <v>0</v>
      </c>
      <c r="G40" s="4">
        <v>2300000</v>
      </c>
      <c r="H40" s="4">
        <v>1471199.69</v>
      </c>
      <c r="I40" s="4">
        <v>161059.85999999999</v>
      </c>
      <c r="J40" s="4">
        <v>102225.29</v>
      </c>
      <c r="K40" s="4">
        <f t="shared" si="7"/>
        <v>263285.14999999997</v>
      </c>
      <c r="L40" s="4">
        <f t="shared" si="8"/>
        <v>1734484.8399999999</v>
      </c>
      <c r="M40" s="74">
        <f t="shared" si="9"/>
        <v>565515.16000000015</v>
      </c>
      <c r="N40" s="74">
        <v>-500000</v>
      </c>
      <c r="O40" s="74">
        <f t="shared" si="10"/>
        <v>-500000</v>
      </c>
      <c r="P40" s="74">
        <f t="shared" si="11"/>
        <v>0</v>
      </c>
      <c r="Q40" s="74">
        <f t="shared" si="1"/>
        <v>565515.16000000015</v>
      </c>
      <c r="R40" s="74"/>
      <c r="S40" s="74"/>
      <c r="T40" s="74">
        <f t="shared" si="2"/>
        <v>0</v>
      </c>
      <c r="U40" s="74">
        <f t="shared" si="24"/>
        <v>0</v>
      </c>
      <c r="V40" s="74">
        <f t="shared" si="26"/>
        <v>-500000</v>
      </c>
      <c r="W40" s="74">
        <f t="shared" si="4"/>
        <v>-500000</v>
      </c>
      <c r="X40" s="74"/>
      <c r="Y40" s="74"/>
      <c r="Z40" s="74"/>
      <c r="AA40" s="74"/>
      <c r="AB40" s="490" t="s">
        <v>1150</v>
      </c>
      <c r="AC40" s="490">
        <v>732000</v>
      </c>
      <c r="AD40" s="540"/>
      <c r="AE40" s="538"/>
      <c r="AF40" s="538"/>
      <c r="AG40" s="538"/>
      <c r="AH40" s="74">
        <f t="shared" si="12"/>
        <v>0</v>
      </c>
      <c r="AI40" s="74">
        <f t="shared" si="13"/>
        <v>-500000</v>
      </c>
      <c r="AJ40" s="4">
        <f t="shared" si="14"/>
        <v>-500000</v>
      </c>
      <c r="AK40" s="3"/>
      <c r="AL40" s="3"/>
      <c r="AM40" s="3"/>
      <c r="AN40" s="3"/>
      <c r="AO40" s="3"/>
      <c r="AP40" s="4">
        <f t="shared" si="29"/>
        <v>565515.16000000015</v>
      </c>
      <c r="AQ40" s="9"/>
      <c r="AR40" s="173"/>
      <c r="AS40" s="173">
        <f t="shared" si="30"/>
        <v>565515.16000000015</v>
      </c>
      <c r="AT40" s="173">
        <f t="shared" si="27"/>
        <v>565515.16000000015</v>
      </c>
      <c r="AU40" s="173">
        <f t="shared" si="16"/>
        <v>-500000</v>
      </c>
      <c r="AV40" s="173">
        <f t="shared" si="28"/>
        <v>0</v>
      </c>
      <c r="AW40" s="173">
        <f t="shared" si="6"/>
        <v>0</v>
      </c>
      <c r="AX40" s="184"/>
      <c r="AY40" s="184"/>
      <c r="AZ40" s="184"/>
      <c r="BA40" s="184"/>
      <c r="BB40" s="173">
        <f t="shared" si="18"/>
        <v>0</v>
      </c>
      <c r="BC40" s="4">
        <f t="shared" si="19"/>
        <v>0</v>
      </c>
      <c r="BD40" s="4"/>
      <c r="BE40" s="4"/>
      <c r="BF40" s="4"/>
      <c r="BG40" s="4"/>
      <c r="BH40" s="4">
        <f t="shared" si="25"/>
        <v>0</v>
      </c>
      <c r="BI40" s="3"/>
      <c r="BJ40" s="4">
        <f t="shared" si="21"/>
        <v>0</v>
      </c>
      <c r="BK40" s="4">
        <f t="shared" si="22"/>
        <v>0</v>
      </c>
      <c r="BL40" s="4">
        <f t="shared" si="23"/>
        <v>0</v>
      </c>
      <c r="BM40" s="3"/>
      <c r="BN40" s="3"/>
      <c r="BO40" s="3"/>
      <c r="BP40" s="3"/>
    </row>
    <row r="41" spans="1:68" s="6" customFormat="1" ht="30" customHeight="1">
      <c r="A41" s="3">
        <v>36</v>
      </c>
      <c r="B41" s="3">
        <v>1692</v>
      </c>
      <c r="C41" s="3" t="s">
        <v>22</v>
      </c>
      <c r="D41" s="4">
        <v>2450000</v>
      </c>
      <c r="E41" s="4">
        <v>2450000</v>
      </c>
      <c r="F41" s="4">
        <f t="shared" si="0"/>
        <v>0</v>
      </c>
      <c r="G41" s="4">
        <v>1746509</v>
      </c>
      <c r="H41" s="4">
        <v>578670.81000000006</v>
      </c>
      <c r="I41" s="4">
        <v>128716.16</v>
      </c>
      <c r="J41" s="4"/>
      <c r="K41" s="4">
        <f t="shared" si="7"/>
        <v>128716.16</v>
      </c>
      <c r="L41" s="4">
        <f t="shared" si="8"/>
        <v>707386.97000000009</v>
      </c>
      <c r="M41" s="4">
        <f t="shared" si="9"/>
        <v>1039122.0299999999</v>
      </c>
      <c r="N41" s="4"/>
      <c r="O41" s="4">
        <f t="shared" si="10"/>
        <v>0</v>
      </c>
      <c r="P41" s="4">
        <f t="shared" si="11"/>
        <v>703490.99999999988</v>
      </c>
      <c r="Q41" s="4">
        <f t="shared" si="1"/>
        <v>1039122.0299999999</v>
      </c>
      <c r="R41" s="4"/>
      <c r="S41" s="4"/>
      <c r="T41" s="4">
        <f t="shared" si="2"/>
        <v>0</v>
      </c>
      <c r="U41" s="4">
        <f t="shared" si="24"/>
        <v>0</v>
      </c>
      <c r="V41" s="4">
        <f t="shared" si="26"/>
        <v>0</v>
      </c>
      <c r="W41" s="4">
        <f t="shared" si="4"/>
        <v>0</v>
      </c>
      <c r="X41" s="4"/>
      <c r="Y41" s="4"/>
      <c r="Z41" s="4"/>
      <c r="AA41" s="4"/>
      <c r="AB41" s="3" t="s">
        <v>509</v>
      </c>
      <c r="AC41" s="3">
        <v>732000</v>
      </c>
      <c r="AD41" s="210"/>
      <c r="AE41" s="378"/>
      <c r="AF41" s="378"/>
      <c r="AG41" s="378"/>
      <c r="AH41" s="4">
        <f t="shared" si="12"/>
        <v>0</v>
      </c>
      <c r="AI41" s="4">
        <f t="shared" si="13"/>
        <v>0</v>
      </c>
      <c r="AJ41" s="4">
        <f t="shared" si="14"/>
        <v>0</v>
      </c>
      <c r="AK41" s="7"/>
      <c r="AL41" s="7"/>
      <c r="AM41" s="7"/>
      <c r="AN41" s="7"/>
      <c r="AO41" s="7"/>
      <c r="AP41" s="4">
        <f t="shared" si="29"/>
        <v>1039122.0299999999</v>
      </c>
      <c r="AQ41" s="9"/>
      <c r="AR41" s="173"/>
      <c r="AS41" s="173">
        <f t="shared" si="30"/>
        <v>1039122.0299999999</v>
      </c>
      <c r="AT41" s="173">
        <f t="shared" ref="AT41:AT86" si="31">SUM(AR41:AS41)</f>
        <v>1039122.0299999999</v>
      </c>
      <c r="AU41" s="173">
        <f t="shared" si="16"/>
        <v>703490.99999999988</v>
      </c>
      <c r="AV41" s="173">
        <f t="shared" si="28"/>
        <v>0</v>
      </c>
      <c r="AW41" s="173">
        <f t="shared" si="6"/>
        <v>0</v>
      </c>
      <c r="AX41" s="184"/>
      <c r="AY41" s="184"/>
      <c r="AZ41" s="184"/>
      <c r="BA41" s="184"/>
      <c r="BB41" s="173">
        <f t="shared" si="18"/>
        <v>0</v>
      </c>
      <c r="BC41" s="4">
        <f t="shared" si="19"/>
        <v>0</v>
      </c>
      <c r="BD41" s="4"/>
      <c r="BE41" s="4"/>
      <c r="BF41" s="4"/>
      <c r="BG41" s="4"/>
      <c r="BH41" s="4">
        <f t="shared" si="25"/>
        <v>0</v>
      </c>
      <c r="BI41" s="7"/>
      <c r="BJ41" s="4">
        <f t="shared" si="21"/>
        <v>0</v>
      </c>
      <c r="BK41" s="4">
        <f t="shared" si="22"/>
        <v>0</v>
      </c>
      <c r="BL41" s="4">
        <f t="shared" si="23"/>
        <v>0</v>
      </c>
      <c r="BM41" s="7"/>
      <c r="BN41" s="7"/>
      <c r="BO41" s="7"/>
      <c r="BP41" s="7"/>
    </row>
    <row r="42" spans="1:68" s="5" customFormat="1" ht="30" customHeight="1">
      <c r="A42" s="3">
        <v>37</v>
      </c>
      <c r="B42" s="3">
        <v>1693</v>
      </c>
      <c r="C42" s="3" t="s">
        <v>130</v>
      </c>
      <c r="D42" s="4">
        <v>4500000</v>
      </c>
      <c r="E42" s="4">
        <v>4500000</v>
      </c>
      <c r="F42" s="4">
        <f t="shared" si="0"/>
        <v>0</v>
      </c>
      <c r="G42" s="4">
        <v>2235481</v>
      </c>
      <c r="H42" s="4">
        <v>312538.53000000003</v>
      </c>
      <c r="I42" s="4">
        <v>48062.98</v>
      </c>
      <c r="J42" s="4"/>
      <c r="K42" s="4">
        <f t="shared" si="7"/>
        <v>48062.98</v>
      </c>
      <c r="L42" s="4">
        <f t="shared" si="8"/>
        <v>360601.51</v>
      </c>
      <c r="M42" s="4">
        <f t="shared" si="9"/>
        <v>1874879.49</v>
      </c>
      <c r="N42" s="4"/>
      <c r="O42" s="4">
        <f t="shared" si="10"/>
        <v>0</v>
      </c>
      <c r="P42" s="4">
        <f t="shared" si="11"/>
        <v>2264519</v>
      </c>
      <c r="Q42" s="4">
        <f t="shared" si="1"/>
        <v>1874879.49</v>
      </c>
      <c r="R42" s="4"/>
      <c r="S42" s="4"/>
      <c r="T42" s="4">
        <f t="shared" si="2"/>
        <v>0</v>
      </c>
      <c r="U42" s="4">
        <f t="shared" si="24"/>
        <v>0</v>
      </c>
      <c r="V42" s="4">
        <f t="shared" si="26"/>
        <v>0</v>
      </c>
      <c r="W42" s="4">
        <f t="shared" si="4"/>
        <v>0</v>
      </c>
      <c r="X42" s="4"/>
      <c r="Y42" s="4"/>
      <c r="Z42" s="4"/>
      <c r="AA42" s="4"/>
      <c r="AB42" s="3" t="s">
        <v>885</v>
      </c>
      <c r="AC42" s="3">
        <v>732000</v>
      </c>
      <c r="AD42" s="210"/>
      <c r="AE42" s="378"/>
      <c r="AF42" s="378"/>
      <c r="AG42" s="378"/>
      <c r="AH42" s="4">
        <f t="shared" si="12"/>
        <v>0</v>
      </c>
      <c r="AI42" s="4">
        <f t="shared" si="13"/>
        <v>0</v>
      </c>
      <c r="AJ42" s="4">
        <f t="shared" si="14"/>
        <v>0</v>
      </c>
      <c r="AK42" s="3"/>
      <c r="AL42" s="3"/>
      <c r="AM42" s="3"/>
      <c r="AN42" s="3"/>
      <c r="AO42" s="3"/>
      <c r="AP42" s="4">
        <f t="shared" si="29"/>
        <v>1874879.49</v>
      </c>
      <c r="AQ42" s="9"/>
      <c r="AR42" s="173"/>
      <c r="AS42" s="173">
        <f t="shared" si="30"/>
        <v>1874879.49</v>
      </c>
      <c r="AT42" s="173">
        <f t="shared" si="31"/>
        <v>1874879.49</v>
      </c>
      <c r="AU42" s="173">
        <f t="shared" si="16"/>
        <v>2264519</v>
      </c>
      <c r="AV42" s="173">
        <f t="shared" si="28"/>
        <v>0</v>
      </c>
      <c r="AW42" s="173">
        <f t="shared" si="6"/>
        <v>0</v>
      </c>
      <c r="AX42" s="184"/>
      <c r="AY42" s="184"/>
      <c r="AZ42" s="184"/>
      <c r="BA42" s="184"/>
      <c r="BB42" s="173">
        <f t="shared" si="18"/>
        <v>0</v>
      </c>
      <c r="BC42" s="4">
        <f t="shared" si="19"/>
        <v>0</v>
      </c>
      <c r="BD42" s="4"/>
      <c r="BE42" s="4"/>
      <c r="BF42" s="4"/>
      <c r="BG42" s="4"/>
      <c r="BH42" s="4">
        <f t="shared" si="25"/>
        <v>0</v>
      </c>
      <c r="BI42" s="3"/>
      <c r="BJ42" s="4">
        <f t="shared" si="21"/>
        <v>0</v>
      </c>
      <c r="BK42" s="4">
        <f t="shared" si="22"/>
        <v>0</v>
      </c>
      <c r="BL42" s="4">
        <f t="shared" si="23"/>
        <v>0</v>
      </c>
      <c r="BM42" s="3"/>
      <c r="BN42" s="3"/>
      <c r="BO42" s="3"/>
      <c r="BP42" s="3"/>
    </row>
    <row r="43" spans="1:68" s="5" customFormat="1" ht="30" customHeight="1">
      <c r="A43" s="3">
        <v>38</v>
      </c>
      <c r="B43" s="3">
        <v>1701</v>
      </c>
      <c r="C43" s="3" t="s">
        <v>351</v>
      </c>
      <c r="D43" s="4">
        <v>1250000</v>
      </c>
      <c r="E43" s="4">
        <v>1250000</v>
      </c>
      <c r="F43" s="4">
        <f t="shared" si="0"/>
        <v>0</v>
      </c>
      <c r="G43" s="4">
        <v>850000</v>
      </c>
      <c r="H43" s="4">
        <v>149316</v>
      </c>
      <c r="I43" s="4">
        <v>75117.320000000007</v>
      </c>
      <c r="J43" s="4">
        <v>138307.28</v>
      </c>
      <c r="K43" s="4">
        <f t="shared" si="7"/>
        <v>213424.6</v>
      </c>
      <c r="L43" s="4">
        <f t="shared" si="8"/>
        <v>362740.6</v>
      </c>
      <c r="M43" s="4">
        <f t="shared" si="9"/>
        <v>487259.4</v>
      </c>
      <c r="N43" s="4">
        <f>200000+200000-200000+200000</f>
        <v>400000</v>
      </c>
      <c r="O43" s="4">
        <f t="shared" si="10"/>
        <v>400000</v>
      </c>
      <c r="P43" s="4">
        <f t="shared" si="11"/>
        <v>0</v>
      </c>
      <c r="Q43" s="4">
        <f t="shared" si="1"/>
        <v>487259.4</v>
      </c>
      <c r="R43" s="4"/>
      <c r="S43" s="4"/>
      <c r="T43" s="4">
        <f t="shared" si="2"/>
        <v>0</v>
      </c>
      <c r="U43" s="4">
        <f t="shared" si="24"/>
        <v>0</v>
      </c>
      <c r="V43" s="4">
        <f t="shared" si="26"/>
        <v>400000</v>
      </c>
      <c r="W43" s="4">
        <f t="shared" si="4"/>
        <v>400000</v>
      </c>
      <c r="X43" s="4"/>
      <c r="Y43" s="4"/>
      <c r="Z43" s="4"/>
      <c r="AA43" s="3"/>
      <c r="AB43" s="3" t="s">
        <v>528</v>
      </c>
      <c r="AC43" s="3">
        <v>732000</v>
      </c>
      <c r="AD43" s="210"/>
      <c r="AE43" s="378"/>
      <c r="AF43" s="378"/>
      <c r="AG43" s="378"/>
      <c r="AH43" s="4">
        <f t="shared" si="12"/>
        <v>0</v>
      </c>
      <c r="AI43" s="4">
        <f t="shared" si="13"/>
        <v>400000</v>
      </c>
      <c r="AJ43" s="4">
        <f t="shared" si="14"/>
        <v>400000</v>
      </c>
      <c r="AK43" s="3"/>
      <c r="AL43" s="3"/>
      <c r="AM43" s="3"/>
      <c r="AN43" s="3"/>
      <c r="AO43" s="3"/>
      <c r="AP43" s="4">
        <v>200000</v>
      </c>
      <c r="AQ43" s="535" t="s">
        <v>1151</v>
      </c>
      <c r="AR43" s="173"/>
      <c r="AS43" s="173">
        <f>M43-280000</f>
        <v>207259.40000000002</v>
      </c>
      <c r="AT43" s="173">
        <f t="shared" si="31"/>
        <v>207259.40000000002</v>
      </c>
      <c r="AU43" s="173">
        <f t="shared" si="16"/>
        <v>680000</v>
      </c>
      <c r="AV43" s="173">
        <f t="shared" si="28"/>
        <v>-280000</v>
      </c>
      <c r="AW43" s="173">
        <f t="shared" si="6"/>
        <v>-280000</v>
      </c>
      <c r="AX43" s="184"/>
      <c r="AY43" s="184"/>
      <c r="AZ43" s="184"/>
      <c r="BA43" s="184"/>
      <c r="BB43" s="173">
        <f t="shared" si="18"/>
        <v>-280000</v>
      </c>
      <c r="BC43" s="4">
        <f t="shared" si="19"/>
        <v>0</v>
      </c>
      <c r="BD43" s="4">
        <v>-280000</v>
      </c>
      <c r="BE43" s="4"/>
      <c r="BF43" s="4"/>
      <c r="BG43" s="4"/>
      <c r="BH43" s="4">
        <f t="shared" si="25"/>
        <v>-280000</v>
      </c>
      <c r="BI43" s="3"/>
      <c r="BJ43" s="4">
        <f t="shared" si="21"/>
        <v>-280000</v>
      </c>
      <c r="BK43" s="4">
        <f t="shared" si="22"/>
        <v>0</v>
      </c>
      <c r="BL43" s="4">
        <f t="shared" si="23"/>
        <v>-280000</v>
      </c>
      <c r="BM43" s="3"/>
      <c r="BN43" s="3"/>
      <c r="BO43" s="3"/>
      <c r="BP43" s="3"/>
    </row>
    <row r="44" spans="1:68" s="5" customFormat="1" ht="30" customHeight="1">
      <c r="A44" s="3">
        <v>39</v>
      </c>
      <c r="B44" s="3">
        <v>1722</v>
      </c>
      <c r="C44" s="3" t="s">
        <v>41</v>
      </c>
      <c r="D44" s="4">
        <v>2400000</v>
      </c>
      <c r="E44" s="4">
        <v>2400000</v>
      </c>
      <c r="F44" s="4">
        <f t="shared" si="0"/>
        <v>0</v>
      </c>
      <c r="G44" s="4">
        <v>300000</v>
      </c>
      <c r="H44" s="4">
        <v>98067.4</v>
      </c>
      <c r="I44" s="4">
        <v>67052.7</v>
      </c>
      <c r="J44" s="4">
        <v>8850</v>
      </c>
      <c r="K44" s="4">
        <f t="shared" si="7"/>
        <v>75902.7</v>
      </c>
      <c r="L44" s="4">
        <f t="shared" si="8"/>
        <v>173970.09999999998</v>
      </c>
      <c r="M44" s="4">
        <f t="shared" si="9"/>
        <v>126029.90000000002</v>
      </c>
      <c r="N44" s="4"/>
      <c r="O44" s="4">
        <f t="shared" si="10"/>
        <v>0</v>
      </c>
      <c r="P44" s="4">
        <f t="shared" si="11"/>
        <v>2100000</v>
      </c>
      <c r="Q44" s="4">
        <f t="shared" si="1"/>
        <v>126029.90000000002</v>
      </c>
      <c r="R44" s="4"/>
      <c r="S44" s="4"/>
      <c r="T44" s="4">
        <f t="shared" si="2"/>
        <v>0</v>
      </c>
      <c r="U44" s="4">
        <f t="shared" si="24"/>
        <v>0</v>
      </c>
      <c r="V44" s="4">
        <f t="shared" si="26"/>
        <v>0</v>
      </c>
      <c r="W44" s="4">
        <f t="shared" si="4"/>
        <v>0</v>
      </c>
      <c r="X44" s="4"/>
      <c r="Y44" s="4"/>
      <c r="Z44" s="4"/>
      <c r="AA44" s="3"/>
      <c r="AB44" s="3" t="s">
        <v>352</v>
      </c>
      <c r="AC44" s="3">
        <v>742000</v>
      </c>
      <c r="AD44" s="210"/>
      <c r="AE44" s="378"/>
      <c r="AF44" s="378"/>
      <c r="AG44" s="378"/>
      <c r="AH44" s="4">
        <f t="shared" si="12"/>
        <v>0</v>
      </c>
      <c r="AI44" s="4">
        <f t="shared" si="13"/>
        <v>0</v>
      </c>
      <c r="AJ44" s="4">
        <f t="shared" si="14"/>
        <v>0</v>
      </c>
      <c r="AK44" s="3"/>
      <c r="AL44" s="3"/>
      <c r="AM44" s="3"/>
      <c r="AN44" s="3"/>
      <c r="AO44" s="3"/>
      <c r="AP44" s="4">
        <v>126030</v>
      </c>
      <c r="AQ44" s="9"/>
      <c r="AR44" s="173"/>
      <c r="AS44" s="173">
        <f t="shared" ref="AS44:AS56" si="32">M44</f>
        <v>126029.90000000002</v>
      </c>
      <c r="AT44" s="173">
        <f t="shared" si="31"/>
        <v>126029.90000000002</v>
      </c>
      <c r="AU44" s="173">
        <f t="shared" si="16"/>
        <v>2100000</v>
      </c>
      <c r="AV44" s="173">
        <f t="shared" si="28"/>
        <v>0</v>
      </c>
      <c r="AW44" s="173">
        <f t="shared" si="6"/>
        <v>0</v>
      </c>
      <c r="AX44" s="184"/>
      <c r="AY44" s="184"/>
      <c r="AZ44" s="184"/>
      <c r="BA44" s="184"/>
      <c r="BB44" s="173">
        <f t="shared" si="18"/>
        <v>0</v>
      </c>
      <c r="BC44" s="4">
        <f t="shared" si="19"/>
        <v>0</v>
      </c>
      <c r="BD44" s="4"/>
      <c r="BE44" s="4"/>
      <c r="BF44" s="4"/>
      <c r="BG44" s="4"/>
      <c r="BH44" s="4">
        <f t="shared" si="25"/>
        <v>0</v>
      </c>
      <c r="BI44" s="3"/>
      <c r="BJ44" s="4">
        <f t="shared" si="21"/>
        <v>0</v>
      </c>
      <c r="BK44" s="4">
        <f t="shared" si="22"/>
        <v>0</v>
      </c>
      <c r="BL44" s="4">
        <f t="shared" si="23"/>
        <v>0</v>
      </c>
      <c r="BM44" s="3"/>
      <c r="BN44" s="3"/>
      <c r="BO44" s="3"/>
      <c r="BP44" s="3"/>
    </row>
    <row r="45" spans="1:68" s="5" customFormat="1" ht="30" customHeight="1">
      <c r="A45" s="3">
        <v>40</v>
      </c>
      <c r="B45" s="3">
        <v>1744</v>
      </c>
      <c r="C45" s="3" t="s">
        <v>42</v>
      </c>
      <c r="D45" s="4">
        <v>13000000</v>
      </c>
      <c r="E45" s="4">
        <v>13000000</v>
      </c>
      <c r="F45" s="4">
        <f t="shared" si="0"/>
        <v>0</v>
      </c>
      <c r="G45" s="4">
        <v>8200000</v>
      </c>
      <c r="H45" s="4">
        <v>5657309.8499999996</v>
      </c>
      <c r="I45" s="4"/>
      <c r="J45" s="4">
        <v>1289243.1299999999</v>
      </c>
      <c r="K45" s="4">
        <f t="shared" si="7"/>
        <v>1289243.1299999999</v>
      </c>
      <c r="L45" s="4">
        <f t="shared" si="8"/>
        <v>6946552.9799999995</v>
      </c>
      <c r="M45" s="4">
        <f t="shared" si="9"/>
        <v>1253447.0200000005</v>
      </c>
      <c r="N45" s="4">
        <v>4800000</v>
      </c>
      <c r="O45" s="4">
        <f t="shared" si="10"/>
        <v>4800000</v>
      </c>
      <c r="P45" s="4">
        <f t="shared" si="11"/>
        <v>0</v>
      </c>
      <c r="Q45" s="4">
        <f t="shared" si="1"/>
        <v>1253447.0200000005</v>
      </c>
      <c r="R45" s="4"/>
      <c r="S45" s="4"/>
      <c r="T45" s="4">
        <f t="shared" si="2"/>
        <v>0</v>
      </c>
      <c r="U45" s="4">
        <f t="shared" si="24"/>
        <v>0</v>
      </c>
      <c r="V45" s="4">
        <f t="shared" si="26"/>
        <v>4800000</v>
      </c>
      <c r="W45" s="4">
        <f t="shared" si="4"/>
        <v>4800000</v>
      </c>
      <c r="X45" s="4"/>
      <c r="Y45" s="4"/>
      <c r="Z45" s="4"/>
      <c r="AA45" s="3"/>
      <c r="AB45" s="3" t="s">
        <v>866</v>
      </c>
      <c r="AC45" s="3">
        <v>742000</v>
      </c>
      <c r="AD45" s="210"/>
      <c r="AE45" s="378"/>
      <c r="AF45" s="378"/>
      <c r="AG45" s="378"/>
      <c r="AH45" s="4">
        <f t="shared" si="12"/>
        <v>0</v>
      </c>
      <c r="AI45" s="4">
        <f t="shared" si="13"/>
        <v>4800000</v>
      </c>
      <c r="AJ45" s="4">
        <f t="shared" si="14"/>
        <v>4800000</v>
      </c>
      <c r="AK45" s="3"/>
      <c r="AL45" s="3"/>
      <c r="AM45" s="3"/>
      <c r="AN45" s="3"/>
      <c r="AO45" s="4">
        <v>2300000</v>
      </c>
      <c r="AP45" s="4">
        <f>M45</f>
        <v>1253447.0200000005</v>
      </c>
      <c r="AQ45" s="9"/>
      <c r="AR45" s="173">
        <f>2300000-1800000</f>
        <v>500000</v>
      </c>
      <c r="AS45" s="173">
        <f t="shared" si="32"/>
        <v>1253447.0200000005</v>
      </c>
      <c r="AT45" s="173">
        <f t="shared" si="31"/>
        <v>1753447.0200000005</v>
      </c>
      <c r="AU45" s="173">
        <f t="shared" si="16"/>
        <v>4300000</v>
      </c>
      <c r="AV45" s="173">
        <f t="shared" si="28"/>
        <v>500000</v>
      </c>
      <c r="AW45" s="173">
        <f t="shared" si="6"/>
        <v>500000</v>
      </c>
      <c r="AX45" s="184"/>
      <c r="AY45" s="184"/>
      <c r="AZ45" s="184"/>
      <c r="BA45" s="184"/>
      <c r="BB45" s="173">
        <f t="shared" si="18"/>
        <v>0</v>
      </c>
      <c r="BC45" s="4">
        <f t="shared" si="19"/>
        <v>500000</v>
      </c>
      <c r="BD45" s="4">
        <v>500000</v>
      </c>
      <c r="BE45" s="4"/>
      <c r="BF45" s="4"/>
      <c r="BG45" s="4"/>
      <c r="BH45" s="4">
        <f t="shared" si="25"/>
        <v>500000</v>
      </c>
      <c r="BI45" s="3"/>
      <c r="BJ45" s="4">
        <f t="shared" si="21"/>
        <v>500000</v>
      </c>
      <c r="BK45" s="4">
        <f t="shared" si="22"/>
        <v>0</v>
      </c>
      <c r="BL45" s="4">
        <f t="shared" si="23"/>
        <v>500000</v>
      </c>
      <c r="BM45" s="3"/>
      <c r="BN45" s="3"/>
      <c r="BO45" s="3"/>
      <c r="BP45" s="3"/>
    </row>
    <row r="46" spans="1:68" s="5" customFormat="1" ht="30" customHeight="1">
      <c r="A46" s="3">
        <v>41</v>
      </c>
      <c r="B46" s="3">
        <v>1746</v>
      </c>
      <c r="C46" s="3" t="s">
        <v>1608</v>
      </c>
      <c r="D46" s="4">
        <v>55000000</v>
      </c>
      <c r="E46" s="4">
        <v>55000000</v>
      </c>
      <c r="F46" s="4">
        <f t="shared" si="0"/>
        <v>0</v>
      </c>
      <c r="G46" s="4">
        <v>0</v>
      </c>
      <c r="H46" s="4">
        <v>0</v>
      </c>
      <c r="I46" s="4"/>
      <c r="J46" s="4"/>
      <c r="K46" s="4">
        <f t="shared" si="7"/>
        <v>0</v>
      </c>
      <c r="L46" s="4">
        <f t="shared" si="8"/>
        <v>0</v>
      </c>
      <c r="M46" s="4">
        <f t="shared" si="9"/>
        <v>0</v>
      </c>
      <c r="N46" s="4">
        <f>3000000-3000000</f>
        <v>0</v>
      </c>
      <c r="O46" s="4">
        <f t="shared" si="10"/>
        <v>0</v>
      </c>
      <c r="P46" s="4">
        <f t="shared" si="11"/>
        <v>55000000</v>
      </c>
      <c r="Q46" s="4">
        <f t="shared" si="1"/>
        <v>0</v>
      </c>
      <c r="R46" s="4"/>
      <c r="S46" s="4"/>
      <c r="T46" s="4">
        <f t="shared" si="2"/>
        <v>0</v>
      </c>
      <c r="U46" s="4">
        <f t="shared" si="24"/>
        <v>0</v>
      </c>
      <c r="V46" s="4">
        <f t="shared" si="26"/>
        <v>0</v>
      </c>
      <c r="W46" s="4">
        <f t="shared" si="4"/>
        <v>0</v>
      </c>
      <c r="X46" s="4"/>
      <c r="Y46" s="4"/>
      <c r="Z46" s="4"/>
      <c r="AA46" s="3"/>
      <c r="AB46" s="3" t="s">
        <v>670</v>
      </c>
      <c r="AC46" s="3">
        <v>742000</v>
      </c>
      <c r="AD46" s="541"/>
      <c r="AE46" s="378"/>
      <c r="AF46" s="378"/>
      <c r="AG46" s="378"/>
      <c r="AH46" s="4">
        <f t="shared" si="12"/>
        <v>0</v>
      </c>
      <c r="AI46" s="4">
        <f t="shared" si="13"/>
        <v>0</v>
      </c>
      <c r="AJ46" s="4">
        <f t="shared" si="14"/>
        <v>0</v>
      </c>
      <c r="AK46" s="3"/>
      <c r="AL46" s="3"/>
      <c r="AM46" s="3"/>
      <c r="AN46" s="3"/>
      <c r="AO46" s="3"/>
      <c r="AP46" s="3"/>
      <c r="AQ46" s="9"/>
      <c r="AR46" s="173"/>
      <c r="AS46" s="173">
        <f t="shared" si="32"/>
        <v>0</v>
      </c>
      <c r="AT46" s="173">
        <f t="shared" si="31"/>
        <v>0</v>
      </c>
      <c r="AU46" s="173">
        <f t="shared" si="16"/>
        <v>55000000</v>
      </c>
      <c r="AV46" s="173">
        <f t="shared" si="28"/>
        <v>0</v>
      </c>
      <c r="AW46" s="173">
        <f t="shared" si="6"/>
        <v>0</v>
      </c>
      <c r="AX46" s="184"/>
      <c r="AY46" s="184"/>
      <c r="AZ46" s="184"/>
      <c r="BA46" s="184"/>
      <c r="BB46" s="173">
        <f t="shared" si="18"/>
        <v>0</v>
      </c>
      <c r="BC46" s="4">
        <f t="shared" si="19"/>
        <v>0</v>
      </c>
      <c r="BD46" s="4"/>
      <c r="BE46" s="4"/>
      <c r="BF46" s="4"/>
      <c r="BG46" s="4"/>
      <c r="BH46" s="4">
        <f t="shared" si="25"/>
        <v>0</v>
      </c>
      <c r="BI46" s="3"/>
      <c r="BJ46" s="4">
        <f t="shared" si="21"/>
        <v>0</v>
      </c>
      <c r="BK46" s="4">
        <f t="shared" si="22"/>
        <v>0</v>
      </c>
      <c r="BL46" s="4">
        <f t="shared" si="23"/>
        <v>0</v>
      </c>
      <c r="BM46" s="3"/>
      <c r="BN46" s="3"/>
      <c r="BO46" s="3"/>
      <c r="BP46" s="3"/>
    </row>
    <row r="47" spans="1:68" s="5" customFormat="1" ht="30" customHeight="1">
      <c r="A47" s="3">
        <v>42</v>
      </c>
      <c r="B47" s="3">
        <v>1755</v>
      </c>
      <c r="C47" s="3" t="s">
        <v>1609</v>
      </c>
      <c r="D47" s="4">
        <v>200000</v>
      </c>
      <c r="E47" s="4">
        <v>200000</v>
      </c>
      <c r="F47" s="4">
        <f t="shared" si="0"/>
        <v>0</v>
      </c>
      <c r="G47" s="4">
        <v>100000</v>
      </c>
      <c r="H47" s="4">
        <v>79371.990000000005</v>
      </c>
      <c r="I47" s="4"/>
      <c r="J47" s="4"/>
      <c r="K47" s="4">
        <f t="shared" si="7"/>
        <v>0</v>
      </c>
      <c r="L47" s="4">
        <f t="shared" si="8"/>
        <v>79371.990000000005</v>
      </c>
      <c r="M47" s="4">
        <f t="shared" si="9"/>
        <v>20628.009999999995</v>
      </c>
      <c r="N47" s="4"/>
      <c r="O47" s="4">
        <f t="shared" si="10"/>
        <v>0</v>
      </c>
      <c r="P47" s="4">
        <f t="shared" si="11"/>
        <v>100000</v>
      </c>
      <c r="Q47" s="4">
        <f t="shared" si="1"/>
        <v>20628.009999999995</v>
      </c>
      <c r="R47" s="4"/>
      <c r="S47" s="4"/>
      <c r="T47" s="4">
        <f t="shared" si="2"/>
        <v>0</v>
      </c>
      <c r="U47" s="4">
        <f t="shared" si="24"/>
        <v>0</v>
      </c>
      <c r="V47" s="4">
        <f t="shared" si="26"/>
        <v>0</v>
      </c>
      <c r="W47" s="4">
        <f t="shared" si="4"/>
        <v>0</v>
      </c>
      <c r="X47" s="4"/>
      <c r="Y47" s="4"/>
      <c r="Z47" s="4"/>
      <c r="AA47" s="3"/>
      <c r="AB47" s="3" t="s">
        <v>510</v>
      </c>
      <c r="AC47" s="3">
        <v>732000</v>
      </c>
      <c r="AD47" s="541"/>
      <c r="AE47" s="378"/>
      <c r="AF47" s="378"/>
      <c r="AG47" s="378"/>
      <c r="AH47" s="4">
        <f t="shared" si="12"/>
        <v>0</v>
      </c>
      <c r="AI47" s="4">
        <f t="shared" si="13"/>
        <v>0</v>
      </c>
      <c r="AJ47" s="4">
        <f t="shared" si="14"/>
        <v>0</v>
      </c>
      <c r="AK47" s="3"/>
      <c r="AL47" s="3"/>
      <c r="AM47" s="3"/>
      <c r="AN47" s="3"/>
      <c r="AO47" s="3"/>
      <c r="AP47" s="4">
        <f>M47</f>
        <v>20628.009999999995</v>
      </c>
      <c r="AQ47" s="9"/>
      <c r="AR47" s="173"/>
      <c r="AS47" s="173">
        <f t="shared" si="32"/>
        <v>20628.009999999995</v>
      </c>
      <c r="AT47" s="173">
        <f t="shared" si="31"/>
        <v>20628.009999999995</v>
      </c>
      <c r="AU47" s="173">
        <f t="shared" si="16"/>
        <v>100000</v>
      </c>
      <c r="AV47" s="173">
        <f t="shared" si="28"/>
        <v>0</v>
      </c>
      <c r="AW47" s="173">
        <f t="shared" si="6"/>
        <v>0</v>
      </c>
      <c r="AX47" s="184"/>
      <c r="AY47" s="184"/>
      <c r="AZ47" s="184"/>
      <c r="BA47" s="184"/>
      <c r="BB47" s="173">
        <f t="shared" si="18"/>
        <v>0</v>
      </c>
      <c r="BC47" s="4">
        <f t="shared" si="19"/>
        <v>0</v>
      </c>
      <c r="BD47" s="4"/>
      <c r="BE47" s="4"/>
      <c r="BF47" s="4"/>
      <c r="BG47" s="4"/>
      <c r="BH47" s="4">
        <f t="shared" si="25"/>
        <v>0</v>
      </c>
      <c r="BI47" s="3"/>
      <c r="BJ47" s="4">
        <f t="shared" si="21"/>
        <v>0</v>
      </c>
      <c r="BK47" s="4">
        <f t="shared" si="22"/>
        <v>0</v>
      </c>
      <c r="BL47" s="4">
        <f t="shared" si="23"/>
        <v>0</v>
      </c>
      <c r="BM47" s="3"/>
      <c r="BN47" s="3"/>
      <c r="BO47" s="3"/>
      <c r="BP47" s="3"/>
    </row>
    <row r="48" spans="1:68" s="6" customFormat="1" ht="30" customHeight="1">
      <c r="A48" s="3">
        <v>43</v>
      </c>
      <c r="B48" s="3">
        <v>1756</v>
      </c>
      <c r="C48" s="3" t="s">
        <v>1152</v>
      </c>
      <c r="D48" s="4">
        <v>1400000</v>
      </c>
      <c r="E48" s="4">
        <v>1400000</v>
      </c>
      <c r="F48" s="4">
        <f t="shared" si="0"/>
        <v>0</v>
      </c>
      <c r="G48" s="4">
        <v>400000</v>
      </c>
      <c r="H48" s="4">
        <v>239672</v>
      </c>
      <c r="I48" s="4"/>
      <c r="J48" s="4">
        <v>44604</v>
      </c>
      <c r="K48" s="4">
        <f t="shared" si="7"/>
        <v>44604</v>
      </c>
      <c r="L48" s="4">
        <f t="shared" si="8"/>
        <v>284276</v>
      </c>
      <c r="M48" s="4">
        <f t="shared" si="9"/>
        <v>115724</v>
      </c>
      <c r="N48" s="4">
        <v>1000000</v>
      </c>
      <c r="O48" s="4">
        <f t="shared" si="10"/>
        <v>1000000</v>
      </c>
      <c r="P48" s="4">
        <f t="shared" si="11"/>
        <v>0</v>
      </c>
      <c r="Q48" s="4">
        <f t="shared" si="1"/>
        <v>115724</v>
      </c>
      <c r="R48" s="4"/>
      <c r="S48" s="4"/>
      <c r="T48" s="4">
        <f t="shared" si="2"/>
        <v>0</v>
      </c>
      <c r="U48" s="4">
        <f t="shared" si="24"/>
        <v>0</v>
      </c>
      <c r="V48" s="4">
        <f t="shared" si="26"/>
        <v>1000000</v>
      </c>
      <c r="W48" s="4">
        <f t="shared" si="4"/>
        <v>1000000</v>
      </c>
      <c r="X48" s="4"/>
      <c r="Y48" s="4"/>
      <c r="Z48" s="4"/>
      <c r="AA48" s="4"/>
      <c r="AB48" s="3" t="s">
        <v>671</v>
      </c>
      <c r="AC48" s="3">
        <v>732000</v>
      </c>
      <c r="AD48" s="541"/>
      <c r="AE48" s="378"/>
      <c r="AF48" s="378"/>
      <c r="AG48" s="378"/>
      <c r="AH48" s="4">
        <f t="shared" si="12"/>
        <v>0</v>
      </c>
      <c r="AI48" s="4">
        <f t="shared" si="13"/>
        <v>1000000</v>
      </c>
      <c r="AJ48" s="4">
        <f t="shared" si="14"/>
        <v>1000000</v>
      </c>
      <c r="AK48" s="7"/>
      <c r="AL48" s="7"/>
      <c r="AM48" s="7"/>
      <c r="AN48" s="7"/>
      <c r="AO48" s="4">
        <v>700000</v>
      </c>
      <c r="AP48" s="4">
        <f>M48</f>
        <v>115724</v>
      </c>
      <c r="AQ48" s="535" t="s">
        <v>1153</v>
      </c>
      <c r="AR48" s="173">
        <v>700000</v>
      </c>
      <c r="AS48" s="173">
        <f t="shared" si="32"/>
        <v>115724</v>
      </c>
      <c r="AT48" s="173">
        <f t="shared" si="31"/>
        <v>815724</v>
      </c>
      <c r="AU48" s="173">
        <f t="shared" si="16"/>
        <v>300000</v>
      </c>
      <c r="AV48" s="173">
        <f t="shared" si="28"/>
        <v>700000</v>
      </c>
      <c r="AW48" s="173">
        <f t="shared" si="6"/>
        <v>700000</v>
      </c>
      <c r="AX48" s="184"/>
      <c r="AY48" s="184"/>
      <c r="AZ48" s="184"/>
      <c r="BA48" s="184"/>
      <c r="BB48" s="173">
        <f t="shared" si="18"/>
        <v>0</v>
      </c>
      <c r="BC48" s="4">
        <f t="shared" si="19"/>
        <v>700000</v>
      </c>
      <c r="BD48" s="4">
        <v>700000</v>
      </c>
      <c r="BE48" s="4"/>
      <c r="BF48" s="4"/>
      <c r="BG48" s="4"/>
      <c r="BH48" s="4">
        <f t="shared" si="25"/>
        <v>700000</v>
      </c>
      <c r="BI48" s="7"/>
      <c r="BJ48" s="4">
        <f t="shared" si="21"/>
        <v>700000</v>
      </c>
      <c r="BK48" s="4">
        <f t="shared" si="22"/>
        <v>0</v>
      </c>
      <c r="BL48" s="4">
        <f t="shared" si="23"/>
        <v>700000</v>
      </c>
      <c r="BM48" s="7"/>
      <c r="BN48" s="7"/>
      <c r="BO48" s="7"/>
      <c r="BP48" s="7"/>
    </row>
    <row r="49" spans="1:68" s="6" customFormat="1" ht="30" customHeight="1">
      <c r="A49" s="3">
        <v>44</v>
      </c>
      <c r="B49" s="3">
        <v>1757</v>
      </c>
      <c r="C49" s="3" t="s">
        <v>1610</v>
      </c>
      <c r="D49" s="4">
        <v>300000</v>
      </c>
      <c r="E49" s="4">
        <v>300000</v>
      </c>
      <c r="F49" s="4">
        <f t="shared" si="0"/>
        <v>0</v>
      </c>
      <c r="G49" s="4">
        <v>110000</v>
      </c>
      <c r="H49" s="4">
        <v>10908.07</v>
      </c>
      <c r="I49" s="4">
        <v>908.93</v>
      </c>
      <c r="J49" s="4"/>
      <c r="K49" s="4">
        <f t="shared" si="7"/>
        <v>908.93</v>
      </c>
      <c r="L49" s="4">
        <f t="shared" si="8"/>
        <v>11817</v>
      </c>
      <c r="M49" s="4">
        <f t="shared" si="9"/>
        <v>98183</v>
      </c>
      <c r="N49" s="4"/>
      <c r="O49" s="4">
        <f t="shared" si="10"/>
        <v>0</v>
      </c>
      <c r="P49" s="4">
        <f t="shared" si="11"/>
        <v>190000</v>
      </c>
      <c r="Q49" s="4">
        <f t="shared" si="1"/>
        <v>98183</v>
      </c>
      <c r="R49" s="4"/>
      <c r="S49" s="4"/>
      <c r="T49" s="4">
        <f t="shared" si="2"/>
        <v>0</v>
      </c>
      <c r="U49" s="4">
        <f t="shared" si="24"/>
        <v>0</v>
      </c>
      <c r="V49" s="4">
        <f t="shared" si="26"/>
        <v>0</v>
      </c>
      <c r="W49" s="4">
        <f t="shared" si="4"/>
        <v>0</v>
      </c>
      <c r="X49" s="4"/>
      <c r="Y49" s="4"/>
      <c r="Z49" s="4"/>
      <c r="AA49" s="4"/>
      <c r="AB49" s="3"/>
      <c r="AC49" s="3">
        <v>732000</v>
      </c>
      <c r="AD49" s="541"/>
      <c r="AE49" s="378"/>
      <c r="AF49" s="378"/>
      <c r="AG49" s="378"/>
      <c r="AH49" s="4">
        <f t="shared" si="12"/>
        <v>0</v>
      </c>
      <c r="AI49" s="4">
        <f t="shared" si="13"/>
        <v>0</v>
      </c>
      <c r="AJ49" s="4">
        <f t="shared" si="14"/>
        <v>0</v>
      </c>
      <c r="AK49" s="7"/>
      <c r="AL49" s="7"/>
      <c r="AM49" s="7"/>
      <c r="AN49" s="7"/>
      <c r="AO49" s="7"/>
      <c r="AP49" s="4">
        <f>M49</f>
        <v>98183</v>
      </c>
      <c r="AQ49" s="9"/>
      <c r="AR49" s="173"/>
      <c r="AS49" s="173">
        <f t="shared" si="32"/>
        <v>98183</v>
      </c>
      <c r="AT49" s="173">
        <f t="shared" si="31"/>
        <v>98183</v>
      </c>
      <c r="AU49" s="173">
        <f t="shared" si="16"/>
        <v>190000</v>
      </c>
      <c r="AV49" s="173">
        <f t="shared" si="28"/>
        <v>0</v>
      </c>
      <c r="AW49" s="173">
        <f t="shared" si="6"/>
        <v>0</v>
      </c>
      <c r="AX49" s="184"/>
      <c r="AY49" s="184"/>
      <c r="AZ49" s="184"/>
      <c r="BA49" s="184"/>
      <c r="BB49" s="173">
        <f t="shared" si="18"/>
        <v>0</v>
      </c>
      <c r="BC49" s="4">
        <f t="shared" si="19"/>
        <v>0</v>
      </c>
      <c r="BD49" s="4"/>
      <c r="BE49" s="4"/>
      <c r="BF49" s="4"/>
      <c r="BG49" s="4"/>
      <c r="BH49" s="4">
        <f t="shared" si="25"/>
        <v>0</v>
      </c>
      <c r="BI49" s="7"/>
      <c r="BJ49" s="4">
        <f t="shared" si="21"/>
        <v>0</v>
      </c>
      <c r="BK49" s="4">
        <f t="shared" si="22"/>
        <v>0</v>
      </c>
      <c r="BL49" s="4">
        <f t="shared" si="23"/>
        <v>0</v>
      </c>
      <c r="BM49" s="7"/>
      <c r="BN49" s="7"/>
      <c r="BO49" s="7"/>
      <c r="BP49" s="7"/>
    </row>
    <row r="50" spans="1:68" s="6" customFormat="1" ht="30" customHeight="1">
      <c r="A50" s="3">
        <v>45</v>
      </c>
      <c r="B50" s="3">
        <v>1758</v>
      </c>
      <c r="C50" s="3" t="s">
        <v>1611</v>
      </c>
      <c r="D50" s="4">
        <v>300000</v>
      </c>
      <c r="E50" s="4">
        <v>300000</v>
      </c>
      <c r="F50" s="4">
        <f t="shared" si="0"/>
        <v>0</v>
      </c>
      <c r="G50" s="4">
        <v>16000</v>
      </c>
      <c r="H50" s="4">
        <v>10908.07</v>
      </c>
      <c r="I50" s="4">
        <v>4828.43</v>
      </c>
      <c r="J50" s="4"/>
      <c r="K50" s="4">
        <f t="shared" si="7"/>
        <v>4828.43</v>
      </c>
      <c r="L50" s="4">
        <f t="shared" si="8"/>
        <v>15736.5</v>
      </c>
      <c r="M50" s="4">
        <f t="shared" si="9"/>
        <v>263.5</v>
      </c>
      <c r="N50" s="4"/>
      <c r="O50" s="4">
        <f t="shared" si="10"/>
        <v>0</v>
      </c>
      <c r="P50" s="4">
        <f t="shared" si="11"/>
        <v>284000</v>
      </c>
      <c r="Q50" s="4">
        <f t="shared" si="1"/>
        <v>263.5</v>
      </c>
      <c r="R50" s="4"/>
      <c r="S50" s="4"/>
      <c r="T50" s="4">
        <f t="shared" si="2"/>
        <v>0</v>
      </c>
      <c r="U50" s="4">
        <f t="shared" si="24"/>
        <v>0</v>
      </c>
      <c r="V50" s="4">
        <f t="shared" si="26"/>
        <v>0</v>
      </c>
      <c r="W50" s="4">
        <f t="shared" si="4"/>
        <v>0</v>
      </c>
      <c r="X50" s="4"/>
      <c r="Y50" s="4"/>
      <c r="Z50" s="4"/>
      <c r="AA50" s="4"/>
      <c r="AB50" s="3"/>
      <c r="AC50" s="3">
        <v>732000</v>
      </c>
      <c r="AD50" s="541"/>
      <c r="AE50" s="378"/>
      <c r="AF50" s="378"/>
      <c r="AG50" s="378"/>
      <c r="AH50" s="4">
        <f t="shared" si="12"/>
        <v>0</v>
      </c>
      <c r="AI50" s="4">
        <f t="shared" si="13"/>
        <v>0</v>
      </c>
      <c r="AJ50" s="4">
        <f t="shared" si="14"/>
        <v>0</v>
      </c>
      <c r="AK50" s="7"/>
      <c r="AL50" s="7"/>
      <c r="AM50" s="7"/>
      <c r="AN50" s="7"/>
      <c r="AO50" s="7"/>
      <c r="AP50" s="3"/>
      <c r="AQ50" s="535" t="s">
        <v>1139</v>
      </c>
      <c r="AR50" s="173"/>
      <c r="AS50" s="173">
        <f t="shared" si="32"/>
        <v>263.5</v>
      </c>
      <c r="AT50" s="173">
        <f t="shared" si="31"/>
        <v>263.5</v>
      </c>
      <c r="AU50" s="173">
        <f t="shared" si="16"/>
        <v>284000</v>
      </c>
      <c r="AV50" s="173">
        <f t="shared" si="28"/>
        <v>0</v>
      </c>
      <c r="AW50" s="173">
        <f t="shared" si="6"/>
        <v>0</v>
      </c>
      <c r="AX50" s="184"/>
      <c r="AY50" s="184"/>
      <c r="AZ50" s="184"/>
      <c r="BA50" s="184"/>
      <c r="BB50" s="173">
        <f t="shared" si="18"/>
        <v>0</v>
      </c>
      <c r="BC50" s="4">
        <f t="shared" si="19"/>
        <v>0</v>
      </c>
      <c r="BD50" s="4"/>
      <c r="BE50" s="4"/>
      <c r="BF50" s="4"/>
      <c r="BG50" s="4"/>
      <c r="BH50" s="4">
        <f t="shared" si="25"/>
        <v>0</v>
      </c>
      <c r="BI50" s="7"/>
      <c r="BJ50" s="4">
        <f t="shared" si="21"/>
        <v>0</v>
      </c>
      <c r="BK50" s="4">
        <f t="shared" si="22"/>
        <v>0</v>
      </c>
      <c r="BL50" s="4">
        <f t="shared" si="23"/>
        <v>0</v>
      </c>
      <c r="BM50" s="7"/>
      <c r="BN50" s="7"/>
      <c r="BO50" s="7"/>
      <c r="BP50" s="7"/>
    </row>
    <row r="51" spans="1:68" s="5" customFormat="1" ht="30" customHeight="1">
      <c r="A51" s="3">
        <v>46</v>
      </c>
      <c r="B51" s="3">
        <v>1759</v>
      </c>
      <c r="C51" s="3" t="s">
        <v>672</v>
      </c>
      <c r="D51" s="4">
        <v>940000</v>
      </c>
      <c r="E51" s="4">
        <v>940000</v>
      </c>
      <c r="F51" s="4">
        <f t="shared" si="0"/>
        <v>0</v>
      </c>
      <c r="G51" s="4">
        <v>940000</v>
      </c>
      <c r="H51" s="4">
        <v>478660</v>
      </c>
      <c r="I51" s="4"/>
      <c r="J51" s="4">
        <v>17151.75</v>
      </c>
      <c r="K51" s="4">
        <f t="shared" si="7"/>
        <v>17151.75</v>
      </c>
      <c r="L51" s="4">
        <f t="shared" si="8"/>
        <v>495811.75</v>
      </c>
      <c r="M51" s="74">
        <f t="shared" si="9"/>
        <v>444188.25</v>
      </c>
      <c r="N51" s="74">
        <v>-400000</v>
      </c>
      <c r="O51" s="74">
        <f t="shared" si="10"/>
        <v>-400000</v>
      </c>
      <c r="P51" s="74">
        <f t="shared" si="11"/>
        <v>400000</v>
      </c>
      <c r="Q51" s="74">
        <f t="shared" si="1"/>
        <v>444188.25</v>
      </c>
      <c r="R51" s="74"/>
      <c r="S51" s="74"/>
      <c r="T51" s="74">
        <f t="shared" si="2"/>
        <v>0</v>
      </c>
      <c r="U51" s="74">
        <f t="shared" si="24"/>
        <v>0</v>
      </c>
      <c r="V51" s="74">
        <f t="shared" si="26"/>
        <v>-400000</v>
      </c>
      <c r="W51" s="74">
        <f t="shared" si="4"/>
        <v>-400000</v>
      </c>
      <c r="X51" s="74"/>
      <c r="Y51" s="74"/>
      <c r="Z51" s="74"/>
      <c r="AA51" s="490"/>
      <c r="AB51" s="490" t="s">
        <v>1154</v>
      </c>
      <c r="AC51" s="490">
        <v>732000</v>
      </c>
      <c r="AD51" s="537"/>
      <c r="AE51" s="538"/>
      <c r="AF51" s="538"/>
      <c r="AG51" s="538"/>
      <c r="AH51" s="74">
        <f t="shared" si="12"/>
        <v>0</v>
      </c>
      <c r="AI51" s="74">
        <f t="shared" si="13"/>
        <v>-400000</v>
      </c>
      <c r="AJ51" s="4">
        <f t="shared" si="14"/>
        <v>-400000</v>
      </c>
      <c r="AK51" s="3"/>
      <c r="AL51" s="3"/>
      <c r="AM51" s="3"/>
      <c r="AN51" s="3"/>
      <c r="AO51" s="3"/>
      <c r="AP51" s="4">
        <f>M51+AI51</f>
        <v>44188.25</v>
      </c>
      <c r="AQ51" s="9"/>
      <c r="AR51" s="173">
        <v>-400000</v>
      </c>
      <c r="AS51" s="173">
        <f t="shared" si="32"/>
        <v>444188.25</v>
      </c>
      <c r="AT51" s="173">
        <f t="shared" si="31"/>
        <v>44188.25</v>
      </c>
      <c r="AU51" s="173">
        <f t="shared" si="16"/>
        <v>400000</v>
      </c>
      <c r="AV51" s="173">
        <f t="shared" si="28"/>
        <v>-400000</v>
      </c>
      <c r="AW51" s="173">
        <f t="shared" si="6"/>
        <v>-400000</v>
      </c>
      <c r="AX51" s="184"/>
      <c r="AY51" s="184"/>
      <c r="AZ51" s="184"/>
      <c r="BA51" s="184"/>
      <c r="BB51" s="173">
        <f t="shared" si="18"/>
        <v>0</v>
      </c>
      <c r="BC51" s="4">
        <f t="shared" si="19"/>
        <v>-400000</v>
      </c>
      <c r="BD51" s="4">
        <v>-400000</v>
      </c>
      <c r="BE51" s="4"/>
      <c r="BF51" s="4"/>
      <c r="BG51" s="4"/>
      <c r="BH51" s="4">
        <f t="shared" si="25"/>
        <v>-400000</v>
      </c>
      <c r="BI51" s="3"/>
      <c r="BJ51" s="4">
        <f t="shared" si="21"/>
        <v>-400000</v>
      </c>
      <c r="BK51" s="4">
        <f t="shared" si="22"/>
        <v>0</v>
      </c>
      <c r="BL51" s="4">
        <f t="shared" si="23"/>
        <v>-400000</v>
      </c>
      <c r="BM51" s="3"/>
      <c r="BN51" s="3"/>
      <c r="BO51" s="3"/>
      <c r="BP51" s="3"/>
    </row>
    <row r="52" spans="1:68" s="5" customFormat="1" ht="30" customHeight="1">
      <c r="A52" s="3">
        <v>47</v>
      </c>
      <c r="B52" s="3">
        <v>1760</v>
      </c>
      <c r="C52" s="3" t="s">
        <v>673</v>
      </c>
      <c r="D52" s="4">
        <v>900000</v>
      </c>
      <c r="E52" s="4">
        <v>900000</v>
      </c>
      <c r="F52" s="4">
        <f t="shared" si="0"/>
        <v>0</v>
      </c>
      <c r="G52" s="4">
        <v>300000</v>
      </c>
      <c r="H52" s="4">
        <v>38898</v>
      </c>
      <c r="I52" s="4"/>
      <c r="J52" s="4">
        <v>1228</v>
      </c>
      <c r="K52" s="4">
        <f t="shared" si="7"/>
        <v>1228</v>
      </c>
      <c r="L52" s="4">
        <f t="shared" si="8"/>
        <v>40126</v>
      </c>
      <c r="M52" s="4">
        <f t="shared" si="9"/>
        <v>259874</v>
      </c>
      <c r="N52" s="4"/>
      <c r="O52" s="4">
        <f t="shared" si="10"/>
        <v>0</v>
      </c>
      <c r="P52" s="4">
        <f t="shared" si="11"/>
        <v>600000</v>
      </c>
      <c r="Q52" s="4">
        <f t="shared" si="1"/>
        <v>259874</v>
      </c>
      <c r="R52" s="4">
        <f>100000-100000</f>
        <v>0</v>
      </c>
      <c r="S52" s="4"/>
      <c r="T52" s="4">
        <f t="shared" si="2"/>
        <v>0</v>
      </c>
      <c r="U52" s="4">
        <f t="shared" si="24"/>
        <v>0</v>
      </c>
      <c r="V52" s="4">
        <f t="shared" si="26"/>
        <v>0</v>
      </c>
      <c r="W52" s="4">
        <f t="shared" si="4"/>
        <v>0</v>
      </c>
      <c r="X52" s="4"/>
      <c r="Y52" s="4"/>
      <c r="Z52" s="4"/>
      <c r="AA52" s="3"/>
      <c r="AB52" s="3" t="s">
        <v>612</v>
      </c>
      <c r="AC52" s="3">
        <v>732000</v>
      </c>
      <c r="AD52" s="210"/>
      <c r="AE52" s="378"/>
      <c r="AF52" s="378"/>
      <c r="AG52" s="378"/>
      <c r="AH52" s="4">
        <f t="shared" si="12"/>
        <v>0</v>
      </c>
      <c r="AI52" s="4">
        <f t="shared" si="13"/>
        <v>0</v>
      </c>
      <c r="AJ52" s="4">
        <f t="shared" si="14"/>
        <v>0</v>
      </c>
      <c r="AK52" s="3"/>
      <c r="AL52" s="3"/>
      <c r="AM52" s="3"/>
      <c r="AN52" s="3"/>
      <c r="AO52" s="3"/>
      <c r="AP52" s="4">
        <f>M52</f>
        <v>259874</v>
      </c>
      <c r="AQ52" s="9"/>
      <c r="AR52" s="173"/>
      <c r="AS52" s="173">
        <f t="shared" si="32"/>
        <v>259874</v>
      </c>
      <c r="AT52" s="173">
        <f t="shared" si="31"/>
        <v>259874</v>
      </c>
      <c r="AU52" s="173">
        <f t="shared" si="16"/>
        <v>600000</v>
      </c>
      <c r="AV52" s="173">
        <f t="shared" si="28"/>
        <v>0</v>
      </c>
      <c r="AW52" s="173">
        <f t="shared" si="6"/>
        <v>0</v>
      </c>
      <c r="AX52" s="184"/>
      <c r="AY52" s="184"/>
      <c r="AZ52" s="184"/>
      <c r="BA52" s="184"/>
      <c r="BB52" s="173">
        <f t="shared" si="18"/>
        <v>0</v>
      </c>
      <c r="BC52" s="4">
        <f t="shared" si="19"/>
        <v>0</v>
      </c>
      <c r="BD52" s="4"/>
      <c r="BE52" s="4"/>
      <c r="BF52" s="4"/>
      <c r="BG52" s="4"/>
      <c r="BH52" s="4">
        <f t="shared" si="25"/>
        <v>0</v>
      </c>
      <c r="BI52" s="3"/>
      <c r="BJ52" s="4">
        <f t="shared" si="21"/>
        <v>0</v>
      </c>
      <c r="BK52" s="4">
        <f t="shared" si="22"/>
        <v>0</v>
      </c>
      <c r="BL52" s="4">
        <f t="shared" si="23"/>
        <v>0</v>
      </c>
      <c r="BM52" s="3"/>
      <c r="BN52" s="3"/>
      <c r="BO52" s="3"/>
      <c r="BP52" s="3"/>
    </row>
    <row r="53" spans="1:68" s="5" customFormat="1" ht="30" customHeight="1">
      <c r="A53" s="3">
        <v>48</v>
      </c>
      <c r="B53" s="3">
        <v>1799</v>
      </c>
      <c r="C53" s="3" t="s">
        <v>118</v>
      </c>
      <c r="D53" s="4">
        <v>1000000</v>
      </c>
      <c r="E53" s="4">
        <v>1000000</v>
      </c>
      <c r="F53" s="4">
        <f t="shared" si="0"/>
        <v>0</v>
      </c>
      <c r="G53" s="4">
        <v>350000</v>
      </c>
      <c r="H53" s="4">
        <v>54840</v>
      </c>
      <c r="I53" s="4">
        <v>32175</v>
      </c>
      <c r="J53" s="4">
        <v>67832.850000000006</v>
      </c>
      <c r="K53" s="4">
        <f t="shared" si="7"/>
        <v>100007.85</v>
      </c>
      <c r="L53" s="4">
        <f t="shared" si="8"/>
        <v>154847.85</v>
      </c>
      <c r="M53" s="74">
        <f t="shared" si="9"/>
        <v>195152.15</v>
      </c>
      <c r="N53" s="74">
        <v>-200000</v>
      </c>
      <c r="O53" s="74">
        <f t="shared" si="10"/>
        <v>-200000</v>
      </c>
      <c r="P53" s="74">
        <f t="shared" si="11"/>
        <v>850000</v>
      </c>
      <c r="Q53" s="74">
        <f t="shared" si="1"/>
        <v>195152.15</v>
      </c>
      <c r="R53" s="74"/>
      <c r="S53" s="74"/>
      <c r="T53" s="74">
        <f t="shared" si="2"/>
        <v>0</v>
      </c>
      <c r="U53" s="74">
        <f t="shared" si="24"/>
        <v>0</v>
      </c>
      <c r="V53" s="74">
        <f t="shared" si="26"/>
        <v>-200000</v>
      </c>
      <c r="W53" s="74">
        <f t="shared" si="4"/>
        <v>-200000</v>
      </c>
      <c r="X53" s="74"/>
      <c r="Y53" s="74"/>
      <c r="Z53" s="74"/>
      <c r="AA53" s="490"/>
      <c r="AB53" s="490" t="s">
        <v>529</v>
      </c>
      <c r="AC53" s="490">
        <v>732000</v>
      </c>
      <c r="AD53" s="542"/>
      <c r="AE53" s="538"/>
      <c r="AF53" s="538"/>
      <c r="AG53" s="538"/>
      <c r="AH53" s="74">
        <f t="shared" si="12"/>
        <v>0</v>
      </c>
      <c r="AI53" s="74">
        <f t="shared" si="13"/>
        <v>-200000</v>
      </c>
      <c r="AJ53" s="4">
        <f t="shared" si="14"/>
        <v>-200000</v>
      </c>
      <c r="AK53" s="3"/>
      <c r="AL53" s="3"/>
      <c r="AM53" s="3"/>
      <c r="AN53" s="3"/>
      <c r="AO53" s="3"/>
      <c r="AP53" s="4">
        <f>M53</f>
        <v>195152.15</v>
      </c>
      <c r="AQ53" s="9"/>
      <c r="AR53" s="173"/>
      <c r="AS53" s="173">
        <f t="shared" si="32"/>
        <v>195152.15</v>
      </c>
      <c r="AT53" s="173">
        <f t="shared" si="31"/>
        <v>195152.15</v>
      </c>
      <c r="AU53" s="173">
        <f t="shared" si="16"/>
        <v>650000</v>
      </c>
      <c r="AV53" s="173">
        <f t="shared" si="28"/>
        <v>0</v>
      </c>
      <c r="AW53" s="173">
        <f t="shared" si="6"/>
        <v>0</v>
      </c>
      <c r="AX53" s="184"/>
      <c r="AY53" s="184"/>
      <c r="AZ53" s="184"/>
      <c r="BA53" s="184"/>
      <c r="BB53" s="173">
        <f t="shared" si="18"/>
        <v>0</v>
      </c>
      <c r="BC53" s="4">
        <f t="shared" si="19"/>
        <v>0</v>
      </c>
      <c r="BD53" s="4"/>
      <c r="BE53" s="4"/>
      <c r="BF53" s="4"/>
      <c r="BG53" s="4"/>
      <c r="BH53" s="4">
        <f t="shared" si="25"/>
        <v>0</v>
      </c>
      <c r="BI53" s="3"/>
      <c r="BJ53" s="4">
        <f t="shared" si="21"/>
        <v>0</v>
      </c>
      <c r="BK53" s="4">
        <f t="shared" si="22"/>
        <v>0</v>
      </c>
      <c r="BL53" s="4">
        <f t="shared" si="23"/>
        <v>0</v>
      </c>
      <c r="BM53" s="3"/>
      <c r="BN53" s="3"/>
      <c r="BO53" s="3"/>
      <c r="BP53" s="3"/>
    </row>
    <row r="54" spans="1:68" s="5" customFormat="1" ht="30" customHeight="1">
      <c r="A54" s="3">
        <v>49</v>
      </c>
      <c r="B54" s="3">
        <v>1805</v>
      </c>
      <c r="C54" s="3" t="s">
        <v>120</v>
      </c>
      <c r="D54" s="4">
        <v>1000000</v>
      </c>
      <c r="E54" s="4">
        <v>1000000</v>
      </c>
      <c r="F54" s="4">
        <f t="shared" si="0"/>
        <v>0</v>
      </c>
      <c r="G54" s="4">
        <v>60000</v>
      </c>
      <c r="H54" s="4">
        <v>7557</v>
      </c>
      <c r="I54" s="4"/>
      <c r="J54" s="4">
        <v>2756.26</v>
      </c>
      <c r="K54" s="4">
        <f t="shared" si="7"/>
        <v>2756.26</v>
      </c>
      <c r="L54" s="4">
        <f t="shared" si="8"/>
        <v>10313.26</v>
      </c>
      <c r="M54" s="4">
        <f t="shared" si="9"/>
        <v>49686.74</v>
      </c>
      <c r="N54" s="4">
        <v>940000</v>
      </c>
      <c r="O54" s="4">
        <f t="shared" si="10"/>
        <v>940000</v>
      </c>
      <c r="P54" s="4">
        <f t="shared" si="11"/>
        <v>0</v>
      </c>
      <c r="Q54" s="4">
        <f t="shared" si="1"/>
        <v>49686.74</v>
      </c>
      <c r="R54" s="4"/>
      <c r="S54" s="4"/>
      <c r="T54" s="4">
        <f t="shared" si="2"/>
        <v>0</v>
      </c>
      <c r="U54" s="4">
        <f t="shared" si="24"/>
        <v>0</v>
      </c>
      <c r="V54" s="4">
        <f t="shared" si="26"/>
        <v>940000</v>
      </c>
      <c r="W54" s="4">
        <f t="shared" si="4"/>
        <v>940000</v>
      </c>
      <c r="X54" s="4"/>
      <c r="Y54" s="4"/>
      <c r="Z54" s="4"/>
      <c r="AA54" s="3"/>
      <c r="AB54" s="3" t="s">
        <v>674</v>
      </c>
      <c r="AC54" s="3">
        <v>742000</v>
      </c>
      <c r="AD54" s="210"/>
      <c r="AE54" s="378"/>
      <c r="AF54" s="378"/>
      <c r="AG54" s="378"/>
      <c r="AH54" s="4">
        <f t="shared" si="12"/>
        <v>0</v>
      </c>
      <c r="AI54" s="4">
        <f t="shared" si="13"/>
        <v>940000</v>
      </c>
      <c r="AJ54" s="4">
        <f t="shared" si="14"/>
        <v>940000</v>
      </c>
      <c r="AK54" s="3"/>
      <c r="AL54" s="3"/>
      <c r="AM54" s="3"/>
      <c r="AN54" s="3"/>
      <c r="AO54" s="4">
        <f>AI54</f>
        <v>940000</v>
      </c>
      <c r="AP54" s="4">
        <f>M54</f>
        <v>49686.74</v>
      </c>
      <c r="AQ54" s="9"/>
      <c r="AR54" s="173">
        <v>940000</v>
      </c>
      <c r="AS54" s="173">
        <f t="shared" si="32"/>
        <v>49686.74</v>
      </c>
      <c r="AT54" s="173">
        <f t="shared" si="31"/>
        <v>989686.74</v>
      </c>
      <c r="AU54" s="173">
        <f t="shared" si="16"/>
        <v>0</v>
      </c>
      <c r="AV54" s="173">
        <f t="shared" si="28"/>
        <v>940000</v>
      </c>
      <c r="AW54" s="173">
        <f t="shared" si="6"/>
        <v>940000</v>
      </c>
      <c r="AX54" s="184"/>
      <c r="AY54" s="184"/>
      <c r="AZ54" s="184"/>
      <c r="BA54" s="184"/>
      <c r="BB54" s="173">
        <f t="shared" si="18"/>
        <v>0</v>
      </c>
      <c r="BC54" s="4">
        <f t="shared" si="19"/>
        <v>940000</v>
      </c>
      <c r="BD54" s="4">
        <v>940000</v>
      </c>
      <c r="BE54" s="4"/>
      <c r="BF54" s="4"/>
      <c r="BG54" s="4"/>
      <c r="BH54" s="4">
        <f t="shared" si="25"/>
        <v>940000</v>
      </c>
      <c r="BI54" s="3"/>
      <c r="BJ54" s="4">
        <f t="shared" si="21"/>
        <v>940000</v>
      </c>
      <c r="BK54" s="4">
        <f t="shared" si="22"/>
        <v>0</v>
      </c>
      <c r="BL54" s="4">
        <f t="shared" si="23"/>
        <v>940000</v>
      </c>
      <c r="BM54" s="3"/>
      <c r="BN54" s="3"/>
      <c r="BO54" s="3"/>
      <c r="BP54" s="3"/>
    </row>
    <row r="55" spans="1:68" s="5" customFormat="1" ht="30" customHeight="1">
      <c r="A55" s="3">
        <v>50</v>
      </c>
      <c r="B55" s="3">
        <v>1811</v>
      </c>
      <c r="C55" s="3" t="s">
        <v>121</v>
      </c>
      <c r="D55" s="4">
        <v>250000</v>
      </c>
      <c r="E55" s="4">
        <v>250000</v>
      </c>
      <c r="F55" s="4">
        <f t="shared" si="0"/>
        <v>0</v>
      </c>
      <c r="G55" s="4">
        <v>250000</v>
      </c>
      <c r="H55" s="4">
        <v>0</v>
      </c>
      <c r="I55" s="4"/>
      <c r="J55" s="4"/>
      <c r="K55" s="4">
        <f t="shared" si="7"/>
        <v>0</v>
      </c>
      <c r="L55" s="4">
        <f t="shared" si="8"/>
        <v>0</v>
      </c>
      <c r="M55" s="4">
        <f t="shared" si="9"/>
        <v>250000</v>
      </c>
      <c r="N55" s="4"/>
      <c r="O55" s="4">
        <f t="shared" si="10"/>
        <v>0</v>
      </c>
      <c r="P55" s="4">
        <f t="shared" si="11"/>
        <v>0</v>
      </c>
      <c r="Q55" s="4">
        <f t="shared" si="1"/>
        <v>250000</v>
      </c>
      <c r="R55" s="4"/>
      <c r="S55" s="4"/>
      <c r="T55" s="4">
        <f t="shared" si="2"/>
        <v>0</v>
      </c>
      <c r="U55" s="4">
        <f t="shared" si="24"/>
        <v>0</v>
      </c>
      <c r="V55" s="4">
        <f t="shared" si="26"/>
        <v>0</v>
      </c>
      <c r="W55" s="4">
        <f t="shared" si="4"/>
        <v>0</v>
      </c>
      <c r="X55" s="4"/>
      <c r="Y55" s="4"/>
      <c r="Z55" s="4"/>
      <c r="AA55" s="3"/>
      <c r="AB55" s="3" t="s">
        <v>530</v>
      </c>
      <c r="AC55" s="3">
        <v>732000</v>
      </c>
      <c r="AD55" s="210"/>
      <c r="AE55" s="378"/>
      <c r="AF55" s="378"/>
      <c r="AG55" s="378"/>
      <c r="AH55" s="4">
        <f t="shared" si="12"/>
        <v>0</v>
      </c>
      <c r="AI55" s="4">
        <f t="shared" si="13"/>
        <v>0</v>
      </c>
      <c r="AJ55" s="4">
        <f t="shared" si="14"/>
        <v>0</v>
      </c>
      <c r="AK55" s="3"/>
      <c r="AL55" s="3"/>
      <c r="AM55" s="3"/>
      <c r="AN55" s="3"/>
      <c r="AO55" s="3"/>
      <c r="AP55" s="4">
        <f>M55</f>
        <v>250000</v>
      </c>
      <c r="AQ55" s="9"/>
      <c r="AR55" s="173"/>
      <c r="AS55" s="173">
        <f t="shared" si="32"/>
        <v>250000</v>
      </c>
      <c r="AT55" s="173">
        <f t="shared" si="31"/>
        <v>250000</v>
      </c>
      <c r="AU55" s="173">
        <f t="shared" si="16"/>
        <v>0</v>
      </c>
      <c r="AV55" s="173">
        <f t="shared" si="28"/>
        <v>0</v>
      </c>
      <c r="AW55" s="173">
        <f t="shared" si="6"/>
        <v>0</v>
      </c>
      <c r="AX55" s="184"/>
      <c r="AY55" s="184"/>
      <c r="AZ55" s="184"/>
      <c r="BA55" s="184"/>
      <c r="BB55" s="173">
        <f t="shared" si="18"/>
        <v>0</v>
      </c>
      <c r="BC55" s="4">
        <f t="shared" si="19"/>
        <v>0</v>
      </c>
      <c r="BD55" s="4"/>
      <c r="BE55" s="4"/>
      <c r="BF55" s="4"/>
      <c r="BG55" s="4"/>
      <c r="BH55" s="4">
        <f t="shared" si="25"/>
        <v>0</v>
      </c>
      <c r="BI55" s="3"/>
      <c r="BJ55" s="4">
        <f t="shared" si="21"/>
        <v>0</v>
      </c>
      <c r="BK55" s="4">
        <f t="shared" si="22"/>
        <v>0</v>
      </c>
      <c r="BL55" s="4">
        <f t="shared" si="23"/>
        <v>0</v>
      </c>
      <c r="BM55" s="3"/>
      <c r="BN55" s="3"/>
      <c r="BO55" s="3"/>
      <c r="BP55" s="3"/>
    </row>
    <row r="56" spans="1:68" s="5" customFormat="1" ht="30" customHeight="1">
      <c r="A56" s="3">
        <v>51</v>
      </c>
      <c r="B56" s="3">
        <v>1826</v>
      </c>
      <c r="C56" s="3" t="s">
        <v>1612</v>
      </c>
      <c r="D56" s="4">
        <v>1500000</v>
      </c>
      <c r="E56" s="4">
        <v>1500000</v>
      </c>
      <c r="F56" s="4">
        <f t="shared" si="0"/>
        <v>0</v>
      </c>
      <c r="G56" s="4">
        <v>400000</v>
      </c>
      <c r="H56" s="4">
        <v>14227</v>
      </c>
      <c r="I56" s="4"/>
      <c r="J56" s="4"/>
      <c r="K56" s="4">
        <f t="shared" si="7"/>
        <v>0</v>
      </c>
      <c r="L56" s="4">
        <f t="shared" si="8"/>
        <v>14227</v>
      </c>
      <c r="M56" s="4">
        <f t="shared" si="9"/>
        <v>385773</v>
      </c>
      <c r="N56" s="4"/>
      <c r="O56" s="4">
        <f t="shared" si="10"/>
        <v>0</v>
      </c>
      <c r="P56" s="4">
        <f t="shared" si="11"/>
        <v>1100000</v>
      </c>
      <c r="Q56" s="4">
        <f t="shared" si="1"/>
        <v>385773</v>
      </c>
      <c r="R56" s="4"/>
      <c r="S56" s="4"/>
      <c r="T56" s="4">
        <f t="shared" si="2"/>
        <v>0</v>
      </c>
      <c r="U56" s="4">
        <f t="shared" si="24"/>
        <v>0</v>
      </c>
      <c r="V56" s="4">
        <f t="shared" si="26"/>
        <v>0</v>
      </c>
      <c r="W56" s="4">
        <f t="shared" si="4"/>
        <v>0</v>
      </c>
      <c r="X56" s="4"/>
      <c r="Y56" s="4"/>
      <c r="Z56" s="4"/>
      <c r="AA56" s="3"/>
      <c r="AB56" s="3" t="s">
        <v>886</v>
      </c>
      <c r="AC56" s="3">
        <v>742000</v>
      </c>
      <c r="AD56" s="536"/>
      <c r="AE56" s="378"/>
      <c r="AF56" s="378"/>
      <c r="AG56" s="378"/>
      <c r="AH56" s="4">
        <f t="shared" si="12"/>
        <v>0</v>
      </c>
      <c r="AI56" s="4">
        <f t="shared" si="13"/>
        <v>0</v>
      </c>
      <c r="AJ56" s="4">
        <f t="shared" si="14"/>
        <v>0</v>
      </c>
      <c r="AK56" s="3"/>
      <c r="AL56" s="3"/>
      <c r="AM56" s="3"/>
      <c r="AN56" s="3"/>
      <c r="AO56" s="3"/>
      <c r="AP56" s="4">
        <f>M56</f>
        <v>385773</v>
      </c>
      <c r="AQ56" s="9"/>
      <c r="AR56" s="173"/>
      <c r="AS56" s="173">
        <f t="shared" si="32"/>
        <v>385773</v>
      </c>
      <c r="AT56" s="173">
        <f t="shared" si="31"/>
        <v>385773</v>
      </c>
      <c r="AU56" s="173">
        <f t="shared" si="16"/>
        <v>1100000</v>
      </c>
      <c r="AV56" s="173">
        <f t="shared" si="28"/>
        <v>0</v>
      </c>
      <c r="AW56" s="173">
        <f t="shared" si="6"/>
        <v>0</v>
      </c>
      <c r="AX56" s="184"/>
      <c r="AY56" s="184"/>
      <c r="AZ56" s="184"/>
      <c r="BA56" s="184"/>
      <c r="BB56" s="173">
        <f t="shared" si="18"/>
        <v>0</v>
      </c>
      <c r="BC56" s="4">
        <f t="shared" si="19"/>
        <v>0</v>
      </c>
      <c r="BD56" s="4"/>
      <c r="BE56" s="4"/>
      <c r="BF56" s="4"/>
      <c r="BG56" s="4"/>
      <c r="BH56" s="4">
        <f t="shared" si="25"/>
        <v>0</v>
      </c>
      <c r="BI56" s="3"/>
      <c r="BJ56" s="4">
        <f t="shared" si="21"/>
        <v>0</v>
      </c>
      <c r="BK56" s="4">
        <f t="shared" si="22"/>
        <v>0</v>
      </c>
      <c r="BL56" s="4">
        <f t="shared" si="23"/>
        <v>0</v>
      </c>
      <c r="BM56" s="3"/>
      <c r="BN56" s="3"/>
      <c r="BO56" s="3"/>
      <c r="BP56" s="3"/>
    </row>
    <row r="57" spans="1:68" s="5" customFormat="1" ht="30" customHeight="1">
      <c r="A57" s="3">
        <v>52</v>
      </c>
      <c r="B57" s="3">
        <v>1843</v>
      </c>
      <c r="C57" s="3" t="s">
        <v>125</v>
      </c>
      <c r="D57" s="4">
        <v>380000</v>
      </c>
      <c r="E57" s="4">
        <v>380000</v>
      </c>
      <c r="F57" s="4">
        <f t="shared" si="0"/>
        <v>0</v>
      </c>
      <c r="G57" s="4">
        <v>70000</v>
      </c>
      <c r="H57" s="4">
        <v>0</v>
      </c>
      <c r="I57" s="4"/>
      <c r="J57" s="4"/>
      <c r="K57" s="4">
        <f t="shared" si="7"/>
        <v>0</v>
      </c>
      <c r="L57" s="4">
        <f t="shared" si="8"/>
        <v>0</v>
      </c>
      <c r="M57" s="4">
        <f t="shared" si="9"/>
        <v>70000</v>
      </c>
      <c r="N57" s="4"/>
      <c r="O57" s="4">
        <f t="shared" si="10"/>
        <v>0</v>
      </c>
      <c r="P57" s="4">
        <f t="shared" si="11"/>
        <v>310000</v>
      </c>
      <c r="Q57" s="4">
        <f t="shared" si="1"/>
        <v>70000</v>
      </c>
      <c r="R57" s="4"/>
      <c r="S57" s="4"/>
      <c r="T57" s="4">
        <f t="shared" si="2"/>
        <v>0</v>
      </c>
      <c r="U57" s="4">
        <f t="shared" si="24"/>
        <v>0</v>
      </c>
      <c r="V57" s="4">
        <f t="shared" si="26"/>
        <v>0</v>
      </c>
      <c r="W57" s="4">
        <f t="shared" si="4"/>
        <v>0</v>
      </c>
      <c r="X57" s="4"/>
      <c r="Y57" s="4"/>
      <c r="Z57" s="4"/>
      <c r="AA57" s="3"/>
      <c r="AB57" s="3" t="s">
        <v>353</v>
      </c>
      <c r="AC57" s="3">
        <v>732000</v>
      </c>
      <c r="AD57" s="210"/>
      <c r="AE57" s="378"/>
      <c r="AF57" s="378"/>
      <c r="AG57" s="378"/>
      <c r="AH57" s="4">
        <f t="shared" si="12"/>
        <v>0</v>
      </c>
      <c r="AI57" s="4">
        <f t="shared" si="13"/>
        <v>0</v>
      </c>
      <c r="AJ57" s="4">
        <f t="shared" si="14"/>
        <v>0</v>
      </c>
      <c r="AK57" s="3"/>
      <c r="AL57" s="3"/>
      <c r="AM57" s="3"/>
      <c r="AN57" s="3"/>
      <c r="AO57" s="3"/>
      <c r="AP57" s="4"/>
      <c r="AQ57" s="535" t="s">
        <v>1155</v>
      </c>
      <c r="AR57" s="173"/>
      <c r="AS57" s="173">
        <f>M57-70000</f>
        <v>0</v>
      </c>
      <c r="AT57" s="173">
        <f t="shared" si="31"/>
        <v>0</v>
      </c>
      <c r="AU57" s="173">
        <f t="shared" si="16"/>
        <v>380000</v>
      </c>
      <c r="AV57" s="173">
        <f t="shared" si="28"/>
        <v>-70000</v>
      </c>
      <c r="AW57" s="173">
        <f t="shared" si="6"/>
        <v>-70000</v>
      </c>
      <c r="AX57" s="184"/>
      <c r="AY57" s="184"/>
      <c r="AZ57" s="184"/>
      <c r="BA57" s="184"/>
      <c r="BB57" s="173">
        <f t="shared" si="18"/>
        <v>-70000</v>
      </c>
      <c r="BC57" s="4">
        <f t="shared" si="19"/>
        <v>0</v>
      </c>
      <c r="BD57" s="4">
        <v>-70000</v>
      </c>
      <c r="BE57" s="4"/>
      <c r="BF57" s="4"/>
      <c r="BG57" s="4"/>
      <c r="BH57" s="4">
        <f t="shared" si="25"/>
        <v>-70000</v>
      </c>
      <c r="BI57" s="3"/>
      <c r="BJ57" s="4">
        <f t="shared" si="21"/>
        <v>-70000</v>
      </c>
      <c r="BK57" s="4">
        <f t="shared" si="22"/>
        <v>0</v>
      </c>
      <c r="BL57" s="4">
        <f t="shared" si="23"/>
        <v>-70000</v>
      </c>
      <c r="BM57" s="3"/>
      <c r="BN57" s="3"/>
      <c r="BO57" s="3"/>
      <c r="BP57" s="3"/>
    </row>
    <row r="58" spans="1:68" s="5" customFormat="1" ht="30" customHeight="1">
      <c r="A58" s="3">
        <v>53</v>
      </c>
      <c r="B58" s="3">
        <v>1844</v>
      </c>
      <c r="C58" s="3" t="s">
        <v>1613</v>
      </c>
      <c r="D58" s="4">
        <v>2078338</v>
      </c>
      <c r="E58" s="4">
        <v>2078338</v>
      </c>
      <c r="F58" s="4">
        <f t="shared" si="0"/>
        <v>0</v>
      </c>
      <c r="G58" s="4">
        <v>120000</v>
      </c>
      <c r="H58" s="4">
        <v>62477.48</v>
      </c>
      <c r="I58" s="4"/>
      <c r="J58" s="4"/>
      <c r="K58" s="4">
        <f t="shared" si="7"/>
        <v>0</v>
      </c>
      <c r="L58" s="4">
        <f t="shared" si="8"/>
        <v>62477.48</v>
      </c>
      <c r="M58" s="4">
        <f t="shared" si="9"/>
        <v>57522.52</v>
      </c>
      <c r="N58" s="4">
        <v>1958338</v>
      </c>
      <c r="O58" s="4">
        <f t="shared" si="10"/>
        <v>1958338</v>
      </c>
      <c r="P58" s="4">
        <f t="shared" si="11"/>
        <v>0</v>
      </c>
      <c r="Q58" s="4">
        <f t="shared" si="1"/>
        <v>57522.52</v>
      </c>
      <c r="R58" s="4"/>
      <c r="S58" s="4"/>
      <c r="T58" s="4">
        <f t="shared" si="2"/>
        <v>0</v>
      </c>
      <c r="U58" s="4">
        <f t="shared" si="24"/>
        <v>0</v>
      </c>
      <c r="V58" s="4">
        <f t="shared" si="26"/>
        <v>1958338</v>
      </c>
      <c r="W58" s="4">
        <f t="shared" si="4"/>
        <v>703894</v>
      </c>
      <c r="X58" s="4"/>
      <c r="Y58" s="4"/>
      <c r="Z58" s="4"/>
      <c r="AA58" s="4">
        <v>1254444</v>
      </c>
      <c r="AB58" s="3" t="s">
        <v>789</v>
      </c>
      <c r="AC58" s="3">
        <v>732000</v>
      </c>
      <c r="AD58" s="524"/>
      <c r="AE58" s="378"/>
      <c r="AF58" s="378"/>
      <c r="AG58" s="378"/>
      <c r="AH58" s="4">
        <f t="shared" si="12"/>
        <v>0</v>
      </c>
      <c r="AI58" s="4">
        <f t="shared" si="13"/>
        <v>1958338</v>
      </c>
      <c r="AJ58" s="4">
        <f t="shared" si="14"/>
        <v>703894</v>
      </c>
      <c r="AK58" s="3"/>
      <c r="AL58" s="3"/>
      <c r="AM58" s="3"/>
      <c r="AN58" s="210">
        <v>1254444</v>
      </c>
      <c r="AO58" s="3">
        <v>0</v>
      </c>
      <c r="AP58" s="4">
        <f>M58</f>
        <v>57522.52</v>
      </c>
      <c r="AQ58" s="535" t="s">
        <v>1156</v>
      </c>
      <c r="AR58" s="173"/>
      <c r="AS58" s="173">
        <f t="shared" ref="AS58:AS86" si="33">M58</f>
        <v>57522.52</v>
      </c>
      <c r="AT58" s="173">
        <f t="shared" si="31"/>
        <v>57522.52</v>
      </c>
      <c r="AU58" s="173">
        <f t="shared" si="16"/>
        <v>1958338</v>
      </c>
      <c r="AV58" s="173">
        <f t="shared" si="28"/>
        <v>0</v>
      </c>
      <c r="AW58" s="173">
        <f t="shared" si="6"/>
        <v>0</v>
      </c>
      <c r="AX58" s="184"/>
      <c r="AY58" s="184"/>
      <c r="AZ58" s="184"/>
      <c r="BA58" s="184"/>
      <c r="BB58" s="173">
        <f t="shared" si="18"/>
        <v>0</v>
      </c>
      <c r="BC58" s="4">
        <f t="shared" si="19"/>
        <v>0</v>
      </c>
      <c r="BD58" s="4"/>
      <c r="BE58" s="4"/>
      <c r="BF58" s="4"/>
      <c r="BG58" s="4"/>
      <c r="BH58" s="4">
        <f t="shared" si="25"/>
        <v>0</v>
      </c>
      <c r="BI58" s="3"/>
      <c r="BJ58" s="4">
        <f t="shared" si="21"/>
        <v>0</v>
      </c>
      <c r="BK58" s="4">
        <f t="shared" si="22"/>
        <v>0</v>
      </c>
      <c r="BL58" s="4">
        <f t="shared" si="23"/>
        <v>0</v>
      </c>
      <c r="BM58" s="3"/>
      <c r="BN58" s="3"/>
      <c r="BO58" s="3"/>
      <c r="BP58" s="3"/>
    </row>
    <row r="59" spans="1:68" s="5" customFormat="1" ht="30" customHeight="1">
      <c r="A59" s="3">
        <v>54</v>
      </c>
      <c r="B59" s="3">
        <v>1882</v>
      </c>
      <c r="C59" s="3" t="s">
        <v>126</v>
      </c>
      <c r="D59" s="4">
        <v>14300000</v>
      </c>
      <c r="E59" s="4">
        <v>14300000</v>
      </c>
      <c r="F59" s="4">
        <f t="shared" si="0"/>
        <v>0</v>
      </c>
      <c r="G59" s="4">
        <v>200000</v>
      </c>
      <c r="H59" s="4">
        <v>0</v>
      </c>
      <c r="I59" s="4"/>
      <c r="J59" s="4"/>
      <c r="K59" s="4">
        <f t="shared" si="7"/>
        <v>0</v>
      </c>
      <c r="L59" s="4">
        <f t="shared" si="8"/>
        <v>0</v>
      </c>
      <c r="M59" s="4">
        <f t="shared" si="9"/>
        <v>200000</v>
      </c>
      <c r="N59" s="4">
        <f>1400000-1400000</f>
        <v>0</v>
      </c>
      <c r="O59" s="4">
        <f t="shared" si="10"/>
        <v>0</v>
      </c>
      <c r="P59" s="4">
        <f t="shared" si="11"/>
        <v>14100000</v>
      </c>
      <c r="Q59" s="4">
        <f t="shared" si="1"/>
        <v>200000</v>
      </c>
      <c r="R59" s="4"/>
      <c r="S59" s="4"/>
      <c r="T59" s="4">
        <f t="shared" si="2"/>
        <v>0</v>
      </c>
      <c r="U59" s="4">
        <f t="shared" si="24"/>
        <v>0</v>
      </c>
      <c r="V59" s="4">
        <f t="shared" si="26"/>
        <v>0</v>
      </c>
      <c r="W59" s="4">
        <f t="shared" si="4"/>
        <v>0</v>
      </c>
      <c r="X59" s="4"/>
      <c r="Y59" s="4"/>
      <c r="Z59" s="4"/>
      <c r="AA59" s="3"/>
      <c r="AB59" s="3" t="s">
        <v>887</v>
      </c>
      <c r="AC59" s="3">
        <v>742000</v>
      </c>
      <c r="AD59" s="210"/>
      <c r="AE59" s="378"/>
      <c r="AF59" s="378"/>
      <c r="AG59" s="378"/>
      <c r="AH59" s="4">
        <f t="shared" ref="AH59:AH86" si="34">SUM(AD59:AG59)</f>
        <v>0</v>
      </c>
      <c r="AI59" s="4">
        <f t="shared" si="13"/>
        <v>0</v>
      </c>
      <c r="AJ59" s="4">
        <f t="shared" si="14"/>
        <v>0</v>
      </c>
      <c r="AK59" s="3"/>
      <c r="AL59" s="3"/>
      <c r="AM59" s="3"/>
      <c r="AN59" s="3"/>
      <c r="AO59" s="3"/>
      <c r="AP59" s="4">
        <f>M59</f>
        <v>200000</v>
      </c>
      <c r="AQ59" s="535" t="s">
        <v>1157</v>
      </c>
      <c r="AR59" s="173"/>
      <c r="AS59" s="173">
        <f t="shared" si="33"/>
        <v>200000</v>
      </c>
      <c r="AT59" s="173">
        <f t="shared" si="31"/>
        <v>200000</v>
      </c>
      <c r="AU59" s="173">
        <f t="shared" si="16"/>
        <v>14100000</v>
      </c>
      <c r="AV59" s="173">
        <f t="shared" si="28"/>
        <v>0</v>
      </c>
      <c r="AW59" s="173">
        <f t="shared" si="6"/>
        <v>0</v>
      </c>
      <c r="AX59" s="184"/>
      <c r="AY59" s="184"/>
      <c r="AZ59" s="184"/>
      <c r="BA59" s="184"/>
      <c r="BB59" s="173">
        <f t="shared" si="18"/>
        <v>0</v>
      </c>
      <c r="BC59" s="4">
        <f t="shared" si="19"/>
        <v>0</v>
      </c>
      <c r="BD59" s="4"/>
      <c r="BE59" s="4"/>
      <c r="BF59" s="4"/>
      <c r="BG59" s="4"/>
      <c r="BH59" s="4">
        <f t="shared" si="25"/>
        <v>0</v>
      </c>
      <c r="BI59" s="3"/>
      <c r="BJ59" s="4">
        <f t="shared" si="21"/>
        <v>0</v>
      </c>
      <c r="BK59" s="4">
        <f t="shared" si="22"/>
        <v>0</v>
      </c>
      <c r="BL59" s="4">
        <f t="shared" si="23"/>
        <v>0</v>
      </c>
      <c r="BM59" s="3"/>
      <c r="BN59" s="3"/>
      <c r="BO59" s="3"/>
      <c r="BP59" s="3"/>
    </row>
    <row r="60" spans="1:68" s="5" customFormat="1" ht="30" customHeight="1">
      <c r="A60" s="3">
        <v>55</v>
      </c>
      <c r="B60" s="3">
        <v>1937</v>
      </c>
      <c r="C60" s="3" t="s">
        <v>527</v>
      </c>
      <c r="D60" s="4">
        <v>1050000</v>
      </c>
      <c r="E60" s="4">
        <v>1050000</v>
      </c>
      <c r="F60" s="4">
        <f t="shared" si="0"/>
        <v>0</v>
      </c>
      <c r="G60" s="4">
        <v>750000</v>
      </c>
      <c r="H60" s="4">
        <v>56082</v>
      </c>
      <c r="I60" s="4">
        <v>244936</v>
      </c>
      <c r="J60" s="4">
        <v>40357.54</v>
      </c>
      <c r="K60" s="4">
        <f t="shared" si="7"/>
        <v>285293.53999999998</v>
      </c>
      <c r="L60" s="4">
        <f t="shared" si="8"/>
        <v>341375.54</v>
      </c>
      <c r="M60" s="4">
        <f t="shared" si="9"/>
        <v>408624.46</v>
      </c>
      <c r="N60" s="4">
        <v>300000</v>
      </c>
      <c r="O60" s="4">
        <f t="shared" si="10"/>
        <v>300000</v>
      </c>
      <c r="P60" s="4">
        <f t="shared" si="11"/>
        <v>0</v>
      </c>
      <c r="Q60" s="4">
        <f t="shared" si="1"/>
        <v>408624.46</v>
      </c>
      <c r="R60" s="4"/>
      <c r="S60" s="4"/>
      <c r="T60" s="4">
        <f t="shared" si="2"/>
        <v>0</v>
      </c>
      <c r="U60" s="4">
        <f t="shared" si="24"/>
        <v>0</v>
      </c>
      <c r="V60" s="4">
        <f t="shared" si="26"/>
        <v>300000</v>
      </c>
      <c r="W60" s="4">
        <f t="shared" si="4"/>
        <v>300000</v>
      </c>
      <c r="X60" s="4"/>
      <c r="Y60" s="4"/>
      <c r="Z60" s="4"/>
      <c r="AA60" s="3"/>
      <c r="AB60" s="3" t="s">
        <v>531</v>
      </c>
      <c r="AC60" s="3">
        <v>732000</v>
      </c>
      <c r="AD60" s="536"/>
      <c r="AE60" s="378"/>
      <c r="AF60" s="378"/>
      <c r="AG60" s="378"/>
      <c r="AH60" s="4">
        <f t="shared" si="34"/>
        <v>0</v>
      </c>
      <c r="AI60" s="4">
        <f t="shared" si="13"/>
        <v>300000</v>
      </c>
      <c r="AJ60" s="4">
        <f t="shared" si="14"/>
        <v>300000</v>
      </c>
      <c r="AK60" s="3"/>
      <c r="AL60" s="3"/>
      <c r="AM60" s="3"/>
      <c r="AN60" s="3"/>
      <c r="AO60" s="3"/>
      <c r="AP60" s="4">
        <v>408624</v>
      </c>
      <c r="AQ60" s="535" t="s">
        <v>1145</v>
      </c>
      <c r="AR60" s="173"/>
      <c r="AS60" s="173">
        <f t="shared" si="33"/>
        <v>408624.46</v>
      </c>
      <c r="AT60" s="173">
        <f t="shared" si="31"/>
        <v>408624.46</v>
      </c>
      <c r="AU60" s="173">
        <f t="shared" si="16"/>
        <v>299999.99999999994</v>
      </c>
      <c r="AV60" s="173">
        <f t="shared" si="28"/>
        <v>0</v>
      </c>
      <c r="AW60" s="173">
        <f t="shared" si="6"/>
        <v>0</v>
      </c>
      <c r="AX60" s="184"/>
      <c r="AY60" s="184"/>
      <c r="AZ60" s="184"/>
      <c r="BA60" s="184"/>
      <c r="BB60" s="173">
        <f t="shared" si="18"/>
        <v>0</v>
      </c>
      <c r="BC60" s="4">
        <f t="shared" si="19"/>
        <v>0</v>
      </c>
      <c r="BD60" s="4"/>
      <c r="BE60" s="4"/>
      <c r="BF60" s="4"/>
      <c r="BG60" s="4"/>
      <c r="BH60" s="4">
        <f t="shared" si="25"/>
        <v>0</v>
      </c>
      <c r="BI60" s="3"/>
      <c r="BJ60" s="4">
        <f t="shared" si="21"/>
        <v>0</v>
      </c>
      <c r="BK60" s="4">
        <f t="shared" si="22"/>
        <v>0</v>
      </c>
      <c r="BL60" s="4">
        <f t="shared" si="23"/>
        <v>0</v>
      </c>
      <c r="BM60" s="3"/>
      <c r="BN60" s="3"/>
      <c r="BO60" s="3"/>
      <c r="BP60" s="3"/>
    </row>
    <row r="61" spans="1:68" s="6" customFormat="1" ht="30" customHeight="1">
      <c r="A61" s="3">
        <v>56</v>
      </c>
      <c r="B61" s="3">
        <v>1943</v>
      </c>
      <c r="C61" s="3" t="s">
        <v>175</v>
      </c>
      <c r="D61" s="4">
        <v>6750000</v>
      </c>
      <c r="E61" s="4">
        <v>6750000</v>
      </c>
      <c r="F61" s="4">
        <f t="shared" si="0"/>
        <v>0</v>
      </c>
      <c r="G61" s="4">
        <v>6750000</v>
      </c>
      <c r="H61" s="4">
        <v>5413076.4199999999</v>
      </c>
      <c r="I61" s="4">
        <v>51510.3</v>
      </c>
      <c r="J61" s="4">
        <v>633593.36</v>
      </c>
      <c r="K61" s="4">
        <f t="shared" si="7"/>
        <v>685103.66</v>
      </c>
      <c r="L61" s="4">
        <f t="shared" si="8"/>
        <v>6098180.0800000001</v>
      </c>
      <c r="M61" s="4">
        <f t="shared" si="9"/>
        <v>651819.91999999993</v>
      </c>
      <c r="N61" s="4"/>
      <c r="O61" s="4">
        <f t="shared" si="10"/>
        <v>0</v>
      </c>
      <c r="P61" s="4">
        <f t="shared" si="11"/>
        <v>0</v>
      </c>
      <c r="Q61" s="4">
        <f t="shared" si="1"/>
        <v>651819.91999999993</v>
      </c>
      <c r="R61" s="4"/>
      <c r="S61" s="4"/>
      <c r="T61" s="4">
        <f t="shared" si="2"/>
        <v>0</v>
      </c>
      <c r="U61" s="4">
        <f t="shared" si="24"/>
        <v>0</v>
      </c>
      <c r="V61" s="4">
        <f t="shared" si="26"/>
        <v>0</v>
      </c>
      <c r="W61" s="4">
        <f t="shared" si="4"/>
        <v>0</v>
      </c>
      <c r="X61" s="4"/>
      <c r="Y61" s="4"/>
      <c r="Z61" s="4"/>
      <c r="AA61" s="3"/>
      <c r="AB61" s="3" t="s">
        <v>790</v>
      </c>
      <c r="AC61" s="3">
        <v>744000</v>
      </c>
      <c r="AD61" s="210"/>
      <c r="AE61" s="378"/>
      <c r="AF61" s="378"/>
      <c r="AG61" s="378"/>
      <c r="AH61" s="4">
        <f t="shared" si="34"/>
        <v>0</v>
      </c>
      <c r="AI61" s="4">
        <f t="shared" si="13"/>
        <v>0</v>
      </c>
      <c r="AJ61" s="4">
        <f t="shared" si="14"/>
        <v>0</v>
      </c>
      <c r="AK61" s="7"/>
      <c r="AL61" s="7"/>
      <c r="AM61" s="7"/>
      <c r="AN61" s="7"/>
      <c r="AO61" s="7"/>
      <c r="AP61" s="4">
        <f>M61</f>
        <v>651819.91999999993</v>
      </c>
      <c r="AQ61" s="9"/>
      <c r="AR61" s="173"/>
      <c r="AS61" s="173">
        <f t="shared" si="33"/>
        <v>651819.91999999993</v>
      </c>
      <c r="AT61" s="173">
        <f t="shared" si="31"/>
        <v>651819.91999999993</v>
      </c>
      <c r="AU61" s="173">
        <f t="shared" si="16"/>
        <v>0</v>
      </c>
      <c r="AV61" s="173">
        <f t="shared" si="28"/>
        <v>0</v>
      </c>
      <c r="AW61" s="173">
        <f t="shared" si="6"/>
        <v>0</v>
      </c>
      <c r="AX61" s="184"/>
      <c r="AY61" s="184"/>
      <c r="AZ61" s="184"/>
      <c r="BA61" s="184"/>
      <c r="BB61" s="173">
        <f t="shared" si="18"/>
        <v>0</v>
      </c>
      <c r="BC61" s="4">
        <f t="shared" si="19"/>
        <v>0</v>
      </c>
      <c r="BD61" s="4"/>
      <c r="BE61" s="4"/>
      <c r="BF61" s="4"/>
      <c r="BG61" s="4"/>
      <c r="BH61" s="4">
        <f t="shared" si="25"/>
        <v>0</v>
      </c>
      <c r="BI61" s="7"/>
      <c r="BJ61" s="4">
        <f t="shared" si="21"/>
        <v>0</v>
      </c>
      <c r="BK61" s="4">
        <f t="shared" si="22"/>
        <v>0</v>
      </c>
      <c r="BL61" s="4">
        <f t="shared" si="23"/>
        <v>0</v>
      </c>
      <c r="BM61" s="7"/>
      <c r="BN61" s="7"/>
      <c r="BO61" s="7"/>
      <c r="BP61" s="7"/>
    </row>
    <row r="62" spans="1:68" s="5" customFormat="1" ht="30" customHeight="1">
      <c r="A62" s="3">
        <v>57</v>
      </c>
      <c r="B62" s="3">
        <v>1950</v>
      </c>
      <c r="C62" s="31" t="s">
        <v>1614</v>
      </c>
      <c r="D62" s="4">
        <v>500000</v>
      </c>
      <c r="E62" s="4">
        <v>500000</v>
      </c>
      <c r="F62" s="4">
        <f t="shared" si="0"/>
        <v>0</v>
      </c>
      <c r="G62" s="4">
        <v>100000</v>
      </c>
      <c r="H62" s="4">
        <v>0</v>
      </c>
      <c r="I62" s="4"/>
      <c r="J62" s="4"/>
      <c r="K62" s="4">
        <f t="shared" si="7"/>
        <v>0</v>
      </c>
      <c r="L62" s="4">
        <f t="shared" si="8"/>
        <v>0</v>
      </c>
      <c r="M62" s="4">
        <f t="shared" si="9"/>
        <v>100000</v>
      </c>
      <c r="N62" s="4"/>
      <c r="O62" s="4">
        <f t="shared" si="10"/>
        <v>0</v>
      </c>
      <c r="P62" s="4">
        <f t="shared" si="11"/>
        <v>400000</v>
      </c>
      <c r="Q62" s="4">
        <f t="shared" si="1"/>
        <v>100000</v>
      </c>
      <c r="R62" s="4"/>
      <c r="S62" s="4"/>
      <c r="T62" s="4">
        <f t="shared" si="2"/>
        <v>0</v>
      </c>
      <c r="U62" s="4">
        <f t="shared" si="24"/>
        <v>0</v>
      </c>
      <c r="V62" s="4">
        <f t="shared" si="26"/>
        <v>0</v>
      </c>
      <c r="W62" s="4">
        <f t="shared" si="4"/>
        <v>0</v>
      </c>
      <c r="X62" s="4"/>
      <c r="Y62" s="4"/>
      <c r="Z62" s="4"/>
      <c r="AA62" s="3"/>
      <c r="AB62" s="3" t="s">
        <v>355</v>
      </c>
      <c r="AC62" s="3">
        <v>732000</v>
      </c>
      <c r="AD62" s="541"/>
      <c r="AE62" s="378"/>
      <c r="AF62" s="378"/>
      <c r="AG62" s="378"/>
      <c r="AH62" s="4">
        <f t="shared" si="34"/>
        <v>0</v>
      </c>
      <c r="AI62" s="4">
        <f t="shared" si="13"/>
        <v>0</v>
      </c>
      <c r="AJ62" s="4">
        <f t="shared" si="14"/>
        <v>0</v>
      </c>
      <c r="AK62" s="3"/>
      <c r="AL62" s="3"/>
      <c r="AM62" s="3"/>
      <c r="AN62" s="3"/>
      <c r="AO62" s="3"/>
      <c r="AP62" s="4">
        <f>M62</f>
        <v>100000</v>
      </c>
      <c r="AQ62" s="9"/>
      <c r="AR62" s="173"/>
      <c r="AS62" s="173">
        <f t="shared" si="33"/>
        <v>100000</v>
      </c>
      <c r="AT62" s="173">
        <f t="shared" si="31"/>
        <v>100000</v>
      </c>
      <c r="AU62" s="173">
        <f t="shared" si="16"/>
        <v>400000</v>
      </c>
      <c r="AV62" s="173">
        <f t="shared" si="28"/>
        <v>0</v>
      </c>
      <c r="AW62" s="173">
        <f t="shared" si="6"/>
        <v>0</v>
      </c>
      <c r="AX62" s="184"/>
      <c r="AY62" s="184"/>
      <c r="AZ62" s="184"/>
      <c r="BA62" s="184"/>
      <c r="BB62" s="173">
        <f t="shared" si="18"/>
        <v>0</v>
      </c>
      <c r="BC62" s="4">
        <f t="shared" si="19"/>
        <v>0</v>
      </c>
      <c r="BD62" s="4"/>
      <c r="BE62" s="4"/>
      <c r="BF62" s="4"/>
      <c r="BG62" s="4"/>
      <c r="BH62" s="4">
        <f t="shared" si="25"/>
        <v>0</v>
      </c>
      <c r="BI62" s="3"/>
      <c r="BJ62" s="4">
        <f t="shared" si="21"/>
        <v>0</v>
      </c>
      <c r="BK62" s="4">
        <f t="shared" si="22"/>
        <v>0</v>
      </c>
      <c r="BL62" s="4">
        <f t="shared" si="23"/>
        <v>0</v>
      </c>
      <c r="BM62" s="3"/>
      <c r="BN62" s="3"/>
      <c r="BO62" s="3"/>
      <c r="BP62" s="3"/>
    </row>
    <row r="63" spans="1:68" s="5" customFormat="1" ht="30" customHeight="1">
      <c r="A63" s="3">
        <v>58</v>
      </c>
      <c r="B63" s="3">
        <v>1951</v>
      </c>
      <c r="C63" s="31" t="s">
        <v>157</v>
      </c>
      <c r="D63" s="4">
        <v>300000</v>
      </c>
      <c r="E63" s="4">
        <v>300000</v>
      </c>
      <c r="F63" s="4">
        <f t="shared" si="0"/>
        <v>0</v>
      </c>
      <c r="G63" s="4">
        <v>160000</v>
      </c>
      <c r="H63" s="4">
        <v>145805</v>
      </c>
      <c r="I63" s="4">
        <v>12870</v>
      </c>
      <c r="J63" s="4"/>
      <c r="K63" s="4">
        <f t="shared" si="7"/>
        <v>12870</v>
      </c>
      <c r="L63" s="4">
        <f t="shared" si="8"/>
        <v>158675</v>
      </c>
      <c r="M63" s="4">
        <f t="shared" si="9"/>
        <v>1325</v>
      </c>
      <c r="N63" s="4"/>
      <c r="O63" s="4">
        <f t="shared" si="10"/>
        <v>0</v>
      </c>
      <c r="P63" s="4">
        <f t="shared" si="11"/>
        <v>140000</v>
      </c>
      <c r="Q63" s="4">
        <f t="shared" si="1"/>
        <v>1325</v>
      </c>
      <c r="R63" s="4"/>
      <c r="S63" s="4"/>
      <c r="T63" s="4">
        <f t="shared" si="2"/>
        <v>0</v>
      </c>
      <c r="U63" s="4">
        <f t="shared" si="24"/>
        <v>0</v>
      </c>
      <c r="V63" s="4">
        <f t="shared" si="26"/>
        <v>0</v>
      </c>
      <c r="W63" s="4">
        <f t="shared" si="4"/>
        <v>0</v>
      </c>
      <c r="X63" s="4"/>
      <c r="Y63" s="4"/>
      <c r="Z63" s="4"/>
      <c r="AA63" s="3"/>
      <c r="AB63" s="3"/>
      <c r="AC63" s="3">
        <v>732000</v>
      </c>
      <c r="AD63" s="541"/>
      <c r="AE63" s="378"/>
      <c r="AF63" s="378"/>
      <c r="AG63" s="378"/>
      <c r="AH63" s="4">
        <f t="shared" si="34"/>
        <v>0</v>
      </c>
      <c r="AI63" s="4">
        <f t="shared" si="13"/>
        <v>0</v>
      </c>
      <c r="AJ63" s="4">
        <f t="shared" si="14"/>
        <v>0</v>
      </c>
      <c r="AK63" s="3"/>
      <c r="AL63" s="3"/>
      <c r="AM63" s="3"/>
      <c r="AN63" s="3"/>
      <c r="AO63" s="3"/>
      <c r="AP63" s="3"/>
      <c r="AQ63" s="535" t="s">
        <v>1158</v>
      </c>
      <c r="AR63" s="173"/>
      <c r="AS63" s="173">
        <f t="shared" si="33"/>
        <v>1325</v>
      </c>
      <c r="AT63" s="173">
        <f t="shared" si="31"/>
        <v>1325</v>
      </c>
      <c r="AU63" s="173">
        <f t="shared" si="16"/>
        <v>140000</v>
      </c>
      <c r="AV63" s="173">
        <f t="shared" si="28"/>
        <v>0</v>
      </c>
      <c r="AW63" s="173">
        <f t="shared" si="6"/>
        <v>0</v>
      </c>
      <c r="AX63" s="184"/>
      <c r="AY63" s="184"/>
      <c r="AZ63" s="184"/>
      <c r="BA63" s="184"/>
      <c r="BB63" s="173">
        <f t="shared" si="18"/>
        <v>0</v>
      </c>
      <c r="BC63" s="4">
        <f t="shared" si="19"/>
        <v>0</v>
      </c>
      <c r="BD63" s="4"/>
      <c r="BE63" s="4"/>
      <c r="BF63" s="4"/>
      <c r="BG63" s="4"/>
      <c r="BH63" s="4">
        <f t="shared" si="25"/>
        <v>0</v>
      </c>
      <c r="BI63" s="3"/>
      <c r="BJ63" s="4">
        <f t="shared" si="21"/>
        <v>0</v>
      </c>
      <c r="BK63" s="4">
        <f t="shared" si="22"/>
        <v>0</v>
      </c>
      <c r="BL63" s="4">
        <f t="shared" si="23"/>
        <v>0</v>
      </c>
      <c r="BM63" s="3"/>
      <c r="BN63" s="3"/>
      <c r="BO63" s="3"/>
      <c r="BP63" s="3"/>
    </row>
    <row r="64" spans="1:68" s="5" customFormat="1" ht="30" customHeight="1">
      <c r="A64" s="3">
        <v>59</v>
      </c>
      <c r="B64" s="3">
        <v>2007</v>
      </c>
      <c r="C64" s="3" t="s">
        <v>1615</v>
      </c>
      <c r="D64" s="4">
        <v>1100000</v>
      </c>
      <c r="E64" s="4">
        <v>1100000</v>
      </c>
      <c r="F64" s="4">
        <f t="shared" si="0"/>
        <v>0</v>
      </c>
      <c r="G64" s="4">
        <v>1100000</v>
      </c>
      <c r="H64" s="4">
        <v>736547.82</v>
      </c>
      <c r="I64" s="4"/>
      <c r="J64" s="4">
        <v>227878.86</v>
      </c>
      <c r="K64" s="4">
        <f t="shared" si="7"/>
        <v>227878.86</v>
      </c>
      <c r="L64" s="4">
        <f t="shared" si="8"/>
        <v>964426.67999999993</v>
      </c>
      <c r="M64" s="4">
        <f t="shared" si="9"/>
        <v>135573.32000000007</v>
      </c>
      <c r="N64" s="4"/>
      <c r="O64" s="4">
        <f t="shared" si="10"/>
        <v>0</v>
      </c>
      <c r="P64" s="4">
        <f t="shared" si="11"/>
        <v>0</v>
      </c>
      <c r="Q64" s="4">
        <f t="shared" si="1"/>
        <v>135573.32000000007</v>
      </c>
      <c r="R64" s="4"/>
      <c r="S64" s="4"/>
      <c r="T64" s="4">
        <f t="shared" si="2"/>
        <v>0</v>
      </c>
      <c r="U64" s="4">
        <f t="shared" si="24"/>
        <v>0</v>
      </c>
      <c r="V64" s="4">
        <f t="shared" si="26"/>
        <v>0</v>
      </c>
      <c r="W64" s="4">
        <f t="shared" si="4"/>
        <v>0</v>
      </c>
      <c r="X64" s="4"/>
      <c r="Y64" s="4"/>
      <c r="Z64" s="4"/>
      <c r="AA64" s="3"/>
      <c r="AB64" s="3" t="s">
        <v>888</v>
      </c>
      <c r="AC64" s="3">
        <v>742000</v>
      </c>
      <c r="AD64" s="524"/>
      <c r="AE64" s="378"/>
      <c r="AF64" s="378"/>
      <c r="AG64" s="378"/>
      <c r="AH64" s="4">
        <f t="shared" si="34"/>
        <v>0</v>
      </c>
      <c r="AI64" s="4">
        <f t="shared" si="13"/>
        <v>0</v>
      </c>
      <c r="AJ64" s="4">
        <f t="shared" si="14"/>
        <v>0</v>
      </c>
      <c r="AK64" s="3"/>
      <c r="AL64" s="3"/>
      <c r="AM64" s="3"/>
      <c r="AN64" s="3"/>
      <c r="AO64" s="3"/>
      <c r="AP64" s="4">
        <f>M64</f>
        <v>135573.32000000007</v>
      </c>
      <c r="AQ64" s="9"/>
      <c r="AR64" s="173"/>
      <c r="AS64" s="173">
        <f t="shared" si="33"/>
        <v>135573.32000000007</v>
      </c>
      <c r="AT64" s="173">
        <f t="shared" si="31"/>
        <v>135573.32000000007</v>
      </c>
      <c r="AU64" s="173">
        <f t="shared" si="16"/>
        <v>0</v>
      </c>
      <c r="AV64" s="173">
        <f t="shared" si="28"/>
        <v>0</v>
      </c>
      <c r="AW64" s="173">
        <f t="shared" si="6"/>
        <v>0</v>
      </c>
      <c r="AX64" s="184"/>
      <c r="AY64" s="184"/>
      <c r="AZ64" s="184"/>
      <c r="BA64" s="184"/>
      <c r="BB64" s="173">
        <f t="shared" si="18"/>
        <v>0</v>
      </c>
      <c r="BC64" s="4">
        <f t="shared" si="19"/>
        <v>0</v>
      </c>
      <c r="BD64" s="4"/>
      <c r="BE64" s="4"/>
      <c r="BF64" s="4"/>
      <c r="BG64" s="4"/>
      <c r="BH64" s="4">
        <f t="shared" si="25"/>
        <v>0</v>
      </c>
      <c r="BI64" s="3"/>
      <c r="BJ64" s="4">
        <f t="shared" si="21"/>
        <v>0</v>
      </c>
      <c r="BK64" s="4">
        <f t="shared" si="22"/>
        <v>0</v>
      </c>
      <c r="BL64" s="4">
        <f t="shared" si="23"/>
        <v>0</v>
      </c>
      <c r="BM64" s="3"/>
      <c r="BN64" s="3"/>
      <c r="BO64" s="3"/>
      <c r="BP64" s="3"/>
    </row>
    <row r="65" spans="1:68" s="5" customFormat="1" ht="30" customHeight="1">
      <c r="A65" s="3">
        <v>60</v>
      </c>
      <c r="B65" s="3">
        <v>2009</v>
      </c>
      <c r="C65" s="3" t="s">
        <v>303</v>
      </c>
      <c r="D65" s="4">
        <v>9000000</v>
      </c>
      <c r="E65" s="4">
        <v>9000000</v>
      </c>
      <c r="F65" s="4">
        <f t="shared" si="0"/>
        <v>0</v>
      </c>
      <c r="G65" s="4">
        <v>1000000</v>
      </c>
      <c r="H65" s="4">
        <v>0</v>
      </c>
      <c r="I65" s="4"/>
      <c r="J65" s="4"/>
      <c r="K65" s="4">
        <f t="shared" si="7"/>
        <v>0</v>
      </c>
      <c r="L65" s="4">
        <f t="shared" si="8"/>
        <v>0</v>
      </c>
      <c r="M65" s="4">
        <f t="shared" si="9"/>
        <v>1000000</v>
      </c>
      <c r="N65" s="4">
        <f>8000000-3000000-800000</f>
        <v>4200000</v>
      </c>
      <c r="O65" s="4">
        <f t="shared" si="10"/>
        <v>4200000</v>
      </c>
      <c r="P65" s="4">
        <f t="shared" si="11"/>
        <v>3800000</v>
      </c>
      <c r="Q65" s="4">
        <f t="shared" si="1"/>
        <v>1000000</v>
      </c>
      <c r="R65" s="4"/>
      <c r="S65" s="4"/>
      <c r="T65" s="4">
        <f t="shared" si="2"/>
        <v>0</v>
      </c>
      <c r="U65" s="4">
        <f t="shared" si="24"/>
        <v>0</v>
      </c>
      <c r="V65" s="4">
        <f t="shared" si="26"/>
        <v>4200000</v>
      </c>
      <c r="W65" s="4">
        <f t="shared" si="4"/>
        <v>4200000</v>
      </c>
      <c r="X65" s="4"/>
      <c r="Y65" s="4"/>
      <c r="Z65" s="4"/>
      <c r="AA65" s="3"/>
      <c r="AB65" s="3" t="s">
        <v>867</v>
      </c>
      <c r="AC65" s="3">
        <v>742000</v>
      </c>
      <c r="AD65" s="210"/>
      <c r="AE65" s="378"/>
      <c r="AF65" s="378"/>
      <c r="AG65" s="378"/>
      <c r="AH65" s="4">
        <f t="shared" si="34"/>
        <v>0</v>
      </c>
      <c r="AI65" s="4">
        <f t="shared" si="13"/>
        <v>4200000</v>
      </c>
      <c r="AJ65" s="4">
        <f t="shared" si="14"/>
        <v>4200000</v>
      </c>
      <c r="AK65" s="3"/>
      <c r="AL65" s="3"/>
      <c r="AM65" s="3"/>
      <c r="AN65" s="3"/>
      <c r="AO65" s="4">
        <v>1200000</v>
      </c>
      <c r="AP65" s="4">
        <f>M65</f>
        <v>1000000</v>
      </c>
      <c r="AQ65" s="9"/>
      <c r="AR65" s="173">
        <v>1200000</v>
      </c>
      <c r="AS65" s="173">
        <f t="shared" si="33"/>
        <v>1000000</v>
      </c>
      <c r="AT65" s="173">
        <f t="shared" si="31"/>
        <v>2200000</v>
      </c>
      <c r="AU65" s="173">
        <f t="shared" si="16"/>
        <v>6800000</v>
      </c>
      <c r="AV65" s="173">
        <f t="shared" si="28"/>
        <v>1200000</v>
      </c>
      <c r="AW65" s="173">
        <f t="shared" si="6"/>
        <v>1200000</v>
      </c>
      <c r="AX65" s="184"/>
      <c r="AY65" s="184"/>
      <c r="AZ65" s="184"/>
      <c r="BA65" s="184"/>
      <c r="BB65" s="173">
        <f t="shared" si="18"/>
        <v>0</v>
      </c>
      <c r="BC65" s="4">
        <f t="shared" si="19"/>
        <v>1200000</v>
      </c>
      <c r="BD65" s="4">
        <v>1200000</v>
      </c>
      <c r="BE65" s="4"/>
      <c r="BF65" s="4"/>
      <c r="BG65" s="4"/>
      <c r="BH65" s="4">
        <f t="shared" si="25"/>
        <v>1200000</v>
      </c>
      <c r="BI65" s="3"/>
      <c r="BJ65" s="4">
        <f t="shared" si="21"/>
        <v>1200000</v>
      </c>
      <c r="BK65" s="4">
        <f t="shared" si="22"/>
        <v>0</v>
      </c>
      <c r="BL65" s="4">
        <f t="shared" si="23"/>
        <v>1200000</v>
      </c>
      <c r="BM65" s="3"/>
      <c r="BN65" s="3"/>
      <c r="BO65" s="3"/>
      <c r="BP65" s="3"/>
    </row>
    <row r="66" spans="1:68" s="5" customFormat="1" ht="30" customHeight="1">
      <c r="A66" s="3">
        <v>61</v>
      </c>
      <c r="B66" s="3">
        <v>2012</v>
      </c>
      <c r="C66" s="3" t="s">
        <v>1616</v>
      </c>
      <c r="D66" s="4">
        <v>5000000</v>
      </c>
      <c r="E66" s="4">
        <v>5000000</v>
      </c>
      <c r="F66" s="4">
        <f t="shared" si="0"/>
        <v>0</v>
      </c>
      <c r="G66" s="4">
        <v>200000</v>
      </c>
      <c r="H66" s="4">
        <v>0</v>
      </c>
      <c r="I66" s="4"/>
      <c r="J66" s="4"/>
      <c r="K66" s="4">
        <f t="shared" si="7"/>
        <v>0</v>
      </c>
      <c r="L66" s="4">
        <f t="shared" si="8"/>
        <v>0</v>
      </c>
      <c r="M66" s="4">
        <f t="shared" si="9"/>
        <v>200000</v>
      </c>
      <c r="N66" s="4"/>
      <c r="O66" s="4">
        <f t="shared" si="10"/>
        <v>0</v>
      </c>
      <c r="P66" s="4">
        <f t="shared" si="11"/>
        <v>4800000</v>
      </c>
      <c r="Q66" s="4">
        <f t="shared" si="1"/>
        <v>200000</v>
      </c>
      <c r="R66" s="4"/>
      <c r="S66" s="4"/>
      <c r="T66" s="4">
        <f t="shared" ref="T66:T77" si="35">SUM(R66:S66)</f>
        <v>0</v>
      </c>
      <c r="U66" s="4">
        <f t="shared" si="24"/>
        <v>0</v>
      </c>
      <c r="V66" s="4">
        <f t="shared" si="26"/>
        <v>0</v>
      </c>
      <c r="W66" s="4">
        <f t="shared" si="4"/>
        <v>0</v>
      </c>
      <c r="X66" s="4"/>
      <c r="Y66" s="4"/>
      <c r="Z66" s="4"/>
      <c r="AA66" s="3"/>
      <c r="AB66" s="3" t="s">
        <v>675</v>
      </c>
      <c r="AC66" s="3">
        <v>742000</v>
      </c>
      <c r="AD66" s="210"/>
      <c r="AE66" s="378"/>
      <c r="AF66" s="378"/>
      <c r="AG66" s="378"/>
      <c r="AH66" s="4">
        <f t="shared" si="34"/>
        <v>0</v>
      </c>
      <c r="AI66" s="4">
        <f t="shared" si="13"/>
        <v>0</v>
      </c>
      <c r="AJ66" s="4">
        <f t="shared" si="14"/>
        <v>0</v>
      </c>
      <c r="AK66" s="3"/>
      <c r="AL66" s="3"/>
      <c r="AM66" s="3"/>
      <c r="AN66" s="3"/>
      <c r="AO66" s="3"/>
      <c r="AP66" s="4">
        <f>M66</f>
        <v>200000</v>
      </c>
      <c r="AQ66" s="9"/>
      <c r="AR66" s="173"/>
      <c r="AS66" s="173">
        <f t="shared" si="33"/>
        <v>200000</v>
      </c>
      <c r="AT66" s="173">
        <f t="shared" si="31"/>
        <v>200000</v>
      </c>
      <c r="AU66" s="173">
        <f t="shared" si="16"/>
        <v>4800000</v>
      </c>
      <c r="AV66" s="173">
        <f t="shared" si="28"/>
        <v>0</v>
      </c>
      <c r="AW66" s="173">
        <f t="shared" si="6"/>
        <v>0</v>
      </c>
      <c r="AX66" s="184"/>
      <c r="AY66" s="184"/>
      <c r="AZ66" s="184"/>
      <c r="BA66" s="184"/>
      <c r="BB66" s="173">
        <f t="shared" si="18"/>
        <v>0</v>
      </c>
      <c r="BC66" s="4">
        <f t="shared" si="19"/>
        <v>0</v>
      </c>
      <c r="BD66" s="4"/>
      <c r="BE66" s="4"/>
      <c r="BF66" s="4"/>
      <c r="BG66" s="4"/>
      <c r="BH66" s="4">
        <f t="shared" si="25"/>
        <v>0</v>
      </c>
      <c r="BI66" s="3"/>
      <c r="BJ66" s="4">
        <f t="shared" si="21"/>
        <v>0</v>
      </c>
      <c r="BK66" s="4">
        <f t="shared" si="22"/>
        <v>0</v>
      </c>
      <c r="BL66" s="4">
        <f t="shared" si="23"/>
        <v>0</v>
      </c>
      <c r="BM66" s="3"/>
      <c r="BN66" s="3"/>
      <c r="BO66" s="3"/>
      <c r="BP66" s="3"/>
    </row>
    <row r="67" spans="1:68" s="5" customFormat="1" ht="30" customHeight="1">
      <c r="A67" s="3">
        <v>62</v>
      </c>
      <c r="B67" s="3">
        <v>2014</v>
      </c>
      <c r="C67" s="3" t="s">
        <v>358</v>
      </c>
      <c r="D67" s="4">
        <v>750000</v>
      </c>
      <c r="E67" s="4">
        <v>750000</v>
      </c>
      <c r="F67" s="4">
        <f t="shared" si="0"/>
        <v>0</v>
      </c>
      <c r="G67" s="4">
        <v>100000</v>
      </c>
      <c r="H67" s="4">
        <v>0</v>
      </c>
      <c r="I67" s="4"/>
      <c r="J67" s="4"/>
      <c r="K67" s="4">
        <f t="shared" si="7"/>
        <v>0</v>
      </c>
      <c r="L67" s="4">
        <f t="shared" si="8"/>
        <v>0</v>
      </c>
      <c r="M67" s="4">
        <f t="shared" si="9"/>
        <v>100000</v>
      </c>
      <c r="N67" s="4">
        <f>350000-50000-300000</f>
        <v>0</v>
      </c>
      <c r="O67" s="4">
        <f t="shared" si="10"/>
        <v>0</v>
      </c>
      <c r="P67" s="4">
        <f t="shared" si="11"/>
        <v>650000</v>
      </c>
      <c r="Q67" s="4">
        <f t="shared" si="1"/>
        <v>100000</v>
      </c>
      <c r="R67" s="4"/>
      <c r="S67" s="4"/>
      <c r="T67" s="4">
        <f t="shared" si="35"/>
        <v>0</v>
      </c>
      <c r="U67" s="4">
        <f t="shared" si="24"/>
        <v>0</v>
      </c>
      <c r="V67" s="4">
        <f t="shared" si="26"/>
        <v>0</v>
      </c>
      <c r="W67" s="4">
        <f t="shared" si="4"/>
        <v>0</v>
      </c>
      <c r="X67" s="4"/>
      <c r="Y67" s="4"/>
      <c r="Z67" s="4"/>
      <c r="AA67" s="3"/>
      <c r="AB67" s="3" t="s">
        <v>791</v>
      </c>
      <c r="AC67" s="3">
        <v>732000</v>
      </c>
      <c r="AD67" s="536"/>
      <c r="AE67" s="378"/>
      <c r="AF67" s="378"/>
      <c r="AG67" s="378"/>
      <c r="AH67" s="4">
        <f t="shared" si="34"/>
        <v>0</v>
      </c>
      <c r="AI67" s="4">
        <f t="shared" si="13"/>
        <v>0</v>
      </c>
      <c r="AJ67" s="4">
        <f t="shared" si="14"/>
        <v>0</v>
      </c>
      <c r="AK67" s="3"/>
      <c r="AL67" s="3"/>
      <c r="AM67" s="3"/>
      <c r="AN67" s="3"/>
      <c r="AO67" s="3"/>
      <c r="AP67" s="4">
        <f>M67</f>
        <v>100000</v>
      </c>
      <c r="AQ67" s="9"/>
      <c r="AR67" s="173"/>
      <c r="AS67" s="173">
        <f t="shared" si="33"/>
        <v>100000</v>
      </c>
      <c r="AT67" s="173">
        <f t="shared" si="31"/>
        <v>100000</v>
      </c>
      <c r="AU67" s="173">
        <f t="shared" si="16"/>
        <v>650000</v>
      </c>
      <c r="AV67" s="173">
        <f t="shared" si="28"/>
        <v>0</v>
      </c>
      <c r="AW67" s="173">
        <f t="shared" si="6"/>
        <v>0</v>
      </c>
      <c r="AX67" s="184"/>
      <c r="AY67" s="184"/>
      <c r="AZ67" s="184"/>
      <c r="BA67" s="184"/>
      <c r="BB67" s="173">
        <f t="shared" si="18"/>
        <v>0</v>
      </c>
      <c r="BC67" s="4">
        <f t="shared" si="19"/>
        <v>0</v>
      </c>
      <c r="BD67" s="4"/>
      <c r="BE67" s="4"/>
      <c r="BF67" s="4"/>
      <c r="BG67" s="4"/>
      <c r="BH67" s="4">
        <f t="shared" si="25"/>
        <v>0</v>
      </c>
      <c r="BI67" s="3"/>
      <c r="BJ67" s="4">
        <f t="shared" si="21"/>
        <v>0</v>
      </c>
      <c r="BK67" s="4">
        <f t="shared" si="22"/>
        <v>0</v>
      </c>
      <c r="BL67" s="4">
        <f t="shared" si="23"/>
        <v>0</v>
      </c>
      <c r="BM67" s="3"/>
      <c r="BN67" s="3"/>
      <c r="BO67" s="3"/>
      <c r="BP67" s="3"/>
    </row>
    <row r="68" spans="1:68" s="6" customFormat="1" ht="30" customHeight="1">
      <c r="A68" s="3">
        <v>63</v>
      </c>
      <c r="B68" s="31">
        <v>2077</v>
      </c>
      <c r="C68" s="3" t="s">
        <v>1617</v>
      </c>
      <c r="D68" s="4">
        <v>4000000</v>
      </c>
      <c r="E68" s="4">
        <v>4000000</v>
      </c>
      <c r="F68" s="4">
        <f t="shared" si="0"/>
        <v>0</v>
      </c>
      <c r="G68" s="4">
        <v>0</v>
      </c>
      <c r="H68" s="4">
        <v>0</v>
      </c>
      <c r="I68" s="4"/>
      <c r="J68" s="4"/>
      <c r="K68" s="4">
        <f t="shared" si="7"/>
        <v>0</v>
      </c>
      <c r="L68" s="4">
        <f t="shared" si="8"/>
        <v>0</v>
      </c>
      <c r="M68" s="4">
        <f t="shared" si="9"/>
        <v>0</v>
      </c>
      <c r="N68" s="4">
        <f>4000000-4000000</f>
        <v>0</v>
      </c>
      <c r="O68" s="4">
        <f t="shared" si="10"/>
        <v>0</v>
      </c>
      <c r="P68" s="4">
        <f t="shared" si="11"/>
        <v>4000000</v>
      </c>
      <c r="Q68" s="4">
        <f t="shared" si="1"/>
        <v>0</v>
      </c>
      <c r="R68" s="4"/>
      <c r="S68" s="4"/>
      <c r="T68" s="4">
        <f t="shared" si="35"/>
        <v>0</v>
      </c>
      <c r="U68" s="4">
        <f t="shared" si="24"/>
        <v>0</v>
      </c>
      <c r="V68" s="4">
        <f t="shared" si="26"/>
        <v>0</v>
      </c>
      <c r="W68" s="4">
        <f t="shared" si="4"/>
        <v>0</v>
      </c>
      <c r="X68" s="4"/>
      <c r="Y68" s="4"/>
      <c r="Z68" s="4"/>
      <c r="AA68" s="3"/>
      <c r="AB68" s="280" t="s">
        <v>360</v>
      </c>
      <c r="AC68" s="3">
        <v>742000</v>
      </c>
      <c r="AD68" s="210"/>
      <c r="AE68" s="378"/>
      <c r="AF68" s="378"/>
      <c r="AG68" s="378"/>
      <c r="AH68" s="4">
        <f t="shared" si="34"/>
        <v>0</v>
      </c>
      <c r="AI68" s="4">
        <f t="shared" si="13"/>
        <v>0</v>
      </c>
      <c r="AJ68" s="4">
        <f t="shared" si="14"/>
        <v>0</v>
      </c>
      <c r="AK68" s="7"/>
      <c r="AL68" s="7"/>
      <c r="AM68" s="7"/>
      <c r="AN68" s="7"/>
      <c r="AO68" s="7"/>
      <c r="AP68" s="3"/>
      <c r="AQ68" s="9"/>
      <c r="AR68" s="173"/>
      <c r="AS68" s="173">
        <f t="shared" si="33"/>
        <v>0</v>
      </c>
      <c r="AT68" s="173">
        <f t="shared" si="31"/>
        <v>0</v>
      </c>
      <c r="AU68" s="173">
        <f t="shared" si="16"/>
        <v>4000000</v>
      </c>
      <c r="AV68" s="173">
        <f t="shared" si="28"/>
        <v>0</v>
      </c>
      <c r="AW68" s="173">
        <f t="shared" si="6"/>
        <v>0</v>
      </c>
      <c r="AX68" s="184"/>
      <c r="AY68" s="184"/>
      <c r="AZ68" s="184"/>
      <c r="BA68" s="184"/>
      <c r="BB68" s="173">
        <f t="shared" si="18"/>
        <v>0</v>
      </c>
      <c r="BC68" s="4">
        <f t="shared" si="19"/>
        <v>0</v>
      </c>
      <c r="BD68" s="4"/>
      <c r="BE68" s="4"/>
      <c r="BF68" s="4"/>
      <c r="BG68" s="4"/>
      <c r="BH68" s="4">
        <f t="shared" si="25"/>
        <v>0</v>
      </c>
      <c r="BI68" s="7"/>
      <c r="BJ68" s="4">
        <f t="shared" si="21"/>
        <v>0</v>
      </c>
      <c r="BK68" s="4">
        <f t="shared" si="22"/>
        <v>0</v>
      </c>
      <c r="BL68" s="4">
        <f t="shared" si="23"/>
        <v>0</v>
      </c>
      <c r="BM68" s="7"/>
      <c r="BN68" s="7"/>
      <c r="BO68" s="7"/>
      <c r="BP68" s="7"/>
    </row>
    <row r="69" spans="1:68" s="5" customFormat="1" ht="30" customHeight="1">
      <c r="A69" s="3">
        <v>64</v>
      </c>
      <c r="B69" s="31">
        <v>2105</v>
      </c>
      <c r="C69" s="3" t="s">
        <v>519</v>
      </c>
      <c r="D69" s="4">
        <v>60000000</v>
      </c>
      <c r="E69" s="4">
        <v>60000000</v>
      </c>
      <c r="F69" s="4">
        <f t="shared" si="0"/>
        <v>0</v>
      </c>
      <c r="G69" s="4">
        <v>0</v>
      </c>
      <c r="H69" s="4">
        <v>0</v>
      </c>
      <c r="I69" s="4"/>
      <c r="J69" s="4"/>
      <c r="K69" s="4">
        <f t="shared" si="7"/>
        <v>0</v>
      </c>
      <c r="L69" s="4">
        <f t="shared" si="8"/>
        <v>0</v>
      </c>
      <c r="M69" s="4">
        <f t="shared" si="9"/>
        <v>0</v>
      </c>
      <c r="N69" s="4">
        <f>5000000-1000000-4000000</f>
        <v>0</v>
      </c>
      <c r="O69" s="4">
        <f t="shared" si="10"/>
        <v>0</v>
      </c>
      <c r="P69" s="4">
        <f t="shared" si="11"/>
        <v>60000000</v>
      </c>
      <c r="Q69" s="4">
        <f t="shared" si="1"/>
        <v>0</v>
      </c>
      <c r="R69" s="4"/>
      <c r="S69" s="4"/>
      <c r="T69" s="4">
        <f t="shared" si="35"/>
        <v>0</v>
      </c>
      <c r="U69" s="4">
        <f t="shared" si="24"/>
        <v>0</v>
      </c>
      <c r="V69" s="4">
        <f t="shared" si="26"/>
        <v>0</v>
      </c>
      <c r="W69" s="4">
        <f t="shared" si="4"/>
        <v>0</v>
      </c>
      <c r="X69" s="4"/>
      <c r="Y69" s="4"/>
      <c r="Z69" s="4"/>
      <c r="AA69" s="3"/>
      <c r="AB69" s="3" t="s">
        <v>868</v>
      </c>
      <c r="AC69" s="3">
        <v>742000</v>
      </c>
      <c r="AD69" s="536"/>
      <c r="AE69" s="378"/>
      <c r="AF69" s="378"/>
      <c r="AG69" s="378"/>
      <c r="AH69" s="4">
        <f t="shared" si="34"/>
        <v>0</v>
      </c>
      <c r="AI69" s="4">
        <f t="shared" si="13"/>
        <v>0</v>
      </c>
      <c r="AJ69" s="4">
        <f t="shared" si="14"/>
        <v>0</v>
      </c>
      <c r="AK69" s="3"/>
      <c r="AL69" s="3"/>
      <c r="AM69" s="3"/>
      <c r="AN69" s="3"/>
      <c r="AO69" s="4">
        <v>2000000</v>
      </c>
      <c r="AP69" s="3"/>
      <c r="AQ69" s="535" t="s">
        <v>1159</v>
      </c>
      <c r="AR69" s="173">
        <f>2000000-1000000</f>
        <v>1000000</v>
      </c>
      <c r="AS69" s="173">
        <f t="shared" si="33"/>
        <v>0</v>
      </c>
      <c r="AT69" s="173">
        <f t="shared" si="31"/>
        <v>1000000</v>
      </c>
      <c r="AU69" s="173">
        <f t="shared" si="16"/>
        <v>59000000</v>
      </c>
      <c r="AV69" s="173">
        <f t="shared" si="28"/>
        <v>1000000</v>
      </c>
      <c r="AW69" s="173">
        <f t="shared" si="6"/>
        <v>1000000</v>
      </c>
      <c r="AX69" s="184"/>
      <c r="AY69" s="184"/>
      <c r="AZ69" s="184"/>
      <c r="BA69" s="184"/>
      <c r="BB69" s="173">
        <f t="shared" si="18"/>
        <v>0</v>
      </c>
      <c r="BC69" s="4">
        <f t="shared" si="19"/>
        <v>1000000</v>
      </c>
      <c r="BD69" s="4">
        <v>1000000</v>
      </c>
      <c r="BE69" s="4"/>
      <c r="BF69" s="4"/>
      <c r="BG69" s="4"/>
      <c r="BH69" s="4">
        <f t="shared" si="25"/>
        <v>1000000</v>
      </c>
      <c r="BI69" s="3"/>
      <c r="BJ69" s="4">
        <f t="shared" si="21"/>
        <v>1000000</v>
      </c>
      <c r="BK69" s="4">
        <f t="shared" si="22"/>
        <v>0</v>
      </c>
      <c r="BL69" s="4">
        <f t="shared" si="23"/>
        <v>1000000</v>
      </c>
      <c r="BM69" s="3"/>
      <c r="BN69" s="3"/>
      <c r="BO69" s="3"/>
      <c r="BP69" s="3"/>
    </row>
    <row r="70" spans="1:68" s="6" customFormat="1" ht="30" customHeight="1">
      <c r="A70" s="3">
        <v>65</v>
      </c>
      <c r="B70" s="31">
        <v>2107</v>
      </c>
      <c r="C70" s="3" t="s">
        <v>363</v>
      </c>
      <c r="D70" s="4">
        <v>340000</v>
      </c>
      <c r="E70" s="4">
        <v>340000</v>
      </c>
      <c r="F70" s="4">
        <f t="shared" ref="F70:F78" si="36">D70-E70</f>
        <v>0</v>
      </c>
      <c r="G70" s="4">
        <v>0</v>
      </c>
      <c r="H70" s="4">
        <v>0</v>
      </c>
      <c r="I70" s="4"/>
      <c r="J70" s="4"/>
      <c r="K70" s="4">
        <f t="shared" si="7"/>
        <v>0</v>
      </c>
      <c r="L70" s="4">
        <f t="shared" si="8"/>
        <v>0</v>
      </c>
      <c r="M70" s="4">
        <f t="shared" si="9"/>
        <v>0</v>
      </c>
      <c r="N70" s="4">
        <v>340000</v>
      </c>
      <c r="O70" s="4">
        <f t="shared" si="10"/>
        <v>340000</v>
      </c>
      <c r="P70" s="4">
        <f t="shared" si="11"/>
        <v>0</v>
      </c>
      <c r="Q70" s="4">
        <f t="shared" ref="Q70:Q86" si="37">G70-L70</f>
        <v>0</v>
      </c>
      <c r="R70" s="4"/>
      <c r="S70" s="4"/>
      <c r="T70" s="4">
        <f t="shared" si="35"/>
        <v>0</v>
      </c>
      <c r="U70" s="4">
        <f t="shared" si="24"/>
        <v>0</v>
      </c>
      <c r="V70" s="4">
        <f t="shared" si="26"/>
        <v>340000</v>
      </c>
      <c r="W70" s="4">
        <f t="shared" ref="W70:W77" si="38">V70-AA70-X70-Z70</f>
        <v>340000</v>
      </c>
      <c r="X70" s="4"/>
      <c r="Y70" s="4"/>
      <c r="Z70" s="4"/>
      <c r="AA70" s="3"/>
      <c r="AB70" s="3" t="s">
        <v>890</v>
      </c>
      <c r="AC70" s="3">
        <v>742000</v>
      </c>
      <c r="AD70" s="536"/>
      <c r="AE70" s="378"/>
      <c r="AF70" s="378"/>
      <c r="AG70" s="378"/>
      <c r="AH70" s="4">
        <f t="shared" si="34"/>
        <v>0</v>
      </c>
      <c r="AI70" s="4">
        <f t="shared" si="13"/>
        <v>340000</v>
      </c>
      <c r="AJ70" s="4">
        <f t="shared" si="14"/>
        <v>340000</v>
      </c>
      <c r="AK70" s="7"/>
      <c r="AL70" s="7"/>
      <c r="AM70" s="7"/>
      <c r="AN70" s="7"/>
      <c r="AO70" s="4">
        <f>AI70</f>
        <v>340000</v>
      </c>
      <c r="AP70" s="3"/>
      <c r="AQ70" s="9"/>
      <c r="AR70" s="173">
        <v>340000</v>
      </c>
      <c r="AS70" s="173">
        <f t="shared" si="33"/>
        <v>0</v>
      </c>
      <c r="AT70" s="173">
        <f t="shared" si="31"/>
        <v>340000</v>
      </c>
      <c r="AU70" s="173">
        <f t="shared" si="16"/>
        <v>0</v>
      </c>
      <c r="AV70" s="173">
        <f t="shared" si="28"/>
        <v>340000</v>
      </c>
      <c r="AW70" s="173">
        <f t="shared" ref="AW70:AW86" si="39">AR70+AS70-M70-BA70</f>
        <v>340000</v>
      </c>
      <c r="AX70" s="184"/>
      <c r="AY70" s="184"/>
      <c r="AZ70" s="184"/>
      <c r="BA70" s="184"/>
      <c r="BB70" s="173">
        <f t="shared" si="18"/>
        <v>0</v>
      </c>
      <c r="BC70" s="4">
        <f t="shared" si="19"/>
        <v>340000</v>
      </c>
      <c r="BD70" s="4">
        <v>340000</v>
      </c>
      <c r="BE70" s="4"/>
      <c r="BF70" s="4"/>
      <c r="BG70" s="4"/>
      <c r="BH70" s="4">
        <f t="shared" si="25"/>
        <v>340000</v>
      </c>
      <c r="BI70" s="7"/>
      <c r="BJ70" s="4">
        <f t="shared" si="21"/>
        <v>340000</v>
      </c>
      <c r="BK70" s="4">
        <f t="shared" si="22"/>
        <v>0</v>
      </c>
      <c r="BL70" s="4">
        <f t="shared" si="23"/>
        <v>340000</v>
      </c>
      <c r="BM70" s="7"/>
      <c r="BN70" s="7"/>
      <c r="BO70" s="7"/>
      <c r="BP70" s="7"/>
    </row>
    <row r="71" spans="1:68" s="5" customFormat="1" ht="30" customHeight="1">
      <c r="A71" s="3">
        <v>66</v>
      </c>
      <c r="B71" s="31">
        <v>2112</v>
      </c>
      <c r="C71" s="3" t="s">
        <v>611</v>
      </c>
      <c r="D71" s="4">
        <v>7650000</v>
      </c>
      <c r="E71" s="4">
        <v>7650000</v>
      </c>
      <c r="F71" s="4">
        <f t="shared" si="36"/>
        <v>0</v>
      </c>
      <c r="G71" s="4">
        <v>0</v>
      </c>
      <c r="H71" s="4">
        <v>0</v>
      </c>
      <c r="I71" s="4"/>
      <c r="J71" s="4"/>
      <c r="K71" s="4">
        <f t="shared" ref="K71:K86" si="40">I71+J71</f>
        <v>0</v>
      </c>
      <c r="L71" s="4">
        <f t="shared" ref="L71:L86" si="41">H71+K71</f>
        <v>0</v>
      </c>
      <c r="M71" s="4">
        <f t="shared" ref="M71:M86" si="42">G71-L71</f>
        <v>0</v>
      </c>
      <c r="N71" s="4">
        <f>3160000-1000000</f>
        <v>2160000</v>
      </c>
      <c r="O71" s="4">
        <f t="shared" ref="O71:O86" si="43">N71-AH71</f>
        <v>2160000</v>
      </c>
      <c r="P71" s="4">
        <f t="shared" ref="P71:P86" si="44">D71-L71-M71-O71</f>
        <v>5490000</v>
      </c>
      <c r="Q71" s="4">
        <f t="shared" si="37"/>
        <v>0</v>
      </c>
      <c r="R71" s="4"/>
      <c r="S71" s="4"/>
      <c r="T71" s="4">
        <f t="shared" si="35"/>
        <v>0</v>
      </c>
      <c r="U71" s="4">
        <f t="shared" si="24"/>
        <v>0</v>
      </c>
      <c r="V71" s="4">
        <f t="shared" si="26"/>
        <v>2160000</v>
      </c>
      <c r="W71" s="4">
        <f t="shared" si="38"/>
        <v>2160000</v>
      </c>
      <c r="X71" s="4"/>
      <c r="Y71" s="4"/>
      <c r="Z71" s="4"/>
      <c r="AA71" s="3"/>
      <c r="AB71" s="280" t="s">
        <v>869</v>
      </c>
      <c r="AC71" s="3">
        <v>732000</v>
      </c>
      <c r="AD71" s="210"/>
      <c r="AE71" s="378"/>
      <c r="AF71" s="378"/>
      <c r="AG71" s="378"/>
      <c r="AH71" s="4">
        <f t="shared" si="34"/>
        <v>0</v>
      </c>
      <c r="AI71" s="4">
        <f t="shared" ref="AI71:AI86" si="45">V71-AH71</f>
        <v>2160000</v>
      </c>
      <c r="AJ71" s="4">
        <f t="shared" ref="AJ71:AJ86" si="46">AI71-AN71</f>
        <v>2160000</v>
      </c>
      <c r="AK71" s="3"/>
      <c r="AL71" s="3"/>
      <c r="AM71" s="3"/>
      <c r="AN71" s="3"/>
      <c r="AO71" s="4">
        <f>AI71</f>
        <v>2160000</v>
      </c>
      <c r="AP71" s="3"/>
      <c r="AQ71" s="9"/>
      <c r="AR71" s="173">
        <v>2160000</v>
      </c>
      <c r="AS71" s="173">
        <f t="shared" si="33"/>
        <v>0</v>
      </c>
      <c r="AT71" s="173">
        <f t="shared" si="31"/>
        <v>2160000</v>
      </c>
      <c r="AU71" s="173">
        <f t="shared" ref="AU71:AU86" si="47">D71-L71-AT71</f>
        <v>5490000</v>
      </c>
      <c r="AV71" s="173">
        <f t="shared" si="28"/>
        <v>2160000</v>
      </c>
      <c r="AW71" s="173">
        <f t="shared" si="39"/>
        <v>2160000</v>
      </c>
      <c r="AX71" s="184"/>
      <c r="AY71" s="184"/>
      <c r="AZ71" s="184"/>
      <c r="BA71" s="184"/>
      <c r="BB71" s="173">
        <f t="shared" ref="BB71:BB86" si="48">AS71-M71</f>
        <v>0</v>
      </c>
      <c r="BC71" s="4">
        <f t="shared" ref="BC71:BC86" si="49">AR71</f>
        <v>2160000</v>
      </c>
      <c r="BD71" s="4">
        <v>2160000</v>
      </c>
      <c r="BE71" s="4"/>
      <c r="BF71" s="4"/>
      <c r="BG71" s="4"/>
      <c r="BH71" s="4">
        <f t="shared" si="25"/>
        <v>2160000</v>
      </c>
      <c r="BI71" s="3"/>
      <c r="BJ71" s="4">
        <f t="shared" ref="BJ71:BJ86" si="50">BI71+BH71</f>
        <v>2160000</v>
      </c>
      <c r="BK71" s="4">
        <f t="shared" ref="BK71:BK86" si="51">AV71-BJ71</f>
        <v>0</v>
      </c>
      <c r="BL71" s="4">
        <f t="shared" ref="BL71:BL86" si="52">BJ71-BP71</f>
        <v>2160000</v>
      </c>
      <c r="BM71" s="3"/>
      <c r="BN71" s="3"/>
      <c r="BO71" s="3"/>
      <c r="BP71" s="3"/>
    </row>
    <row r="72" spans="1:68" s="5" customFormat="1" ht="30" customHeight="1">
      <c r="A72" s="3">
        <v>67</v>
      </c>
      <c r="B72" s="31">
        <v>2113</v>
      </c>
      <c r="C72" s="3" t="s">
        <v>367</v>
      </c>
      <c r="D72" s="4">
        <v>2550000</v>
      </c>
      <c r="E72" s="4">
        <v>2550000</v>
      </c>
      <c r="F72" s="4">
        <f t="shared" si="36"/>
        <v>0</v>
      </c>
      <c r="G72" s="4">
        <v>0</v>
      </c>
      <c r="H72" s="4">
        <v>0</v>
      </c>
      <c r="I72" s="4"/>
      <c r="J72" s="4"/>
      <c r="K72" s="4">
        <f t="shared" si="40"/>
        <v>0</v>
      </c>
      <c r="L72" s="4">
        <f t="shared" si="41"/>
        <v>0</v>
      </c>
      <c r="M72" s="4">
        <f t="shared" si="42"/>
        <v>0</v>
      </c>
      <c r="N72" s="4">
        <v>200000</v>
      </c>
      <c r="O72" s="4">
        <f t="shared" si="43"/>
        <v>200000</v>
      </c>
      <c r="P72" s="4">
        <f t="shared" si="44"/>
        <v>2350000</v>
      </c>
      <c r="Q72" s="4">
        <f t="shared" si="37"/>
        <v>0</v>
      </c>
      <c r="R72" s="4"/>
      <c r="S72" s="4"/>
      <c r="T72" s="4">
        <f t="shared" si="35"/>
        <v>0</v>
      </c>
      <c r="U72" s="4">
        <f t="shared" si="24"/>
        <v>0</v>
      </c>
      <c r="V72" s="4">
        <f t="shared" si="26"/>
        <v>200000</v>
      </c>
      <c r="W72" s="4">
        <f t="shared" si="38"/>
        <v>200000</v>
      </c>
      <c r="X72" s="4"/>
      <c r="Y72" s="4"/>
      <c r="Z72" s="4"/>
      <c r="AA72" s="3"/>
      <c r="AB72" s="280" t="s">
        <v>870</v>
      </c>
      <c r="AC72" s="3">
        <v>732000</v>
      </c>
      <c r="AD72" s="524"/>
      <c r="AE72" s="378"/>
      <c r="AF72" s="378"/>
      <c r="AG72" s="378"/>
      <c r="AH72" s="4">
        <f t="shared" si="34"/>
        <v>0</v>
      </c>
      <c r="AI72" s="4">
        <f t="shared" si="45"/>
        <v>200000</v>
      </c>
      <c r="AJ72" s="4">
        <f t="shared" si="46"/>
        <v>200000</v>
      </c>
      <c r="AK72" s="3"/>
      <c r="AL72" s="3"/>
      <c r="AM72" s="3"/>
      <c r="AN72" s="3"/>
      <c r="AO72" s="4">
        <f>AI72</f>
        <v>200000</v>
      </c>
      <c r="AP72" s="3"/>
      <c r="AQ72" s="9"/>
      <c r="AR72" s="173">
        <v>200000</v>
      </c>
      <c r="AS72" s="173">
        <f t="shared" si="33"/>
        <v>0</v>
      </c>
      <c r="AT72" s="173">
        <f t="shared" si="31"/>
        <v>200000</v>
      </c>
      <c r="AU72" s="173">
        <f t="shared" si="47"/>
        <v>2350000</v>
      </c>
      <c r="AV72" s="173">
        <f t="shared" si="28"/>
        <v>200000</v>
      </c>
      <c r="AW72" s="173">
        <f t="shared" si="39"/>
        <v>200000</v>
      </c>
      <c r="AX72" s="184"/>
      <c r="AY72" s="184"/>
      <c r="AZ72" s="184"/>
      <c r="BA72" s="184"/>
      <c r="BB72" s="173">
        <f t="shared" si="48"/>
        <v>0</v>
      </c>
      <c r="BC72" s="4">
        <f t="shared" si="49"/>
        <v>200000</v>
      </c>
      <c r="BD72" s="4">
        <v>200000</v>
      </c>
      <c r="BE72" s="4"/>
      <c r="BF72" s="4"/>
      <c r="BG72" s="4"/>
      <c r="BH72" s="4">
        <f t="shared" si="25"/>
        <v>200000</v>
      </c>
      <c r="BI72" s="3"/>
      <c r="BJ72" s="4">
        <f t="shared" si="50"/>
        <v>200000</v>
      </c>
      <c r="BK72" s="4">
        <f t="shared" si="51"/>
        <v>0</v>
      </c>
      <c r="BL72" s="4">
        <f t="shared" si="52"/>
        <v>200000</v>
      </c>
      <c r="BM72" s="3"/>
      <c r="BN72" s="3"/>
      <c r="BO72" s="3"/>
      <c r="BP72" s="3"/>
    </row>
    <row r="73" spans="1:68" s="6" customFormat="1" ht="30" customHeight="1">
      <c r="A73" s="3">
        <v>68</v>
      </c>
      <c r="B73" s="31">
        <v>2114</v>
      </c>
      <c r="C73" s="3" t="s">
        <v>480</v>
      </c>
      <c r="D73" s="4">
        <v>1450000</v>
      </c>
      <c r="E73" s="4">
        <v>1450000</v>
      </c>
      <c r="F73" s="4">
        <f t="shared" si="36"/>
        <v>0</v>
      </c>
      <c r="G73" s="4">
        <v>700000</v>
      </c>
      <c r="H73" s="4">
        <v>0</v>
      </c>
      <c r="I73" s="4">
        <v>44352.36</v>
      </c>
      <c r="J73" s="4"/>
      <c r="K73" s="4">
        <f t="shared" si="40"/>
        <v>44352.36</v>
      </c>
      <c r="L73" s="4">
        <f t="shared" si="41"/>
        <v>44352.36</v>
      </c>
      <c r="M73" s="4">
        <f t="shared" si="42"/>
        <v>655647.64</v>
      </c>
      <c r="N73" s="4">
        <v>500000</v>
      </c>
      <c r="O73" s="4">
        <f t="shared" si="43"/>
        <v>500000</v>
      </c>
      <c r="P73" s="4">
        <f t="shared" si="44"/>
        <v>249999.99999999988</v>
      </c>
      <c r="Q73" s="4">
        <f t="shared" si="37"/>
        <v>655647.64</v>
      </c>
      <c r="R73" s="4"/>
      <c r="S73" s="4"/>
      <c r="T73" s="4">
        <f t="shared" si="35"/>
        <v>0</v>
      </c>
      <c r="U73" s="4">
        <f t="shared" si="24"/>
        <v>0</v>
      </c>
      <c r="V73" s="4">
        <f t="shared" si="26"/>
        <v>500000</v>
      </c>
      <c r="W73" s="4">
        <f t="shared" si="38"/>
        <v>500000</v>
      </c>
      <c r="X73" s="4"/>
      <c r="Y73" s="4"/>
      <c r="Z73" s="4"/>
      <c r="AA73" s="3"/>
      <c r="AB73" s="3" t="s">
        <v>479</v>
      </c>
      <c r="AC73" s="3">
        <v>732000</v>
      </c>
      <c r="AD73" s="524"/>
      <c r="AE73" s="378"/>
      <c r="AF73" s="378"/>
      <c r="AG73" s="378"/>
      <c r="AH73" s="4">
        <f t="shared" si="34"/>
        <v>0</v>
      </c>
      <c r="AI73" s="4">
        <f t="shared" si="45"/>
        <v>500000</v>
      </c>
      <c r="AJ73" s="4">
        <f t="shared" si="46"/>
        <v>500000</v>
      </c>
      <c r="AK73" s="7"/>
      <c r="AL73" s="7"/>
      <c r="AM73" s="7"/>
      <c r="AN73" s="7"/>
      <c r="AO73" s="4">
        <v>150000</v>
      </c>
      <c r="AP73" s="4">
        <v>655648</v>
      </c>
      <c r="AQ73" s="535" t="s">
        <v>1160</v>
      </c>
      <c r="AR73" s="173">
        <v>150000</v>
      </c>
      <c r="AS73" s="173">
        <f t="shared" si="33"/>
        <v>655647.64</v>
      </c>
      <c r="AT73" s="173">
        <f t="shared" si="31"/>
        <v>805647.64</v>
      </c>
      <c r="AU73" s="173">
        <f t="shared" si="47"/>
        <v>599999.99999999988</v>
      </c>
      <c r="AV73" s="173">
        <f t="shared" si="28"/>
        <v>150000</v>
      </c>
      <c r="AW73" s="173">
        <f t="shared" si="39"/>
        <v>150000</v>
      </c>
      <c r="AX73" s="184"/>
      <c r="AY73" s="184"/>
      <c r="AZ73" s="184"/>
      <c r="BA73" s="184"/>
      <c r="BB73" s="173">
        <f t="shared" si="48"/>
        <v>0</v>
      </c>
      <c r="BC73" s="4">
        <f t="shared" si="49"/>
        <v>150000</v>
      </c>
      <c r="BD73" s="4">
        <v>150000</v>
      </c>
      <c r="BE73" s="4"/>
      <c r="BF73" s="4"/>
      <c r="BG73" s="4"/>
      <c r="BH73" s="4">
        <f t="shared" si="25"/>
        <v>150000</v>
      </c>
      <c r="BI73" s="7"/>
      <c r="BJ73" s="4">
        <f t="shared" si="50"/>
        <v>150000</v>
      </c>
      <c r="BK73" s="4">
        <f t="shared" si="51"/>
        <v>0</v>
      </c>
      <c r="BL73" s="4">
        <f t="shared" si="52"/>
        <v>150000</v>
      </c>
      <c r="BM73" s="7"/>
      <c r="BN73" s="7"/>
      <c r="BO73" s="7"/>
      <c r="BP73" s="7"/>
    </row>
    <row r="74" spans="1:68" s="6" customFormat="1" ht="30" customHeight="1">
      <c r="A74" s="3">
        <v>69</v>
      </c>
      <c r="B74" s="31">
        <v>2116</v>
      </c>
      <c r="C74" s="3" t="s">
        <v>1618</v>
      </c>
      <c r="D74" s="4">
        <v>1700000</v>
      </c>
      <c r="E74" s="4">
        <v>1700000</v>
      </c>
      <c r="F74" s="4">
        <f t="shared" si="36"/>
        <v>0</v>
      </c>
      <c r="G74" s="4">
        <v>300000</v>
      </c>
      <c r="H74" s="8">
        <v>0</v>
      </c>
      <c r="I74" s="8"/>
      <c r="J74" s="8"/>
      <c r="K74" s="4">
        <f t="shared" si="40"/>
        <v>0</v>
      </c>
      <c r="L74" s="4">
        <f t="shared" si="41"/>
        <v>0</v>
      </c>
      <c r="M74" s="4">
        <f t="shared" si="42"/>
        <v>300000</v>
      </c>
      <c r="N74" s="4">
        <f>300000-300000</f>
        <v>0</v>
      </c>
      <c r="O74" s="4">
        <f t="shared" si="43"/>
        <v>0</v>
      </c>
      <c r="P74" s="4">
        <f t="shared" si="44"/>
        <v>1400000</v>
      </c>
      <c r="Q74" s="4">
        <f t="shared" si="37"/>
        <v>300000</v>
      </c>
      <c r="R74" s="4"/>
      <c r="S74" s="4"/>
      <c r="T74" s="4">
        <f t="shared" si="35"/>
        <v>0</v>
      </c>
      <c r="U74" s="4">
        <f t="shared" si="24"/>
        <v>0</v>
      </c>
      <c r="V74" s="4">
        <f t="shared" si="26"/>
        <v>0</v>
      </c>
      <c r="W74" s="4">
        <f t="shared" si="38"/>
        <v>0</v>
      </c>
      <c r="X74" s="8"/>
      <c r="Y74" s="8"/>
      <c r="Z74" s="8"/>
      <c r="AA74" s="8"/>
      <c r="AB74" s="3" t="s">
        <v>369</v>
      </c>
      <c r="AC74" s="3">
        <v>732000</v>
      </c>
      <c r="AD74" s="536"/>
      <c r="AE74" s="378"/>
      <c r="AF74" s="378"/>
      <c r="AG74" s="378"/>
      <c r="AH74" s="4">
        <f t="shared" si="34"/>
        <v>0</v>
      </c>
      <c r="AI74" s="4">
        <f t="shared" si="45"/>
        <v>0</v>
      </c>
      <c r="AJ74" s="4">
        <f t="shared" si="46"/>
        <v>0</v>
      </c>
      <c r="AK74" s="7"/>
      <c r="AL74" s="7"/>
      <c r="AM74" s="7"/>
      <c r="AN74" s="7"/>
      <c r="AO74" s="7"/>
      <c r="AP74" s="4">
        <f>M74</f>
        <v>300000</v>
      </c>
      <c r="AQ74" s="9"/>
      <c r="AR74" s="173"/>
      <c r="AS74" s="173">
        <f t="shared" si="33"/>
        <v>300000</v>
      </c>
      <c r="AT74" s="173">
        <f t="shared" si="31"/>
        <v>300000</v>
      </c>
      <c r="AU74" s="173">
        <f t="shared" si="47"/>
        <v>1400000</v>
      </c>
      <c r="AV74" s="173">
        <f t="shared" si="28"/>
        <v>0</v>
      </c>
      <c r="AW74" s="173">
        <f t="shared" si="39"/>
        <v>0</v>
      </c>
      <c r="AX74" s="184"/>
      <c r="AY74" s="184"/>
      <c r="AZ74" s="184"/>
      <c r="BA74" s="184"/>
      <c r="BB74" s="173">
        <f t="shared" si="48"/>
        <v>0</v>
      </c>
      <c r="BC74" s="4">
        <f t="shared" si="49"/>
        <v>0</v>
      </c>
      <c r="BD74" s="4"/>
      <c r="BE74" s="4"/>
      <c r="BF74" s="4"/>
      <c r="BG74" s="4"/>
      <c r="BH74" s="4">
        <f t="shared" si="25"/>
        <v>0</v>
      </c>
      <c r="BI74" s="7"/>
      <c r="BJ74" s="4">
        <f t="shared" si="50"/>
        <v>0</v>
      </c>
      <c r="BK74" s="4">
        <f t="shared" si="51"/>
        <v>0</v>
      </c>
      <c r="BL74" s="4">
        <f t="shared" si="52"/>
        <v>0</v>
      </c>
      <c r="BM74" s="7"/>
      <c r="BN74" s="7"/>
      <c r="BO74" s="7"/>
      <c r="BP74" s="7"/>
    </row>
    <row r="75" spans="1:68" s="6" customFormat="1" ht="30" customHeight="1">
      <c r="A75" s="3">
        <v>70</v>
      </c>
      <c r="B75" s="31">
        <v>2117</v>
      </c>
      <c r="C75" s="3" t="s">
        <v>370</v>
      </c>
      <c r="D75" s="4">
        <v>600000</v>
      </c>
      <c r="E75" s="4">
        <v>600000</v>
      </c>
      <c r="F75" s="4">
        <f t="shared" si="36"/>
        <v>0</v>
      </c>
      <c r="G75" s="4">
        <v>300000</v>
      </c>
      <c r="H75" s="4">
        <v>0</v>
      </c>
      <c r="I75" s="4"/>
      <c r="J75" s="4"/>
      <c r="K75" s="4">
        <f t="shared" si="40"/>
        <v>0</v>
      </c>
      <c r="L75" s="4">
        <f t="shared" si="41"/>
        <v>0</v>
      </c>
      <c r="M75" s="4">
        <f t="shared" si="42"/>
        <v>300000</v>
      </c>
      <c r="N75" s="4">
        <v>300000</v>
      </c>
      <c r="O75" s="4">
        <f t="shared" si="43"/>
        <v>300000</v>
      </c>
      <c r="P75" s="4">
        <f t="shared" si="44"/>
        <v>0</v>
      </c>
      <c r="Q75" s="4">
        <f t="shared" si="37"/>
        <v>300000</v>
      </c>
      <c r="R75" s="4"/>
      <c r="S75" s="4"/>
      <c r="T75" s="4">
        <f t="shared" si="35"/>
        <v>0</v>
      </c>
      <c r="U75" s="4">
        <f t="shared" si="24"/>
        <v>0</v>
      </c>
      <c r="V75" s="4">
        <f t="shared" si="26"/>
        <v>300000</v>
      </c>
      <c r="W75" s="4">
        <f t="shared" si="38"/>
        <v>300000</v>
      </c>
      <c r="X75" s="8"/>
      <c r="Y75" s="8"/>
      <c r="Z75" s="8"/>
      <c r="AA75" s="8"/>
      <c r="AB75" s="3" t="s">
        <v>891</v>
      </c>
      <c r="AC75" s="3">
        <v>732000</v>
      </c>
      <c r="AD75" s="536"/>
      <c r="AE75" s="378"/>
      <c r="AF75" s="378"/>
      <c r="AG75" s="378"/>
      <c r="AH75" s="4">
        <f t="shared" si="34"/>
        <v>0</v>
      </c>
      <c r="AI75" s="4">
        <f t="shared" si="45"/>
        <v>300000</v>
      </c>
      <c r="AJ75" s="4">
        <f t="shared" si="46"/>
        <v>300000</v>
      </c>
      <c r="AK75" s="7"/>
      <c r="AL75" s="7"/>
      <c r="AM75" s="7"/>
      <c r="AN75" s="7"/>
      <c r="AO75" s="4">
        <v>300000</v>
      </c>
      <c r="AP75" s="4">
        <v>300000</v>
      </c>
      <c r="AQ75" s="9"/>
      <c r="AR75" s="173">
        <v>300000</v>
      </c>
      <c r="AS75" s="173">
        <f t="shared" si="33"/>
        <v>300000</v>
      </c>
      <c r="AT75" s="173">
        <f t="shared" si="31"/>
        <v>600000</v>
      </c>
      <c r="AU75" s="173">
        <f t="shared" si="47"/>
        <v>0</v>
      </c>
      <c r="AV75" s="173">
        <f t="shared" si="28"/>
        <v>300000</v>
      </c>
      <c r="AW75" s="173">
        <f t="shared" si="39"/>
        <v>300000</v>
      </c>
      <c r="AX75" s="184"/>
      <c r="AY75" s="184"/>
      <c r="AZ75" s="184"/>
      <c r="BA75" s="184"/>
      <c r="BB75" s="173">
        <f t="shared" si="48"/>
        <v>0</v>
      </c>
      <c r="BC75" s="4">
        <f t="shared" si="49"/>
        <v>300000</v>
      </c>
      <c r="BD75" s="4">
        <v>300000</v>
      </c>
      <c r="BE75" s="4"/>
      <c r="BF75" s="4"/>
      <c r="BG75" s="4"/>
      <c r="BH75" s="4">
        <f t="shared" si="25"/>
        <v>300000</v>
      </c>
      <c r="BI75" s="7"/>
      <c r="BJ75" s="4">
        <f t="shared" si="50"/>
        <v>300000</v>
      </c>
      <c r="BK75" s="4">
        <f t="shared" si="51"/>
        <v>0</v>
      </c>
      <c r="BL75" s="4">
        <f t="shared" si="52"/>
        <v>300000</v>
      </c>
      <c r="BM75" s="7"/>
      <c r="BN75" s="7"/>
      <c r="BO75" s="7"/>
      <c r="BP75" s="7"/>
    </row>
    <row r="76" spans="1:68" s="5" customFormat="1" ht="30" customHeight="1">
      <c r="A76" s="3">
        <v>71</v>
      </c>
      <c r="B76" s="31">
        <v>2120</v>
      </c>
      <c r="C76" s="3" t="s">
        <v>1619</v>
      </c>
      <c r="D76" s="4">
        <v>1000000</v>
      </c>
      <c r="E76" s="4">
        <v>1000000</v>
      </c>
      <c r="F76" s="4">
        <f t="shared" si="36"/>
        <v>0</v>
      </c>
      <c r="G76" s="4">
        <v>0</v>
      </c>
      <c r="H76" s="4">
        <v>0</v>
      </c>
      <c r="I76" s="4"/>
      <c r="J76" s="4"/>
      <c r="K76" s="4">
        <f t="shared" si="40"/>
        <v>0</v>
      </c>
      <c r="L76" s="4">
        <f t="shared" si="41"/>
        <v>0</v>
      </c>
      <c r="M76" s="4">
        <f t="shared" si="42"/>
        <v>0</v>
      </c>
      <c r="N76" s="4">
        <f>1000000-1000000</f>
        <v>0</v>
      </c>
      <c r="O76" s="4">
        <f t="shared" si="43"/>
        <v>0</v>
      </c>
      <c r="P76" s="4">
        <f t="shared" si="44"/>
        <v>1000000</v>
      </c>
      <c r="Q76" s="4">
        <f t="shared" si="37"/>
        <v>0</v>
      </c>
      <c r="R76" s="4"/>
      <c r="S76" s="4"/>
      <c r="T76" s="4">
        <f t="shared" si="35"/>
        <v>0</v>
      </c>
      <c r="U76" s="4">
        <f t="shared" ref="U76:U86" si="53">Q76-M76+T76</f>
        <v>0</v>
      </c>
      <c r="V76" s="4">
        <f t="shared" si="26"/>
        <v>0</v>
      </c>
      <c r="W76" s="4">
        <f t="shared" si="38"/>
        <v>0</v>
      </c>
      <c r="X76" s="4"/>
      <c r="Y76" s="4"/>
      <c r="Z76" s="4"/>
      <c r="AA76" s="3"/>
      <c r="AB76" s="3" t="s">
        <v>515</v>
      </c>
      <c r="AC76" s="3">
        <v>732000</v>
      </c>
      <c r="AD76" s="524"/>
      <c r="AE76" s="378"/>
      <c r="AF76" s="378"/>
      <c r="AG76" s="378"/>
      <c r="AH76" s="4">
        <f t="shared" si="34"/>
        <v>0</v>
      </c>
      <c r="AI76" s="4">
        <f t="shared" si="45"/>
        <v>0</v>
      </c>
      <c r="AJ76" s="4">
        <f t="shared" si="46"/>
        <v>0</v>
      </c>
      <c r="AK76" s="3"/>
      <c r="AL76" s="3"/>
      <c r="AM76" s="3"/>
      <c r="AN76" s="3"/>
      <c r="AO76" s="3"/>
      <c r="AP76" s="3"/>
      <c r="AQ76" s="9"/>
      <c r="AR76" s="173"/>
      <c r="AS76" s="173">
        <f t="shared" si="33"/>
        <v>0</v>
      </c>
      <c r="AT76" s="173">
        <f t="shared" si="31"/>
        <v>0</v>
      </c>
      <c r="AU76" s="173">
        <f t="shared" si="47"/>
        <v>1000000</v>
      </c>
      <c r="AV76" s="173">
        <f t="shared" si="28"/>
        <v>0</v>
      </c>
      <c r="AW76" s="173">
        <f t="shared" si="39"/>
        <v>0</v>
      </c>
      <c r="AX76" s="184"/>
      <c r="AY76" s="184"/>
      <c r="AZ76" s="184"/>
      <c r="BA76" s="184"/>
      <c r="BB76" s="173">
        <f t="shared" si="48"/>
        <v>0</v>
      </c>
      <c r="BC76" s="4">
        <f t="shared" si="49"/>
        <v>0</v>
      </c>
      <c r="BD76" s="4"/>
      <c r="BE76" s="4"/>
      <c r="BF76" s="4"/>
      <c r="BG76" s="4"/>
      <c r="BH76" s="4">
        <f t="shared" si="25"/>
        <v>0</v>
      </c>
      <c r="BI76" s="3"/>
      <c r="BJ76" s="4">
        <f t="shared" si="50"/>
        <v>0</v>
      </c>
      <c r="BK76" s="4">
        <f t="shared" si="51"/>
        <v>0</v>
      </c>
      <c r="BL76" s="4">
        <f t="shared" si="52"/>
        <v>0</v>
      </c>
      <c r="BM76" s="3"/>
      <c r="BN76" s="3"/>
      <c r="BO76" s="3"/>
      <c r="BP76" s="3"/>
    </row>
    <row r="77" spans="1:68" s="5" customFormat="1" ht="30" customHeight="1">
      <c r="A77" s="3">
        <v>72</v>
      </c>
      <c r="B77" s="31">
        <v>2121</v>
      </c>
      <c r="C77" s="3" t="s">
        <v>520</v>
      </c>
      <c r="D77" s="4">
        <v>300000</v>
      </c>
      <c r="E77" s="4">
        <v>300000</v>
      </c>
      <c r="F77" s="4">
        <f t="shared" si="36"/>
        <v>0</v>
      </c>
      <c r="G77" s="4">
        <v>300000</v>
      </c>
      <c r="H77" s="4">
        <v>30864.6</v>
      </c>
      <c r="I77" s="4"/>
      <c r="J77" s="4">
        <v>26208</v>
      </c>
      <c r="K77" s="4">
        <f t="shared" si="40"/>
        <v>26208</v>
      </c>
      <c r="L77" s="4">
        <f t="shared" si="41"/>
        <v>57072.6</v>
      </c>
      <c r="M77" s="4">
        <f t="shared" si="42"/>
        <v>242927.4</v>
      </c>
      <c r="N77" s="4"/>
      <c r="O77" s="4">
        <f t="shared" si="43"/>
        <v>0</v>
      </c>
      <c r="P77" s="4">
        <f t="shared" si="44"/>
        <v>0</v>
      </c>
      <c r="Q77" s="4">
        <f t="shared" si="37"/>
        <v>242927.4</v>
      </c>
      <c r="R77" s="4"/>
      <c r="S77" s="4"/>
      <c r="T77" s="4">
        <f t="shared" si="35"/>
        <v>0</v>
      </c>
      <c r="U77" s="4">
        <f t="shared" si="53"/>
        <v>0</v>
      </c>
      <c r="V77" s="4">
        <f t="shared" si="26"/>
        <v>0</v>
      </c>
      <c r="W77" s="4">
        <f t="shared" si="38"/>
        <v>0</v>
      </c>
      <c r="X77" s="4"/>
      <c r="Y77" s="4"/>
      <c r="Z77" s="4"/>
      <c r="AA77" s="4"/>
      <c r="AB77" s="3" t="s">
        <v>524</v>
      </c>
      <c r="AC77" s="3">
        <v>742000</v>
      </c>
      <c r="AD77" s="524"/>
      <c r="AE77" s="378"/>
      <c r="AF77" s="378"/>
      <c r="AG77" s="378"/>
      <c r="AH77" s="4">
        <f t="shared" si="34"/>
        <v>0</v>
      </c>
      <c r="AI77" s="4">
        <f t="shared" si="45"/>
        <v>0</v>
      </c>
      <c r="AJ77" s="4">
        <f t="shared" si="46"/>
        <v>0</v>
      </c>
      <c r="AK77" s="3"/>
      <c r="AL77" s="3"/>
      <c r="AM77" s="3"/>
      <c r="AN77" s="3"/>
      <c r="AO77" s="3"/>
      <c r="AP77" s="4">
        <f>M77</f>
        <v>242927.4</v>
      </c>
      <c r="AQ77" s="535" t="s">
        <v>1161</v>
      </c>
      <c r="AR77" s="173"/>
      <c r="AS77" s="173">
        <f t="shared" si="33"/>
        <v>242927.4</v>
      </c>
      <c r="AT77" s="173">
        <f t="shared" si="31"/>
        <v>242927.4</v>
      </c>
      <c r="AU77" s="173">
        <f t="shared" si="47"/>
        <v>0</v>
      </c>
      <c r="AV77" s="173">
        <f t="shared" si="28"/>
        <v>0</v>
      </c>
      <c r="AW77" s="173">
        <f t="shared" si="39"/>
        <v>0</v>
      </c>
      <c r="AX77" s="184"/>
      <c r="AY77" s="184"/>
      <c r="AZ77" s="184"/>
      <c r="BA77" s="184"/>
      <c r="BB77" s="173">
        <f t="shared" si="48"/>
        <v>0</v>
      </c>
      <c r="BC77" s="4">
        <f t="shared" si="49"/>
        <v>0</v>
      </c>
      <c r="BD77" s="4"/>
      <c r="BE77" s="4"/>
      <c r="BF77" s="4"/>
      <c r="BG77" s="4"/>
      <c r="BH77" s="4">
        <f t="shared" ref="BH77:BH86" si="54">SUM(BD77:BF77)</f>
        <v>0</v>
      </c>
      <c r="BI77" s="3"/>
      <c r="BJ77" s="4">
        <f t="shared" si="50"/>
        <v>0</v>
      </c>
      <c r="BK77" s="4">
        <f t="shared" si="51"/>
        <v>0</v>
      </c>
      <c r="BL77" s="4">
        <f t="shared" si="52"/>
        <v>0</v>
      </c>
      <c r="BM77" s="3"/>
      <c r="BN77" s="3"/>
      <c r="BO77" s="3"/>
      <c r="BP77" s="3"/>
    </row>
    <row r="78" spans="1:68" s="5" customFormat="1" ht="30" customHeight="1">
      <c r="A78" s="3">
        <v>73</v>
      </c>
      <c r="B78" s="31">
        <v>2123</v>
      </c>
      <c r="C78" s="3" t="s">
        <v>608</v>
      </c>
      <c r="D78" s="4">
        <v>750000</v>
      </c>
      <c r="E78" s="4">
        <v>750000</v>
      </c>
      <c r="F78" s="4">
        <f t="shared" si="36"/>
        <v>0</v>
      </c>
      <c r="G78" s="4">
        <v>750000</v>
      </c>
      <c r="H78" s="4">
        <v>8170</v>
      </c>
      <c r="I78" s="4"/>
      <c r="J78" s="4"/>
      <c r="K78" s="4">
        <f t="shared" si="40"/>
        <v>0</v>
      </c>
      <c r="L78" s="4">
        <f t="shared" si="41"/>
        <v>8170</v>
      </c>
      <c r="M78" s="4">
        <f t="shared" si="42"/>
        <v>741830</v>
      </c>
      <c r="N78" s="4"/>
      <c r="O78" s="4">
        <f t="shared" si="43"/>
        <v>0</v>
      </c>
      <c r="P78" s="4">
        <f t="shared" si="44"/>
        <v>0</v>
      </c>
      <c r="Q78" s="4">
        <f t="shared" si="37"/>
        <v>741830</v>
      </c>
      <c r="R78" s="4"/>
      <c r="S78" s="4"/>
      <c r="T78" s="4">
        <f>SUM(R78:S78)</f>
        <v>0</v>
      </c>
      <c r="U78" s="4">
        <f t="shared" si="53"/>
        <v>0</v>
      </c>
      <c r="V78" s="4">
        <f>N78-U78</f>
        <v>0</v>
      </c>
      <c r="W78" s="4">
        <f>V78-AA78-X78-Z78</f>
        <v>0</v>
      </c>
      <c r="X78" s="4"/>
      <c r="Y78" s="4"/>
      <c r="Z78" s="4"/>
      <c r="AA78" s="4"/>
      <c r="AB78" s="3" t="s">
        <v>534</v>
      </c>
      <c r="AC78" s="3">
        <v>742000</v>
      </c>
      <c r="AD78" s="524"/>
      <c r="AE78" s="378"/>
      <c r="AF78" s="378"/>
      <c r="AG78" s="378"/>
      <c r="AH78" s="4">
        <f t="shared" si="34"/>
        <v>0</v>
      </c>
      <c r="AI78" s="4">
        <f t="shared" si="45"/>
        <v>0</v>
      </c>
      <c r="AJ78" s="4">
        <f t="shared" si="46"/>
        <v>0</v>
      </c>
      <c r="AK78" s="3"/>
      <c r="AL78" s="3"/>
      <c r="AM78" s="3"/>
      <c r="AN78" s="3"/>
      <c r="AO78" s="3"/>
      <c r="AP78" s="4">
        <f>M78</f>
        <v>741830</v>
      </c>
      <c r="AQ78" s="535" t="s">
        <v>1161</v>
      </c>
      <c r="AR78" s="173"/>
      <c r="AS78" s="173">
        <f t="shared" si="33"/>
        <v>741830</v>
      </c>
      <c r="AT78" s="173">
        <f t="shared" si="31"/>
        <v>741830</v>
      </c>
      <c r="AU78" s="173">
        <f t="shared" si="47"/>
        <v>0</v>
      </c>
      <c r="AV78" s="173">
        <f t="shared" si="28"/>
        <v>0</v>
      </c>
      <c r="AW78" s="173">
        <f t="shared" si="39"/>
        <v>0</v>
      </c>
      <c r="AX78" s="184"/>
      <c r="AY78" s="184"/>
      <c r="AZ78" s="184"/>
      <c r="BA78" s="184"/>
      <c r="BB78" s="173">
        <f t="shared" si="48"/>
        <v>0</v>
      </c>
      <c r="BC78" s="4">
        <f t="shared" si="49"/>
        <v>0</v>
      </c>
      <c r="BD78" s="4"/>
      <c r="BE78" s="4"/>
      <c r="BF78" s="4"/>
      <c r="BG78" s="4"/>
      <c r="BH78" s="4">
        <f t="shared" si="54"/>
        <v>0</v>
      </c>
      <c r="BI78" s="3"/>
      <c r="BJ78" s="4">
        <f t="shared" si="50"/>
        <v>0</v>
      </c>
      <c r="BK78" s="4">
        <f t="shared" si="51"/>
        <v>0</v>
      </c>
      <c r="BL78" s="4">
        <f t="shared" si="52"/>
        <v>0</v>
      </c>
      <c r="BM78" s="3"/>
      <c r="BN78" s="3"/>
      <c r="BO78" s="3"/>
      <c r="BP78" s="3"/>
    </row>
    <row r="79" spans="1:68" s="5" customFormat="1" ht="30" customHeight="1">
      <c r="A79" s="3">
        <v>74</v>
      </c>
      <c r="B79" s="31">
        <v>2141</v>
      </c>
      <c r="C79" s="3" t="s">
        <v>676</v>
      </c>
      <c r="D79" s="4">
        <v>640000</v>
      </c>
      <c r="E79" s="4">
        <v>640000</v>
      </c>
      <c r="F79" s="4">
        <f>D79-E79</f>
        <v>0</v>
      </c>
      <c r="G79" s="4">
        <v>0</v>
      </c>
      <c r="H79" s="4">
        <v>0</v>
      </c>
      <c r="I79" s="4"/>
      <c r="J79" s="4"/>
      <c r="K79" s="4">
        <f t="shared" si="40"/>
        <v>0</v>
      </c>
      <c r="L79" s="4">
        <f t="shared" si="41"/>
        <v>0</v>
      </c>
      <c r="M79" s="4">
        <f t="shared" si="42"/>
        <v>0</v>
      </c>
      <c r="N79" s="4">
        <v>350000</v>
      </c>
      <c r="O79" s="4">
        <f t="shared" si="43"/>
        <v>350000</v>
      </c>
      <c r="P79" s="4">
        <f t="shared" si="44"/>
        <v>290000</v>
      </c>
      <c r="Q79" s="4">
        <f t="shared" si="37"/>
        <v>0</v>
      </c>
      <c r="R79" s="4"/>
      <c r="S79" s="4"/>
      <c r="T79" s="4">
        <f>SUM(R79:S79)</f>
        <v>0</v>
      </c>
      <c r="U79" s="4">
        <f t="shared" si="53"/>
        <v>0</v>
      </c>
      <c r="V79" s="4">
        <f>N79-U79</f>
        <v>350000</v>
      </c>
      <c r="W79" s="4">
        <f>V79-AA79-X79-Z79</f>
        <v>350000</v>
      </c>
      <c r="X79" s="4"/>
      <c r="Y79" s="4"/>
      <c r="Z79" s="4"/>
      <c r="AA79" s="4"/>
      <c r="AB79" s="3" t="s">
        <v>807</v>
      </c>
      <c r="AC79" s="3">
        <v>732000</v>
      </c>
      <c r="AD79" s="524"/>
      <c r="AE79" s="378"/>
      <c r="AF79" s="378"/>
      <c r="AG79" s="378"/>
      <c r="AH79" s="4">
        <f t="shared" si="34"/>
        <v>0</v>
      </c>
      <c r="AI79" s="4">
        <f t="shared" si="45"/>
        <v>350000</v>
      </c>
      <c r="AJ79" s="4">
        <f t="shared" si="46"/>
        <v>350000</v>
      </c>
      <c r="AK79" s="3"/>
      <c r="AL79" s="3"/>
      <c r="AM79" s="3"/>
      <c r="AN79" s="3"/>
      <c r="AO79" s="4">
        <v>350000</v>
      </c>
      <c r="AP79" s="3"/>
      <c r="AQ79" s="535" t="s">
        <v>1162</v>
      </c>
      <c r="AR79" s="173">
        <f>350000-350000</f>
        <v>0</v>
      </c>
      <c r="AS79" s="173">
        <f t="shared" si="33"/>
        <v>0</v>
      </c>
      <c r="AT79" s="173">
        <f t="shared" si="31"/>
        <v>0</v>
      </c>
      <c r="AU79" s="173">
        <f t="shared" si="47"/>
        <v>640000</v>
      </c>
      <c r="AV79" s="173">
        <f t="shared" si="28"/>
        <v>0</v>
      </c>
      <c r="AW79" s="173">
        <f t="shared" si="39"/>
        <v>0</v>
      </c>
      <c r="AX79" s="184"/>
      <c r="AY79" s="184"/>
      <c r="AZ79" s="184"/>
      <c r="BA79" s="184"/>
      <c r="BB79" s="173">
        <f t="shared" si="48"/>
        <v>0</v>
      </c>
      <c r="BC79" s="4">
        <f t="shared" si="49"/>
        <v>0</v>
      </c>
      <c r="BD79" s="4"/>
      <c r="BE79" s="4"/>
      <c r="BF79" s="4"/>
      <c r="BG79" s="4"/>
      <c r="BH79" s="4">
        <f t="shared" si="54"/>
        <v>0</v>
      </c>
      <c r="BI79" s="3"/>
      <c r="BJ79" s="4">
        <f t="shared" si="50"/>
        <v>0</v>
      </c>
      <c r="BK79" s="4">
        <f t="shared" si="51"/>
        <v>0</v>
      </c>
      <c r="BL79" s="4">
        <f t="shared" si="52"/>
        <v>0</v>
      </c>
      <c r="BM79" s="3"/>
      <c r="BN79" s="3"/>
      <c r="BO79" s="3"/>
      <c r="BP79" s="3"/>
    </row>
    <row r="80" spans="1:68" s="5" customFormat="1" ht="30" customHeight="1">
      <c r="A80" s="3">
        <v>75</v>
      </c>
      <c r="B80" s="31">
        <v>2142</v>
      </c>
      <c r="C80" s="3" t="s">
        <v>778</v>
      </c>
      <c r="D80" s="4">
        <v>2400000</v>
      </c>
      <c r="E80" s="4">
        <v>2400000</v>
      </c>
      <c r="F80" s="4">
        <f>D80-E80</f>
        <v>0</v>
      </c>
      <c r="G80" s="4">
        <v>0</v>
      </c>
      <c r="H80" s="4">
        <v>0</v>
      </c>
      <c r="I80" s="4"/>
      <c r="J80" s="4"/>
      <c r="K80" s="4">
        <f t="shared" si="40"/>
        <v>0</v>
      </c>
      <c r="L80" s="4">
        <f t="shared" si="41"/>
        <v>0</v>
      </c>
      <c r="M80" s="4">
        <f t="shared" si="42"/>
        <v>0</v>
      </c>
      <c r="N80" s="4">
        <v>2400000</v>
      </c>
      <c r="O80" s="4">
        <f t="shared" si="43"/>
        <v>2400000</v>
      </c>
      <c r="P80" s="4">
        <f t="shared" si="44"/>
        <v>0</v>
      </c>
      <c r="Q80" s="4">
        <f t="shared" si="37"/>
        <v>0</v>
      </c>
      <c r="R80" s="4"/>
      <c r="S80" s="4"/>
      <c r="T80" s="4">
        <f>SUM(R80:S80)</f>
        <v>0</v>
      </c>
      <c r="U80" s="4">
        <f t="shared" si="53"/>
        <v>0</v>
      </c>
      <c r="V80" s="4">
        <f>N80-U80</f>
        <v>2400000</v>
      </c>
      <c r="W80" s="4">
        <f>V80-AA80-X80-Z80</f>
        <v>2400000</v>
      </c>
      <c r="X80" s="4"/>
      <c r="Y80" s="4"/>
      <c r="Z80" s="4"/>
      <c r="AA80" s="4"/>
      <c r="AB80" s="3" t="s">
        <v>779</v>
      </c>
      <c r="AC80" s="3">
        <v>742000</v>
      </c>
      <c r="AD80" s="524"/>
      <c r="AE80" s="378"/>
      <c r="AF80" s="378"/>
      <c r="AG80" s="378"/>
      <c r="AH80" s="4">
        <f t="shared" si="34"/>
        <v>0</v>
      </c>
      <c r="AI80" s="4">
        <f t="shared" si="45"/>
        <v>2400000</v>
      </c>
      <c r="AJ80" s="4">
        <f t="shared" si="46"/>
        <v>2400000</v>
      </c>
      <c r="AK80" s="3"/>
      <c r="AL80" s="3"/>
      <c r="AM80" s="3"/>
      <c r="AN80" s="3"/>
      <c r="AO80" s="4">
        <f>AI80</f>
        <v>2400000</v>
      </c>
      <c r="AP80" s="3"/>
      <c r="AQ80" s="9"/>
      <c r="AR80" s="173">
        <v>2400000</v>
      </c>
      <c r="AS80" s="173">
        <f t="shared" si="33"/>
        <v>0</v>
      </c>
      <c r="AT80" s="173">
        <f t="shared" si="31"/>
        <v>2400000</v>
      </c>
      <c r="AU80" s="173">
        <f t="shared" si="47"/>
        <v>0</v>
      </c>
      <c r="AV80" s="173">
        <f t="shared" si="28"/>
        <v>2400000</v>
      </c>
      <c r="AW80" s="173">
        <f t="shared" si="39"/>
        <v>2400000</v>
      </c>
      <c r="AX80" s="184"/>
      <c r="AY80" s="184"/>
      <c r="AZ80" s="184"/>
      <c r="BA80" s="184"/>
      <c r="BB80" s="173">
        <f t="shared" si="48"/>
        <v>0</v>
      </c>
      <c r="BC80" s="4">
        <f t="shared" si="49"/>
        <v>2400000</v>
      </c>
      <c r="BD80" s="4">
        <v>2400000</v>
      </c>
      <c r="BE80" s="4"/>
      <c r="BF80" s="4"/>
      <c r="BG80" s="4"/>
      <c r="BH80" s="4">
        <f t="shared" si="54"/>
        <v>2400000</v>
      </c>
      <c r="BI80" s="3"/>
      <c r="BJ80" s="4">
        <f t="shared" si="50"/>
        <v>2400000</v>
      </c>
      <c r="BK80" s="4">
        <f t="shared" si="51"/>
        <v>0</v>
      </c>
      <c r="BL80" s="4">
        <f t="shared" si="52"/>
        <v>2400000</v>
      </c>
      <c r="BM80" s="3"/>
      <c r="BN80" s="3"/>
      <c r="BO80" s="3"/>
      <c r="BP80" s="3"/>
    </row>
    <row r="81" spans="1:68" s="5" customFormat="1" ht="30" customHeight="1">
      <c r="A81" s="3">
        <v>76</v>
      </c>
      <c r="B81" s="31">
        <v>2143</v>
      </c>
      <c r="C81" s="3" t="s">
        <v>780</v>
      </c>
      <c r="D81" s="4">
        <v>500000</v>
      </c>
      <c r="E81" s="4">
        <v>500000</v>
      </c>
      <c r="F81" s="4">
        <f t="shared" ref="F81:F86" si="55">D81-E81</f>
        <v>0</v>
      </c>
      <c r="G81" s="4">
        <v>0</v>
      </c>
      <c r="H81" s="4">
        <v>0</v>
      </c>
      <c r="I81" s="4"/>
      <c r="J81" s="4"/>
      <c r="K81" s="4">
        <f t="shared" si="40"/>
        <v>0</v>
      </c>
      <c r="L81" s="4">
        <f t="shared" si="41"/>
        <v>0</v>
      </c>
      <c r="M81" s="4">
        <f t="shared" si="42"/>
        <v>0</v>
      </c>
      <c r="N81" s="4">
        <v>500000</v>
      </c>
      <c r="O81" s="4">
        <f t="shared" si="43"/>
        <v>500000</v>
      </c>
      <c r="P81" s="4">
        <f t="shared" si="44"/>
        <v>0</v>
      </c>
      <c r="Q81" s="4">
        <f t="shared" si="37"/>
        <v>0</v>
      </c>
      <c r="R81" s="4"/>
      <c r="S81" s="4"/>
      <c r="T81" s="4">
        <f t="shared" ref="T81:T86" si="56">SUM(R81:S81)</f>
        <v>0</v>
      </c>
      <c r="U81" s="4">
        <f t="shared" si="53"/>
        <v>0</v>
      </c>
      <c r="V81" s="4">
        <f t="shared" ref="V81:V86" si="57">N81-U81</f>
        <v>500000</v>
      </c>
      <c r="W81" s="4">
        <f t="shared" ref="W81:W86" si="58">V81-AA81-X81-Z81</f>
        <v>500000</v>
      </c>
      <c r="X81" s="4"/>
      <c r="Y81" s="4"/>
      <c r="Z81" s="4"/>
      <c r="AA81" s="4"/>
      <c r="AB81" s="3" t="s">
        <v>892</v>
      </c>
      <c r="AC81" s="3">
        <v>732000</v>
      </c>
      <c r="AD81" s="524"/>
      <c r="AE81" s="378"/>
      <c r="AF81" s="378"/>
      <c r="AG81" s="378"/>
      <c r="AH81" s="4">
        <f t="shared" si="34"/>
        <v>0</v>
      </c>
      <c r="AI81" s="4">
        <f t="shared" si="45"/>
        <v>500000</v>
      </c>
      <c r="AJ81" s="4">
        <f t="shared" si="46"/>
        <v>500000</v>
      </c>
      <c r="AK81" s="3"/>
      <c r="AL81" s="3"/>
      <c r="AM81" s="3"/>
      <c r="AN81" s="3"/>
      <c r="AO81" s="4">
        <f>AI81</f>
        <v>500000</v>
      </c>
      <c r="AP81" s="3"/>
      <c r="AQ81" s="9"/>
      <c r="AR81" s="173">
        <v>500000</v>
      </c>
      <c r="AS81" s="173">
        <f t="shared" si="33"/>
        <v>0</v>
      </c>
      <c r="AT81" s="173">
        <f t="shared" si="31"/>
        <v>500000</v>
      </c>
      <c r="AU81" s="173">
        <f t="shared" si="47"/>
        <v>0</v>
      </c>
      <c r="AV81" s="173">
        <f t="shared" si="28"/>
        <v>500000</v>
      </c>
      <c r="AW81" s="173">
        <f t="shared" si="39"/>
        <v>500000</v>
      </c>
      <c r="AX81" s="184"/>
      <c r="AY81" s="184"/>
      <c r="AZ81" s="184"/>
      <c r="BA81" s="184"/>
      <c r="BB81" s="173">
        <f t="shared" si="48"/>
        <v>0</v>
      </c>
      <c r="BC81" s="4">
        <f t="shared" si="49"/>
        <v>500000</v>
      </c>
      <c r="BD81" s="4">
        <v>500000</v>
      </c>
      <c r="BE81" s="4"/>
      <c r="BF81" s="4"/>
      <c r="BG81" s="4"/>
      <c r="BH81" s="4">
        <f t="shared" si="54"/>
        <v>500000</v>
      </c>
      <c r="BI81" s="3"/>
      <c r="BJ81" s="4">
        <f t="shared" si="50"/>
        <v>500000</v>
      </c>
      <c r="BK81" s="4">
        <f t="shared" si="51"/>
        <v>0</v>
      </c>
      <c r="BL81" s="4">
        <f t="shared" si="52"/>
        <v>500000</v>
      </c>
      <c r="BM81" s="3"/>
      <c r="BN81" s="3"/>
      <c r="BO81" s="3"/>
      <c r="BP81" s="3"/>
    </row>
    <row r="82" spans="1:68" s="5" customFormat="1" ht="30" customHeight="1">
      <c r="A82" s="3">
        <v>77</v>
      </c>
      <c r="B82" s="31">
        <v>2144</v>
      </c>
      <c r="C82" s="3" t="s">
        <v>786</v>
      </c>
      <c r="D82" s="4">
        <v>500000</v>
      </c>
      <c r="E82" s="4">
        <v>500000</v>
      </c>
      <c r="F82" s="4">
        <f t="shared" si="55"/>
        <v>0</v>
      </c>
      <c r="G82" s="4">
        <v>0</v>
      </c>
      <c r="H82" s="4">
        <v>0</v>
      </c>
      <c r="I82" s="4"/>
      <c r="J82" s="4"/>
      <c r="K82" s="4">
        <f t="shared" si="40"/>
        <v>0</v>
      </c>
      <c r="L82" s="4">
        <f t="shared" si="41"/>
        <v>0</v>
      </c>
      <c r="M82" s="4">
        <f t="shared" si="42"/>
        <v>0</v>
      </c>
      <c r="N82" s="4">
        <v>500000</v>
      </c>
      <c r="O82" s="4">
        <f t="shared" si="43"/>
        <v>500000</v>
      </c>
      <c r="P82" s="4">
        <f t="shared" si="44"/>
        <v>0</v>
      </c>
      <c r="Q82" s="4">
        <f t="shared" si="37"/>
        <v>0</v>
      </c>
      <c r="R82" s="4"/>
      <c r="S82" s="4"/>
      <c r="T82" s="4">
        <f t="shared" si="56"/>
        <v>0</v>
      </c>
      <c r="U82" s="4">
        <f t="shared" si="53"/>
        <v>0</v>
      </c>
      <c r="V82" s="4">
        <f t="shared" si="57"/>
        <v>500000</v>
      </c>
      <c r="W82" s="4">
        <f t="shared" si="58"/>
        <v>500000</v>
      </c>
      <c r="X82" s="4"/>
      <c r="Y82" s="4"/>
      <c r="Z82" s="4"/>
      <c r="AA82" s="4"/>
      <c r="AB82" s="3" t="s">
        <v>893</v>
      </c>
      <c r="AC82" s="3">
        <v>732000</v>
      </c>
      <c r="AD82" s="524"/>
      <c r="AE82" s="378"/>
      <c r="AF82" s="378"/>
      <c r="AG82" s="378"/>
      <c r="AH82" s="4">
        <f t="shared" si="34"/>
        <v>0</v>
      </c>
      <c r="AI82" s="4">
        <f t="shared" si="45"/>
        <v>500000</v>
      </c>
      <c r="AJ82" s="4">
        <f t="shared" si="46"/>
        <v>500000</v>
      </c>
      <c r="AK82" s="3"/>
      <c r="AL82" s="3"/>
      <c r="AM82" s="3"/>
      <c r="AN82" s="3"/>
      <c r="AO82" s="4">
        <f>AI82</f>
        <v>500000</v>
      </c>
      <c r="AP82" s="3"/>
      <c r="AQ82" s="9"/>
      <c r="AR82" s="173">
        <v>500000</v>
      </c>
      <c r="AS82" s="173">
        <f t="shared" si="33"/>
        <v>0</v>
      </c>
      <c r="AT82" s="173">
        <f t="shared" si="31"/>
        <v>500000</v>
      </c>
      <c r="AU82" s="173">
        <f t="shared" si="47"/>
        <v>0</v>
      </c>
      <c r="AV82" s="173">
        <f t="shared" si="28"/>
        <v>500000</v>
      </c>
      <c r="AW82" s="173">
        <f t="shared" si="39"/>
        <v>500000</v>
      </c>
      <c r="AX82" s="184"/>
      <c r="AY82" s="184"/>
      <c r="AZ82" s="184"/>
      <c r="BA82" s="184"/>
      <c r="BB82" s="173">
        <f t="shared" si="48"/>
        <v>0</v>
      </c>
      <c r="BC82" s="4">
        <f t="shared" si="49"/>
        <v>500000</v>
      </c>
      <c r="BD82" s="4">
        <v>500000</v>
      </c>
      <c r="BE82" s="4"/>
      <c r="BF82" s="4"/>
      <c r="BG82" s="4"/>
      <c r="BH82" s="4">
        <f t="shared" si="54"/>
        <v>500000</v>
      </c>
      <c r="BI82" s="3"/>
      <c r="BJ82" s="4">
        <f t="shared" si="50"/>
        <v>500000</v>
      </c>
      <c r="BK82" s="4">
        <f t="shared" si="51"/>
        <v>0</v>
      </c>
      <c r="BL82" s="4">
        <f t="shared" si="52"/>
        <v>500000</v>
      </c>
      <c r="BM82" s="3"/>
      <c r="BN82" s="3"/>
      <c r="BO82" s="3"/>
      <c r="BP82" s="3"/>
    </row>
    <row r="83" spans="1:68" s="5" customFormat="1" ht="30" customHeight="1">
      <c r="A83" s="3">
        <v>78</v>
      </c>
      <c r="B83" s="31">
        <v>2145</v>
      </c>
      <c r="C83" s="3" t="s">
        <v>1620</v>
      </c>
      <c r="D83" s="4">
        <v>2050000</v>
      </c>
      <c r="E83" s="4">
        <v>2050000</v>
      </c>
      <c r="F83" s="4">
        <f t="shared" si="55"/>
        <v>0</v>
      </c>
      <c r="G83" s="4">
        <v>0</v>
      </c>
      <c r="H83" s="4">
        <v>0</v>
      </c>
      <c r="I83" s="4"/>
      <c r="J83" s="4"/>
      <c r="K83" s="4">
        <f t="shared" si="40"/>
        <v>0</v>
      </c>
      <c r="L83" s="4">
        <f t="shared" si="41"/>
        <v>0</v>
      </c>
      <c r="M83" s="4">
        <f t="shared" si="42"/>
        <v>0</v>
      </c>
      <c r="N83" s="4">
        <f>900000-400000</f>
        <v>500000</v>
      </c>
      <c r="O83" s="4">
        <f t="shared" si="43"/>
        <v>500000</v>
      </c>
      <c r="P83" s="4">
        <f t="shared" si="44"/>
        <v>1550000</v>
      </c>
      <c r="Q83" s="4">
        <f t="shared" si="37"/>
        <v>0</v>
      </c>
      <c r="R83" s="4"/>
      <c r="S83" s="4"/>
      <c r="T83" s="4">
        <f t="shared" si="56"/>
        <v>0</v>
      </c>
      <c r="U83" s="4">
        <f t="shared" si="53"/>
        <v>0</v>
      </c>
      <c r="V83" s="4">
        <f t="shared" si="57"/>
        <v>500000</v>
      </c>
      <c r="W83" s="4">
        <f t="shared" si="58"/>
        <v>500000</v>
      </c>
      <c r="X83" s="4"/>
      <c r="Y83" s="4"/>
      <c r="Z83" s="4"/>
      <c r="AA83" s="4"/>
      <c r="AB83" s="3" t="s">
        <v>800</v>
      </c>
      <c r="AC83" s="3">
        <v>742000</v>
      </c>
      <c r="AD83" s="524"/>
      <c r="AE83" s="378"/>
      <c r="AF83" s="378"/>
      <c r="AG83" s="378"/>
      <c r="AH83" s="4">
        <f t="shared" si="34"/>
        <v>0</v>
      </c>
      <c r="AI83" s="4">
        <f t="shared" si="45"/>
        <v>500000</v>
      </c>
      <c r="AJ83" s="4">
        <f t="shared" si="46"/>
        <v>500000</v>
      </c>
      <c r="AK83" s="3"/>
      <c r="AL83" s="3"/>
      <c r="AM83" s="3"/>
      <c r="AN83" s="3"/>
      <c r="AO83" s="4">
        <f>AI83</f>
        <v>500000</v>
      </c>
      <c r="AP83" s="3"/>
      <c r="AQ83" s="9"/>
      <c r="AR83" s="173">
        <v>500000</v>
      </c>
      <c r="AS83" s="173">
        <f t="shared" si="33"/>
        <v>0</v>
      </c>
      <c r="AT83" s="173">
        <f t="shared" si="31"/>
        <v>500000</v>
      </c>
      <c r="AU83" s="173">
        <f t="shared" si="47"/>
        <v>1550000</v>
      </c>
      <c r="AV83" s="173">
        <f>AR83+AS83-M83</f>
        <v>500000</v>
      </c>
      <c r="AW83" s="173">
        <f t="shared" si="39"/>
        <v>500000</v>
      </c>
      <c r="AX83" s="184"/>
      <c r="AY83" s="184"/>
      <c r="AZ83" s="184"/>
      <c r="BA83" s="184"/>
      <c r="BB83" s="173">
        <f t="shared" si="48"/>
        <v>0</v>
      </c>
      <c r="BC83" s="4">
        <f t="shared" si="49"/>
        <v>500000</v>
      </c>
      <c r="BD83" s="4">
        <v>500000</v>
      </c>
      <c r="BE83" s="4"/>
      <c r="BF83" s="4"/>
      <c r="BG83" s="4"/>
      <c r="BH83" s="4">
        <f t="shared" si="54"/>
        <v>500000</v>
      </c>
      <c r="BI83" s="3"/>
      <c r="BJ83" s="4">
        <f t="shared" si="50"/>
        <v>500000</v>
      </c>
      <c r="BK83" s="4">
        <f t="shared" si="51"/>
        <v>0</v>
      </c>
      <c r="BL83" s="4">
        <f t="shared" si="52"/>
        <v>500000</v>
      </c>
      <c r="BM83" s="3"/>
      <c r="BN83" s="3"/>
      <c r="BO83" s="3"/>
      <c r="BP83" s="3"/>
    </row>
    <row r="84" spans="1:68" s="5" customFormat="1" ht="30" customHeight="1">
      <c r="A84" s="3">
        <v>79</v>
      </c>
      <c r="B84" s="31">
        <v>2146</v>
      </c>
      <c r="C84" s="3" t="s">
        <v>801</v>
      </c>
      <c r="D84" s="4">
        <v>220000</v>
      </c>
      <c r="E84" s="4">
        <v>220000</v>
      </c>
      <c r="F84" s="4">
        <f>D84-E84</f>
        <v>0</v>
      </c>
      <c r="G84" s="4">
        <v>0</v>
      </c>
      <c r="H84" s="4">
        <v>0</v>
      </c>
      <c r="I84" s="4"/>
      <c r="J84" s="4"/>
      <c r="K84" s="4">
        <f t="shared" si="40"/>
        <v>0</v>
      </c>
      <c r="L84" s="4">
        <f t="shared" si="41"/>
        <v>0</v>
      </c>
      <c r="M84" s="4">
        <f t="shared" si="42"/>
        <v>0</v>
      </c>
      <c r="N84" s="4">
        <v>130000</v>
      </c>
      <c r="O84" s="4">
        <f t="shared" si="43"/>
        <v>130000</v>
      </c>
      <c r="P84" s="4">
        <f t="shared" si="44"/>
        <v>90000</v>
      </c>
      <c r="Q84" s="4">
        <f t="shared" si="37"/>
        <v>0</v>
      </c>
      <c r="R84" s="4"/>
      <c r="S84" s="4"/>
      <c r="T84" s="4">
        <f>SUM(R84:S84)</f>
        <v>0</v>
      </c>
      <c r="U84" s="4">
        <f t="shared" si="53"/>
        <v>0</v>
      </c>
      <c r="V84" s="4">
        <f>N84-U84</f>
        <v>130000</v>
      </c>
      <c r="W84" s="4">
        <f>V84-AA84-X84-Z84</f>
        <v>130000</v>
      </c>
      <c r="X84" s="4"/>
      <c r="Y84" s="4"/>
      <c r="Z84" s="4"/>
      <c r="AA84" s="4"/>
      <c r="AB84" s="3" t="s">
        <v>802</v>
      </c>
      <c r="AC84" s="3">
        <v>732000</v>
      </c>
      <c r="AD84" s="524"/>
      <c r="AE84" s="378"/>
      <c r="AF84" s="378"/>
      <c r="AG84" s="378"/>
      <c r="AH84" s="4">
        <f>SUM(AD84:AG84)</f>
        <v>0</v>
      </c>
      <c r="AI84" s="4">
        <f>V84-AH84</f>
        <v>130000</v>
      </c>
      <c r="AJ84" s="4">
        <f t="shared" si="46"/>
        <v>130000</v>
      </c>
      <c r="AK84" s="3"/>
      <c r="AL84" s="3"/>
      <c r="AM84" s="3"/>
      <c r="AN84" s="3"/>
      <c r="AO84" s="4">
        <f>AI84</f>
        <v>130000</v>
      </c>
      <c r="AP84" s="3"/>
      <c r="AQ84" s="9"/>
      <c r="AR84" s="173">
        <v>130000</v>
      </c>
      <c r="AS84" s="173">
        <f t="shared" si="33"/>
        <v>0</v>
      </c>
      <c r="AT84" s="173">
        <f t="shared" si="31"/>
        <v>130000</v>
      </c>
      <c r="AU84" s="173">
        <f t="shared" si="47"/>
        <v>90000</v>
      </c>
      <c r="AV84" s="173">
        <f>AR84+AS84-M84</f>
        <v>130000</v>
      </c>
      <c r="AW84" s="173">
        <f t="shared" si="39"/>
        <v>130000</v>
      </c>
      <c r="AX84" s="184"/>
      <c r="AY84" s="184"/>
      <c r="AZ84" s="184"/>
      <c r="BA84" s="184"/>
      <c r="BB84" s="173">
        <f t="shared" si="48"/>
        <v>0</v>
      </c>
      <c r="BC84" s="4">
        <f t="shared" si="49"/>
        <v>130000</v>
      </c>
      <c r="BD84" s="4">
        <v>130000</v>
      </c>
      <c r="BE84" s="4"/>
      <c r="BF84" s="4"/>
      <c r="BG84" s="4"/>
      <c r="BH84" s="4">
        <f t="shared" si="54"/>
        <v>130000</v>
      </c>
      <c r="BI84" s="3"/>
      <c r="BJ84" s="4">
        <f t="shared" si="50"/>
        <v>130000</v>
      </c>
      <c r="BK84" s="4">
        <f t="shared" si="51"/>
        <v>0</v>
      </c>
      <c r="BL84" s="4">
        <f t="shared" si="52"/>
        <v>130000</v>
      </c>
      <c r="BM84" s="3"/>
      <c r="BN84" s="3"/>
      <c r="BO84" s="3"/>
      <c r="BP84" s="3"/>
    </row>
    <row r="85" spans="1:68" s="5" customFormat="1" ht="30" customHeight="1">
      <c r="A85" s="3">
        <v>80</v>
      </c>
      <c r="B85" s="31">
        <v>2172</v>
      </c>
      <c r="C85" s="3" t="s">
        <v>1621</v>
      </c>
      <c r="D85" s="4">
        <v>1800000</v>
      </c>
      <c r="E85" s="4">
        <v>1800000</v>
      </c>
      <c r="F85" s="4">
        <f>D85-E85</f>
        <v>0</v>
      </c>
      <c r="G85" s="4">
        <v>1715000</v>
      </c>
      <c r="H85" s="4">
        <v>1713340.19</v>
      </c>
      <c r="I85" s="4"/>
      <c r="J85" s="4"/>
      <c r="K85" s="4">
        <f t="shared" si="40"/>
        <v>0</v>
      </c>
      <c r="L85" s="4">
        <f t="shared" si="41"/>
        <v>1713340.19</v>
      </c>
      <c r="M85" s="4">
        <f t="shared" si="42"/>
        <v>1659.8100000000559</v>
      </c>
      <c r="N85" s="4"/>
      <c r="O85" s="4">
        <f t="shared" si="43"/>
        <v>0</v>
      </c>
      <c r="P85" s="4">
        <f t="shared" si="44"/>
        <v>85000</v>
      </c>
      <c r="Q85" s="4">
        <f t="shared" si="37"/>
        <v>1659.8100000000559</v>
      </c>
      <c r="R85" s="4"/>
      <c r="S85" s="4"/>
      <c r="T85" s="4">
        <f>SUM(R85:S85)</f>
        <v>0</v>
      </c>
      <c r="U85" s="4">
        <f t="shared" si="53"/>
        <v>0</v>
      </c>
      <c r="V85" s="4">
        <f>N85-U85</f>
        <v>0</v>
      </c>
      <c r="W85" s="4">
        <f>V85-AA85-X85-Z85</f>
        <v>0</v>
      </c>
      <c r="X85" s="4"/>
      <c r="Y85" s="4"/>
      <c r="Z85" s="4"/>
      <c r="AA85" s="4"/>
      <c r="AB85" s="543" t="s">
        <v>1163</v>
      </c>
      <c r="AC85" s="3">
        <v>732000</v>
      </c>
      <c r="AD85" s="524"/>
      <c r="AE85" s="378"/>
      <c r="AF85" s="378"/>
      <c r="AG85" s="378"/>
      <c r="AH85" s="4">
        <f>SUM(AD85:AG85)</f>
        <v>0</v>
      </c>
      <c r="AI85" s="4">
        <f>V85-AH85</f>
        <v>0</v>
      </c>
      <c r="AJ85" s="4">
        <f t="shared" si="46"/>
        <v>0</v>
      </c>
      <c r="AK85" s="3"/>
      <c r="AL85" s="3"/>
      <c r="AM85" s="3"/>
      <c r="AN85" s="3"/>
      <c r="AO85" s="40"/>
      <c r="AP85" s="4">
        <f>M85</f>
        <v>1659.8100000000559</v>
      </c>
      <c r="AQ85" s="9"/>
      <c r="AR85" s="173"/>
      <c r="AS85" s="173">
        <f t="shared" si="33"/>
        <v>1659.8100000000559</v>
      </c>
      <c r="AT85" s="173">
        <f t="shared" si="31"/>
        <v>1659.8100000000559</v>
      </c>
      <c r="AU85" s="173">
        <f t="shared" si="47"/>
        <v>85000</v>
      </c>
      <c r="AV85" s="173">
        <f>AR85+AS85-M85</f>
        <v>0</v>
      </c>
      <c r="AW85" s="173">
        <f t="shared" si="39"/>
        <v>0</v>
      </c>
      <c r="AX85" s="184"/>
      <c r="AY85" s="184"/>
      <c r="AZ85" s="184"/>
      <c r="BA85" s="184"/>
      <c r="BB85" s="173">
        <f t="shared" si="48"/>
        <v>0</v>
      </c>
      <c r="BC85" s="4">
        <f t="shared" si="49"/>
        <v>0</v>
      </c>
      <c r="BD85" s="4"/>
      <c r="BE85" s="4"/>
      <c r="BF85" s="4"/>
      <c r="BG85" s="4"/>
      <c r="BH85" s="4">
        <f t="shared" si="54"/>
        <v>0</v>
      </c>
      <c r="BI85" s="3"/>
      <c r="BJ85" s="4">
        <f t="shared" si="50"/>
        <v>0</v>
      </c>
      <c r="BK85" s="4">
        <f t="shared" si="51"/>
        <v>0</v>
      </c>
      <c r="BL85" s="4">
        <f t="shared" si="52"/>
        <v>0</v>
      </c>
      <c r="BM85" s="3"/>
      <c r="BN85" s="3"/>
      <c r="BO85" s="3"/>
      <c r="BP85" s="3"/>
    </row>
    <row r="86" spans="1:68" s="5" customFormat="1" ht="30" customHeight="1">
      <c r="A86" s="3">
        <v>81</v>
      </c>
      <c r="B86" s="31">
        <v>2173</v>
      </c>
      <c r="C86" s="3" t="s">
        <v>1164</v>
      </c>
      <c r="D86" s="4">
        <v>1950000</v>
      </c>
      <c r="E86" s="4">
        <v>1950000</v>
      </c>
      <c r="F86" s="4">
        <f t="shared" si="55"/>
        <v>0</v>
      </c>
      <c r="G86" s="4">
        <v>0</v>
      </c>
      <c r="H86" s="4">
        <v>0</v>
      </c>
      <c r="I86" s="4"/>
      <c r="J86" s="4"/>
      <c r="K86" s="4">
        <f t="shared" si="40"/>
        <v>0</v>
      </c>
      <c r="L86" s="4">
        <f t="shared" si="41"/>
        <v>0</v>
      </c>
      <c r="M86" s="4">
        <f t="shared" si="42"/>
        <v>0</v>
      </c>
      <c r="N86" s="4">
        <v>100000</v>
      </c>
      <c r="O86" s="4">
        <f t="shared" si="43"/>
        <v>100000</v>
      </c>
      <c r="P86" s="4">
        <f t="shared" si="44"/>
        <v>1850000</v>
      </c>
      <c r="Q86" s="4">
        <f t="shared" si="37"/>
        <v>0</v>
      </c>
      <c r="R86" s="4"/>
      <c r="S86" s="4"/>
      <c r="T86" s="4">
        <f t="shared" si="56"/>
        <v>0</v>
      </c>
      <c r="U86" s="4">
        <f t="shared" si="53"/>
        <v>0</v>
      </c>
      <c r="V86" s="4">
        <f t="shared" si="57"/>
        <v>100000</v>
      </c>
      <c r="W86" s="4">
        <f t="shared" si="58"/>
        <v>0</v>
      </c>
      <c r="X86" s="4"/>
      <c r="Y86" s="4"/>
      <c r="Z86" s="4"/>
      <c r="AA86" s="4">
        <v>100000</v>
      </c>
      <c r="AB86" s="513" t="s">
        <v>1165</v>
      </c>
      <c r="AC86" s="3">
        <v>732000</v>
      </c>
      <c r="AD86" s="524"/>
      <c r="AE86" s="378"/>
      <c r="AF86" s="378"/>
      <c r="AG86" s="378"/>
      <c r="AH86" s="4">
        <f t="shared" si="34"/>
        <v>0</v>
      </c>
      <c r="AI86" s="4">
        <f t="shared" si="45"/>
        <v>100000</v>
      </c>
      <c r="AJ86" s="4">
        <f t="shared" si="46"/>
        <v>0</v>
      </c>
      <c r="AK86" s="3"/>
      <c r="AL86" s="3"/>
      <c r="AM86" s="3"/>
      <c r="AN86" s="4">
        <v>100000</v>
      </c>
      <c r="AO86" s="4">
        <f>AI86</f>
        <v>100000</v>
      </c>
      <c r="AP86" s="3"/>
      <c r="AQ86" s="9"/>
      <c r="AR86" s="173">
        <v>100000</v>
      </c>
      <c r="AS86" s="173">
        <f t="shared" si="33"/>
        <v>0</v>
      </c>
      <c r="AT86" s="173">
        <f t="shared" si="31"/>
        <v>100000</v>
      </c>
      <c r="AU86" s="173">
        <f t="shared" si="47"/>
        <v>1850000</v>
      </c>
      <c r="AV86" s="173">
        <f>AR86+AS86-M86</f>
        <v>100000</v>
      </c>
      <c r="AW86" s="173">
        <f t="shared" si="39"/>
        <v>0</v>
      </c>
      <c r="AX86" s="184"/>
      <c r="AY86" s="184"/>
      <c r="AZ86" s="184"/>
      <c r="BA86" s="173">
        <v>100000</v>
      </c>
      <c r="BB86" s="173">
        <f t="shared" si="48"/>
        <v>0</v>
      </c>
      <c r="BC86" s="4">
        <f t="shared" si="49"/>
        <v>100000</v>
      </c>
      <c r="BD86" s="4">
        <f>100000-100000</f>
        <v>0</v>
      </c>
      <c r="BE86" s="4"/>
      <c r="BF86" s="4"/>
      <c r="BG86" s="4"/>
      <c r="BH86" s="4">
        <f t="shared" si="54"/>
        <v>0</v>
      </c>
      <c r="BI86" s="3"/>
      <c r="BJ86" s="4">
        <f t="shared" si="50"/>
        <v>0</v>
      </c>
      <c r="BK86" s="4">
        <f t="shared" si="51"/>
        <v>100000</v>
      </c>
      <c r="BL86" s="4">
        <f t="shared" si="52"/>
        <v>0</v>
      </c>
      <c r="BM86" s="3"/>
      <c r="BN86" s="3"/>
      <c r="BO86" s="3"/>
      <c r="BP86" s="4"/>
    </row>
    <row r="87" spans="1:68" s="70" customFormat="1" ht="30" customHeight="1">
      <c r="A87" s="3">
        <v>81</v>
      </c>
      <c r="B87" s="33"/>
      <c r="C87" s="33" t="s">
        <v>499</v>
      </c>
      <c r="D87" s="73">
        <f>SUM(D6:D86)</f>
        <v>624882129</v>
      </c>
      <c r="E87" s="73">
        <f t="shared" ref="E87:BP87" si="59">SUM(E6:E86)</f>
        <v>624882129</v>
      </c>
      <c r="F87" s="73">
        <f t="shared" si="59"/>
        <v>0</v>
      </c>
      <c r="G87" s="73">
        <f t="shared" si="59"/>
        <v>287696552</v>
      </c>
      <c r="H87" s="73">
        <f t="shared" si="59"/>
        <v>241172328.07999995</v>
      </c>
      <c r="I87" s="73">
        <f t="shared" si="59"/>
        <v>9812546.0800000001</v>
      </c>
      <c r="J87" s="73">
        <f t="shared" si="59"/>
        <v>8657506.3099999987</v>
      </c>
      <c r="K87" s="73">
        <f t="shared" si="59"/>
        <v>18470052.390000001</v>
      </c>
      <c r="L87" s="73">
        <f t="shared" si="59"/>
        <v>259642380.46999997</v>
      </c>
      <c r="M87" s="73">
        <f t="shared" si="59"/>
        <v>28054171.529999997</v>
      </c>
      <c r="N87" s="73">
        <f t="shared" si="59"/>
        <v>31558338</v>
      </c>
      <c r="O87" s="73">
        <f t="shared" si="59"/>
        <v>31558338</v>
      </c>
      <c r="P87" s="73">
        <f t="shared" si="59"/>
        <v>305627239</v>
      </c>
      <c r="Q87" s="73">
        <f t="shared" si="59"/>
        <v>28054171.529999997</v>
      </c>
      <c r="R87" s="73">
        <f t="shared" si="59"/>
        <v>0</v>
      </c>
      <c r="S87" s="73">
        <f t="shared" si="59"/>
        <v>0</v>
      </c>
      <c r="T87" s="73">
        <f t="shared" si="59"/>
        <v>0</v>
      </c>
      <c r="U87" s="73">
        <f t="shared" si="59"/>
        <v>0</v>
      </c>
      <c r="V87" s="73">
        <f t="shared" si="59"/>
        <v>31558338</v>
      </c>
      <c r="W87" s="73">
        <f t="shared" si="59"/>
        <v>30203894</v>
      </c>
      <c r="X87" s="73">
        <f t="shared" si="59"/>
        <v>0</v>
      </c>
      <c r="Y87" s="73">
        <f t="shared" si="59"/>
        <v>0</v>
      </c>
      <c r="Z87" s="73">
        <f t="shared" si="59"/>
        <v>0</v>
      </c>
      <c r="AA87" s="73">
        <f t="shared" si="59"/>
        <v>1354444</v>
      </c>
      <c r="AB87" s="73">
        <f t="shared" si="59"/>
        <v>0</v>
      </c>
      <c r="AC87" s="73">
        <f t="shared" si="59"/>
        <v>59697000</v>
      </c>
      <c r="AD87" s="73">
        <f t="shared" si="59"/>
        <v>0</v>
      </c>
      <c r="AE87" s="73">
        <f t="shared" si="59"/>
        <v>0</v>
      </c>
      <c r="AF87" s="73">
        <f t="shared" si="59"/>
        <v>0</v>
      </c>
      <c r="AG87" s="73">
        <f t="shared" si="59"/>
        <v>0</v>
      </c>
      <c r="AH87" s="73">
        <f t="shared" si="59"/>
        <v>0</v>
      </c>
      <c r="AI87" s="73">
        <f t="shared" si="59"/>
        <v>31558338</v>
      </c>
      <c r="AJ87" s="73">
        <f t="shared" si="59"/>
        <v>30203894</v>
      </c>
      <c r="AK87" s="73">
        <f t="shared" si="59"/>
        <v>0</v>
      </c>
      <c r="AL87" s="73">
        <f t="shared" si="59"/>
        <v>0</v>
      </c>
      <c r="AM87" s="73">
        <f t="shared" si="59"/>
        <v>0</v>
      </c>
      <c r="AN87" s="73">
        <f t="shared" si="59"/>
        <v>1354444</v>
      </c>
      <c r="AO87" s="73">
        <f t="shared" si="59"/>
        <v>23080000</v>
      </c>
      <c r="AP87" s="73">
        <f t="shared" si="59"/>
        <v>24251679.080000002</v>
      </c>
      <c r="AQ87" s="73">
        <f t="shared" si="59"/>
        <v>0</v>
      </c>
      <c r="AR87" s="73">
        <f t="shared" si="59"/>
        <v>18130000</v>
      </c>
      <c r="AS87" s="73">
        <f t="shared" si="59"/>
        <v>26084171.529999997</v>
      </c>
      <c r="AT87" s="73">
        <f t="shared" si="59"/>
        <v>44214171.530000001</v>
      </c>
      <c r="AU87" s="73">
        <f t="shared" si="59"/>
        <v>321025577</v>
      </c>
      <c r="AV87" s="73">
        <f t="shared" si="59"/>
        <v>16160000</v>
      </c>
      <c r="AW87" s="73">
        <f t="shared" si="59"/>
        <v>16060000</v>
      </c>
      <c r="AX87" s="73">
        <f t="shared" si="59"/>
        <v>0</v>
      </c>
      <c r="AY87" s="73">
        <f t="shared" si="59"/>
        <v>0</v>
      </c>
      <c r="AZ87" s="73">
        <f t="shared" si="59"/>
        <v>0</v>
      </c>
      <c r="BA87" s="73">
        <f t="shared" si="59"/>
        <v>100000</v>
      </c>
      <c r="BB87" s="73">
        <f t="shared" si="59"/>
        <v>-1970000</v>
      </c>
      <c r="BC87" s="73">
        <f t="shared" si="59"/>
        <v>18130000</v>
      </c>
      <c r="BD87" s="73">
        <f t="shared" si="59"/>
        <v>16066000</v>
      </c>
      <c r="BE87" s="73">
        <f t="shared" si="59"/>
        <v>0</v>
      </c>
      <c r="BF87" s="73">
        <f t="shared" si="59"/>
        <v>0</v>
      </c>
      <c r="BG87" s="73">
        <f t="shared" si="59"/>
        <v>0</v>
      </c>
      <c r="BH87" s="73">
        <f t="shared" si="59"/>
        <v>16066000</v>
      </c>
      <c r="BI87" s="73">
        <f t="shared" si="59"/>
        <v>0</v>
      </c>
      <c r="BJ87" s="73">
        <f t="shared" si="59"/>
        <v>16066000</v>
      </c>
      <c r="BK87" s="73">
        <f t="shared" si="59"/>
        <v>94000</v>
      </c>
      <c r="BL87" s="73">
        <f t="shared" si="59"/>
        <v>16066000</v>
      </c>
      <c r="BM87" s="73">
        <f t="shared" si="59"/>
        <v>0</v>
      </c>
      <c r="BN87" s="73">
        <f t="shared" si="59"/>
        <v>0</v>
      </c>
      <c r="BO87" s="73">
        <f t="shared" si="59"/>
        <v>0</v>
      </c>
      <c r="BP87" s="73">
        <f t="shared" si="59"/>
        <v>0</v>
      </c>
    </row>
    <row r="88" spans="1:68">
      <c r="L88" s="14">
        <f>K87+H87</f>
        <v>259642380.46999997</v>
      </c>
      <c r="M88" s="14">
        <f>Q88+T87-U87</f>
        <v>28054171.530000031</v>
      </c>
      <c r="P88" s="14">
        <f>L87+M87+O87+P87</f>
        <v>624882129</v>
      </c>
      <c r="Q88" s="14">
        <f>G87-L88</f>
        <v>28054171.530000031</v>
      </c>
      <c r="V88" s="14">
        <f>N87-U87</f>
        <v>31558338</v>
      </c>
      <c r="AO88" s="5"/>
      <c r="AP88" s="5"/>
    </row>
    <row r="89" spans="1:68">
      <c r="V89" s="14"/>
      <c r="AP89" s="5"/>
    </row>
    <row r="90" spans="1:68">
      <c r="M90" s="14" t="s">
        <v>1010</v>
      </c>
      <c r="N90" s="14">
        <v>32558338</v>
      </c>
      <c r="P90" s="14">
        <v>303992239</v>
      </c>
    </row>
    <row r="91" spans="1:68">
      <c r="M91" s="14" t="s">
        <v>1011</v>
      </c>
      <c r="N91" s="14">
        <v>100000</v>
      </c>
      <c r="P91" s="14">
        <v>1850000</v>
      </c>
      <c r="V91" s="14"/>
      <c r="W91" s="14"/>
    </row>
    <row r="92" spans="1:68">
      <c r="N92" s="14">
        <f>SUM(N90:N91)</f>
        <v>32658338</v>
      </c>
      <c r="O92" s="14" t="s">
        <v>1166</v>
      </c>
      <c r="P92" s="14">
        <v>85000</v>
      </c>
      <c r="V92" s="14"/>
      <c r="W92" s="14"/>
    </row>
    <row r="93" spans="1:68">
      <c r="P93" s="14">
        <f>SUM(P90:P92)</f>
        <v>305927239</v>
      </c>
      <c r="V93" s="14"/>
      <c r="W93" s="14"/>
    </row>
    <row r="94" spans="1:68">
      <c r="V94" s="14"/>
      <c r="W94" s="14"/>
    </row>
    <row r="97" spans="56:59">
      <c r="BD97" s="167"/>
      <c r="BE97" s="167"/>
      <c r="BF97" s="167"/>
      <c r="BG97" s="16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R1:BA3">
    <cfRule type="cellIs" dxfId="181" priority="12" operator="equal">
      <formula>0</formula>
    </cfRule>
  </conditionalFormatting>
  <conditionalFormatting sqref="AX17:BA18">
    <cfRule type="cellIs" dxfId="180" priority="11" operator="equal">
      <formula>0</formula>
    </cfRule>
  </conditionalFormatting>
  <conditionalFormatting sqref="AX12:AX14">
    <cfRule type="cellIs" dxfId="179" priority="10" operator="equal">
      <formula>0</formula>
    </cfRule>
  </conditionalFormatting>
  <conditionalFormatting sqref="AQ1:AQ3">
    <cfRule type="cellIs" dxfId="178" priority="9" operator="equal">
      <formula>0</formula>
    </cfRule>
  </conditionalFormatting>
  <conditionalFormatting sqref="AQ17:AQ18">
    <cfRule type="cellIs" dxfId="177" priority="8" operator="equal">
      <formula>0</formula>
    </cfRule>
  </conditionalFormatting>
  <conditionalFormatting sqref="AQ12:AQ14">
    <cfRule type="cellIs" dxfId="176" priority="7" operator="equal">
      <formula>0</formula>
    </cfRule>
  </conditionalFormatting>
  <conditionalFormatting sqref="BD1:BD3">
    <cfRule type="cellIs" dxfId="175" priority="6" operator="equal">
      <formula>0</formula>
    </cfRule>
  </conditionalFormatting>
  <conditionalFormatting sqref="BK1:BK3">
    <cfRule type="cellIs" dxfId="174" priority="5" operator="equal">
      <formula>0</formula>
    </cfRule>
  </conditionalFormatting>
  <conditionalFormatting sqref="BH1:BH3">
    <cfRule type="cellIs" dxfId="173" priority="4" operator="equal">
      <formula>0</formula>
    </cfRule>
  </conditionalFormatting>
  <conditionalFormatting sqref="BF1:BF3">
    <cfRule type="cellIs" dxfId="172" priority="3" operator="equal">
      <formula>0</formula>
    </cfRule>
  </conditionalFormatting>
  <conditionalFormatting sqref="BE1:BE3">
    <cfRule type="cellIs" dxfId="171" priority="2" operator="equal">
      <formula>0</formula>
    </cfRule>
  </conditionalFormatting>
  <conditionalFormatting sqref="BG1:BG3">
    <cfRule type="cellIs" dxfId="17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48"/>
  <sheetViews>
    <sheetView showZeros="0" rightToLeft="1" zoomScaleNormal="100" workbookViewId="0">
      <pane xSplit="3" ySplit="5" topLeftCell="D90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2.5"/>
  <cols>
    <col min="1" max="1" width="4.453125" customWidth="1"/>
    <col min="2" max="2" width="4.6328125" customWidth="1"/>
    <col min="3" max="3" width="19.453125" customWidth="1"/>
    <col min="4" max="4" width="11.54296875" hidden="1" customWidth="1"/>
    <col min="5" max="5" width="11.08984375" hidden="1" customWidth="1"/>
    <col min="6" max="6" width="8" hidden="1" customWidth="1"/>
    <col min="7" max="7" width="12.6328125" hidden="1" customWidth="1"/>
    <col min="8" max="8" width="12" hidden="1" customWidth="1"/>
    <col min="9" max="10" width="11.6328125" hidden="1" customWidth="1"/>
    <col min="11" max="11" width="11.36328125" hidden="1" customWidth="1"/>
    <col min="12" max="12" width="11.54296875" hidden="1" customWidth="1"/>
    <col min="13" max="15" width="11.08984375" hidden="1" customWidth="1"/>
    <col min="16" max="16" width="12.6328125" hidden="1" customWidth="1"/>
    <col min="17" max="17" width="11.08984375" hidden="1" customWidth="1"/>
    <col min="18" max="19" width="11.54296875" hidden="1" customWidth="1"/>
    <col min="20" max="20" width="11.08984375" hidden="1" customWidth="1"/>
    <col min="21" max="21" width="10.08984375" hidden="1" customWidth="1"/>
    <col min="22" max="23" width="11.08984375" hidden="1" customWidth="1"/>
    <col min="24" max="24" width="10.08984375" hidden="1" customWidth="1"/>
    <col min="25" max="25" width="9" hidden="1" customWidth="1"/>
    <col min="26" max="27" width="11.08984375" hidden="1" customWidth="1"/>
    <col min="28" max="28" width="48.453125" hidden="1" customWidth="1"/>
    <col min="29" max="29" width="10.08984375" hidden="1" customWidth="1"/>
    <col min="30" max="30" width="6.08984375" hidden="1" customWidth="1"/>
    <col min="31" max="31" width="8" hidden="1" customWidth="1"/>
    <col min="32" max="32" width="10.08984375" hidden="1" customWidth="1"/>
    <col min="33" max="34" width="10.6328125" hidden="1" customWidth="1"/>
    <col min="35" max="36" width="11.08984375" hidden="1" customWidth="1"/>
    <col min="37" max="38" width="10.6328125" hidden="1" customWidth="1"/>
    <col min="39" max="39" width="11.08984375" hidden="1" customWidth="1"/>
    <col min="40" max="40" width="10.6328125" hidden="1" customWidth="1"/>
    <col min="41" max="41" width="16.54296875" hidden="1" customWidth="1"/>
    <col min="42" max="42" width="16.36328125" hidden="1" customWidth="1"/>
    <col min="43" max="43" width="21.54296875" hidden="1" customWidth="1"/>
    <col min="44" max="44" width="10.08984375" hidden="1" customWidth="1"/>
    <col min="45" max="45" width="10.453125" hidden="1" customWidth="1"/>
    <col min="46" max="46" width="10" hidden="1" customWidth="1"/>
    <col min="47" max="47" width="11.54296875" hidden="1" customWidth="1"/>
    <col min="48" max="48" width="10.1796875" customWidth="1"/>
    <col min="49" max="50" width="10.81640625" customWidth="1"/>
    <col min="51" max="51" width="10.81640625" hidden="1" customWidth="1"/>
    <col min="52" max="55" width="10.81640625" customWidth="1"/>
    <col min="56" max="61" width="10.81640625" hidden="1" customWidth="1"/>
    <col min="62" max="65" width="10.81640625" customWidth="1"/>
    <col min="66" max="66" width="10.81640625" hidden="1" customWidth="1"/>
    <col min="67" max="68" width="10.81640625" customWidth="1"/>
  </cols>
  <sheetData>
    <row r="1" spans="1:68" s="284" customFormat="1" ht="18">
      <c r="A1" s="282"/>
      <c r="B1" s="282"/>
      <c r="C1" s="328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D1" s="166"/>
      <c r="AE1" s="166"/>
      <c r="AF1" s="166"/>
      <c r="AG1" s="166"/>
      <c r="AO1" s="28"/>
      <c r="AP1" s="28"/>
      <c r="AQ1" s="166"/>
      <c r="AR1" s="166"/>
      <c r="BB1" s="288"/>
      <c r="BC1" s="288"/>
      <c r="BD1" s="166"/>
      <c r="BE1" s="166"/>
      <c r="BF1" s="166"/>
      <c r="BG1" s="166"/>
      <c r="BH1" s="166"/>
      <c r="BK1" s="166"/>
      <c r="BL1" s="288"/>
    </row>
    <row r="2" spans="1:68" ht="18">
      <c r="A2" s="282" t="s">
        <v>1443</v>
      </c>
      <c r="B2" s="282"/>
      <c r="C2" s="328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2"/>
      <c r="AP2" s="12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288"/>
      <c r="BC2" s="288"/>
      <c r="BD2" s="166"/>
      <c r="BE2" s="166"/>
      <c r="BF2" s="166"/>
      <c r="BG2" s="166"/>
      <c r="BH2" s="166"/>
      <c r="BI2" s="166"/>
      <c r="BJ2" s="166"/>
      <c r="BK2" s="166"/>
      <c r="BL2" s="288"/>
      <c r="BM2" s="166"/>
      <c r="BN2" s="166"/>
      <c r="BO2" s="166"/>
      <c r="BP2" s="166"/>
    </row>
    <row r="3" spans="1:68" ht="18">
      <c r="A3" s="282"/>
      <c r="B3" s="282"/>
      <c r="C3" s="328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183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2"/>
      <c r="AP3" s="12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288"/>
      <c r="BC3" s="288"/>
      <c r="BD3" s="166"/>
      <c r="BE3" s="166"/>
      <c r="BF3" s="166"/>
      <c r="BG3" s="166"/>
      <c r="BH3" s="166"/>
      <c r="BI3" s="166"/>
      <c r="BJ3" s="166"/>
      <c r="BK3" s="166"/>
      <c r="BL3" s="288"/>
      <c r="BM3" s="166"/>
      <c r="BN3" s="166"/>
      <c r="BO3" s="166"/>
      <c r="BP3" s="166"/>
    </row>
    <row r="4" spans="1:68" ht="14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27" t="s">
        <v>292</v>
      </c>
      <c r="AW4" s="783" t="s">
        <v>967</v>
      </c>
      <c r="AX4" s="783"/>
      <c r="AY4" s="783"/>
      <c r="AZ4" s="783"/>
      <c r="BA4" s="783"/>
      <c r="BB4" s="780" t="s">
        <v>968</v>
      </c>
      <c r="BC4" s="782"/>
      <c r="BD4" s="515"/>
      <c r="BE4" s="515"/>
      <c r="BF4" s="515"/>
      <c r="BG4" s="775" t="s">
        <v>282</v>
      </c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288" customFormat="1" ht="86.25" customHeight="1">
      <c r="A5" s="457" t="s">
        <v>0</v>
      </c>
      <c r="B5" s="457" t="s">
        <v>1</v>
      </c>
      <c r="C5" s="457" t="s">
        <v>2</v>
      </c>
      <c r="D5" s="457" t="s">
        <v>3</v>
      </c>
      <c r="E5" s="457" t="s">
        <v>4</v>
      </c>
      <c r="F5" s="457" t="s">
        <v>5</v>
      </c>
      <c r="G5" s="457" t="s">
        <v>6</v>
      </c>
      <c r="H5" s="457" t="s">
        <v>7</v>
      </c>
      <c r="I5" s="457" t="s">
        <v>9</v>
      </c>
      <c r="J5" s="457" t="s">
        <v>178</v>
      </c>
      <c r="K5" s="457" t="s">
        <v>10</v>
      </c>
      <c r="L5" s="457" t="s">
        <v>11</v>
      </c>
      <c r="M5" s="432" t="s">
        <v>970</v>
      </c>
      <c r="N5" s="433" t="s">
        <v>971</v>
      </c>
      <c r="O5" s="433" t="s">
        <v>972</v>
      </c>
      <c r="P5" s="457" t="s">
        <v>628</v>
      </c>
      <c r="Q5" s="457" t="s">
        <v>12</v>
      </c>
      <c r="R5" s="457" t="s">
        <v>677</v>
      </c>
      <c r="S5" s="457" t="s">
        <v>678</v>
      </c>
      <c r="T5" s="457" t="s">
        <v>632</v>
      </c>
      <c r="U5" s="457" t="s">
        <v>629</v>
      </c>
      <c r="V5" s="446" t="s">
        <v>973</v>
      </c>
      <c r="W5" s="457" t="s">
        <v>13</v>
      </c>
      <c r="X5" s="433" t="s">
        <v>14</v>
      </c>
      <c r="Y5" s="457" t="s">
        <v>15</v>
      </c>
      <c r="Z5" s="457" t="s">
        <v>301</v>
      </c>
      <c r="AA5" s="457" t="s">
        <v>91</v>
      </c>
      <c r="AB5" s="516" t="s">
        <v>344</v>
      </c>
      <c r="AC5" s="457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517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176" customFormat="1" ht="30" customHeight="1">
      <c r="A6" s="172">
        <v>1</v>
      </c>
      <c r="B6" s="172">
        <v>382</v>
      </c>
      <c r="C6" s="172" t="s">
        <v>615</v>
      </c>
      <c r="D6" s="173">
        <v>72881330</v>
      </c>
      <c r="E6" s="173">
        <v>72881330</v>
      </c>
      <c r="F6" s="173">
        <f t="shared" ref="F6:F75" si="0">D6-E6</f>
        <v>0</v>
      </c>
      <c r="G6" s="173">
        <v>61381330</v>
      </c>
      <c r="H6" s="173">
        <v>47685211.979999997</v>
      </c>
      <c r="I6" s="173"/>
      <c r="J6" s="173">
        <v>677548.61</v>
      </c>
      <c r="K6" s="173">
        <f>SUM(I6:J6)</f>
        <v>677548.61</v>
      </c>
      <c r="L6" s="173">
        <f t="shared" ref="L6:L69" si="1">K6+H6</f>
        <v>48362760.589999996</v>
      </c>
      <c r="M6" s="173">
        <f>Q6+T6</f>
        <v>13018569.410000004</v>
      </c>
      <c r="N6" s="173">
        <v>1000000</v>
      </c>
      <c r="O6" s="173">
        <f>N6-AH6</f>
        <v>1000000</v>
      </c>
      <c r="P6" s="173">
        <f>D6-L6-M6-O6</f>
        <v>10500000</v>
      </c>
      <c r="Q6" s="173">
        <f>G6-L6</f>
        <v>13018569.410000004</v>
      </c>
      <c r="R6" s="173"/>
      <c r="S6" s="173"/>
      <c r="T6" s="173">
        <f>SUM(R6:S6)</f>
        <v>0</v>
      </c>
      <c r="U6" s="173">
        <f>Q6-M6+T6</f>
        <v>0</v>
      </c>
      <c r="V6" s="173">
        <f>N6-U6</f>
        <v>1000000</v>
      </c>
      <c r="W6" s="173">
        <f>V6-Z6-Y6-AA6-X6</f>
        <v>1000000</v>
      </c>
      <c r="X6" s="173"/>
      <c r="Y6" s="173"/>
      <c r="Z6" s="173"/>
      <c r="AA6" s="172"/>
      <c r="AB6" s="290" t="s">
        <v>679</v>
      </c>
      <c r="AC6" s="172">
        <v>742000</v>
      </c>
      <c r="AD6" s="184"/>
      <c r="AE6" s="184"/>
      <c r="AF6" s="184"/>
      <c r="AG6" s="184"/>
      <c r="AH6" s="173">
        <f>SUM(AD6:AG6)</f>
        <v>0</v>
      </c>
      <c r="AI6" s="173">
        <f>V6-AH6</f>
        <v>1000000</v>
      </c>
      <c r="AJ6" s="173">
        <f>AI6</f>
        <v>1000000</v>
      </c>
      <c r="AK6" s="377"/>
      <c r="AL6" s="172"/>
      <c r="AM6" s="172"/>
      <c r="AN6" s="172"/>
      <c r="AO6" s="3">
        <v>0</v>
      </c>
      <c r="AP6" s="4">
        <f>M6</f>
        <v>13018569.410000004</v>
      </c>
      <c r="AQ6" s="172" t="s">
        <v>1095</v>
      </c>
      <c r="AR6" s="173"/>
      <c r="AS6" s="173">
        <f>M6</f>
        <v>13018569.410000004</v>
      </c>
      <c r="AT6" s="173">
        <f>SUM(AR6:AS6)</f>
        <v>13018569.410000004</v>
      </c>
      <c r="AU6" s="173">
        <f>D6-L6-AT6</f>
        <v>11500000</v>
      </c>
      <c r="AV6" s="173">
        <f>AR6+AS6-M6</f>
        <v>0</v>
      </c>
      <c r="AW6" s="173">
        <f>AR6+AS6-M6-AX6-BA6</f>
        <v>0</v>
      </c>
      <c r="AX6" s="173"/>
      <c r="AY6" s="173"/>
      <c r="AZ6" s="173"/>
      <c r="BA6" s="173"/>
      <c r="BB6" s="173">
        <f>AS6-M6</f>
        <v>0</v>
      </c>
      <c r="BC6" s="4">
        <f>AR6</f>
        <v>0</v>
      </c>
      <c r="BD6" s="4"/>
      <c r="BE6" s="4"/>
      <c r="BF6" s="4"/>
      <c r="BG6" s="10"/>
      <c r="BH6" s="4">
        <f>SUM(BD6:BG6)</f>
        <v>0</v>
      </c>
      <c r="BI6" s="3"/>
      <c r="BJ6" s="4">
        <f>BH6+BI6</f>
        <v>0</v>
      </c>
      <c r="BK6" s="472">
        <f>AV6-BJ6</f>
        <v>0</v>
      </c>
      <c r="BL6" s="4">
        <f>BJ6-BP6-BM6</f>
        <v>0</v>
      </c>
      <c r="BM6" s="4"/>
      <c r="BN6" s="4"/>
      <c r="BO6" s="4"/>
      <c r="BP6" s="4"/>
    </row>
    <row r="7" spans="1:68" s="177" customFormat="1" ht="30" customHeight="1">
      <c r="A7" s="172">
        <v>2</v>
      </c>
      <c r="B7" s="172">
        <v>532</v>
      </c>
      <c r="C7" s="172" t="s">
        <v>82</v>
      </c>
      <c r="D7" s="173">
        <v>80090000</v>
      </c>
      <c r="E7" s="173">
        <v>80090000</v>
      </c>
      <c r="F7" s="173">
        <f t="shared" si="0"/>
        <v>0</v>
      </c>
      <c r="G7" s="173">
        <v>80090000</v>
      </c>
      <c r="H7" s="173">
        <v>74729468.159999996</v>
      </c>
      <c r="I7" s="173"/>
      <c r="J7" s="173">
        <v>893910.66</v>
      </c>
      <c r="K7" s="173">
        <f t="shared" ref="K7:K62" si="2">SUM(I7:J7)</f>
        <v>893910.66</v>
      </c>
      <c r="L7" s="173">
        <f t="shared" si="1"/>
        <v>75623378.819999993</v>
      </c>
      <c r="M7" s="173">
        <f t="shared" ref="M7:M65" si="3">Q7+T7</f>
        <v>4466621.1800000072</v>
      </c>
      <c r="N7" s="173"/>
      <c r="O7" s="173">
        <f t="shared" ref="O7:O13" si="4">N7-AH7</f>
        <v>0</v>
      </c>
      <c r="P7" s="173">
        <f t="shared" ref="P7:P18" si="5">D7-L7-M7-O7</f>
        <v>0</v>
      </c>
      <c r="Q7" s="173">
        <f t="shared" ref="Q7:Q70" si="6">G7-L7</f>
        <v>4466621.1800000072</v>
      </c>
      <c r="R7" s="173"/>
      <c r="S7" s="173"/>
      <c r="T7" s="173">
        <f t="shared" ref="T7:T64" si="7">SUM(R7:S7)</f>
        <v>0</v>
      </c>
      <c r="U7" s="173">
        <f t="shared" ref="U7:U69" si="8">Q7-M7+T7</f>
        <v>0</v>
      </c>
      <c r="V7" s="173">
        <f t="shared" ref="V7:V70" si="9">N7-U7</f>
        <v>0</v>
      </c>
      <c r="W7" s="173">
        <f t="shared" ref="W7:W69" si="10">V7-Z7-Y7-AA7-X7</f>
        <v>0</v>
      </c>
      <c r="X7" s="173"/>
      <c r="Y7" s="173"/>
      <c r="Z7" s="173"/>
      <c r="AA7" s="172"/>
      <c r="AB7" s="293" t="s">
        <v>680</v>
      </c>
      <c r="AC7" s="172">
        <v>742000</v>
      </c>
      <c r="AD7" s="184"/>
      <c r="AE7" s="184"/>
      <c r="AF7" s="184"/>
      <c r="AG7" s="184"/>
      <c r="AH7" s="173">
        <f t="shared" ref="AH7:AH29" si="11">SUM(AD7:AG7)</f>
        <v>0</v>
      </c>
      <c r="AI7" s="173">
        <f t="shared" ref="AI7:AI70" si="12">V7-AH7</f>
        <v>0</v>
      </c>
      <c r="AJ7" s="173">
        <f t="shared" ref="AJ7:AJ70" si="13">AI7</f>
        <v>0</v>
      </c>
      <c r="AK7" s="377"/>
      <c r="AL7" s="178"/>
      <c r="AM7" s="178"/>
      <c r="AN7" s="178"/>
      <c r="AO7" s="3"/>
      <c r="AP7" s="4">
        <v>500000</v>
      </c>
      <c r="AQ7" s="178"/>
      <c r="AR7" s="184"/>
      <c r="AS7" s="173">
        <f>M7-3950000</f>
        <v>516621.18000000715</v>
      </c>
      <c r="AT7" s="173">
        <f t="shared" ref="AT7:AT15" si="14">SUM(AR7:AS7)</f>
        <v>516621.18000000715</v>
      </c>
      <c r="AU7" s="173">
        <f t="shared" ref="AU7:AU70" si="15">D7-L7-AT7</f>
        <v>3950000</v>
      </c>
      <c r="AV7" s="173">
        <f t="shared" ref="AV7:AV70" si="16">AR7+AS7-M7</f>
        <v>-3950000</v>
      </c>
      <c r="AW7" s="173">
        <f t="shared" ref="AW7:AW70" si="17">AR7+AS7-M7-AX7-BA7</f>
        <v>-3950000</v>
      </c>
      <c r="AX7" s="173"/>
      <c r="AY7" s="173"/>
      <c r="AZ7" s="173"/>
      <c r="BA7" s="173"/>
      <c r="BB7" s="173">
        <f t="shared" ref="BB7:BB70" si="18">AS7-M7</f>
        <v>-3950000</v>
      </c>
      <c r="BC7" s="4">
        <f t="shared" ref="BC7:BC70" si="19">AR7</f>
        <v>0</v>
      </c>
      <c r="BD7" s="4">
        <v>-3950000</v>
      </c>
      <c r="BE7" s="4"/>
      <c r="BF7" s="4"/>
      <c r="BG7" s="10"/>
      <c r="BH7" s="4">
        <f>SUM(BD7:BG7)</f>
        <v>-3950000</v>
      </c>
      <c r="BI7" s="3"/>
      <c r="BJ7" s="4">
        <f>BH7+BI7</f>
        <v>-3950000</v>
      </c>
      <c r="BK7" s="472">
        <f>AV7-BJ7</f>
        <v>0</v>
      </c>
      <c r="BL7" s="4">
        <f t="shared" ref="BL7:BL70" si="20">BJ7-BP7-BM7</f>
        <v>-3950000</v>
      </c>
      <c r="BM7" s="4"/>
      <c r="BN7" s="4"/>
      <c r="BO7" s="4"/>
      <c r="BP7" s="4"/>
    </row>
    <row r="8" spans="1:68" s="177" customFormat="1" ht="30" customHeight="1">
      <c r="A8" s="172">
        <v>3</v>
      </c>
      <c r="B8" s="172">
        <v>576</v>
      </c>
      <c r="C8" s="172" t="s">
        <v>83</v>
      </c>
      <c r="D8" s="173">
        <v>58113000</v>
      </c>
      <c r="E8" s="173">
        <v>58113000</v>
      </c>
      <c r="F8" s="173">
        <f t="shared" si="0"/>
        <v>0</v>
      </c>
      <c r="G8" s="173">
        <v>55113000</v>
      </c>
      <c r="H8" s="173">
        <v>51617077.600000001</v>
      </c>
      <c r="I8" s="173"/>
      <c r="J8" s="173">
        <v>817779.68</v>
      </c>
      <c r="K8" s="173">
        <f t="shared" si="2"/>
        <v>817779.68</v>
      </c>
      <c r="L8" s="173">
        <f t="shared" si="1"/>
        <v>52434857.280000001</v>
      </c>
      <c r="M8" s="173">
        <f t="shared" si="3"/>
        <v>2678142.7199999988</v>
      </c>
      <c r="N8" s="173">
        <v>3000000</v>
      </c>
      <c r="O8" s="173">
        <f t="shared" si="4"/>
        <v>3000000</v>
      </c>
      <c r="P8" s="173">
        <f t="shared" si="5"/>
        <v>0</v>
      </c>
      <c r="Q8" s="173">
        <f t="shared" si="6"/>
        <v>2678142.7199999988</v>
      </c>
      <c r="R8" s="173"/>
      <c r="S8" s="173"/>
      <c r="T8" s="173">
        <f t="shared" si="7"/>
        <v>0</v>
      </c>
      <c r="U8" s="173">
        <f t="shared" si="8"/>
        <v>0</v>
      </c>
      <c r="V8" s="173">
        <f t="shared" si="9"/>
        <v>3000000</v>
      </c>
      <c r="W8" s="173">
        <f t="shared" si="10"/>
        <v>3000000</v>
      </c>
      <c r="X8" s="173"/>
      <c r="Y8" s="173"/>
      <c r="Z8" s="173"/>
      <c r="AA8" s="173"/>
      <c r="AB8" s="172" t="s">
        <v>460</v>
      </c>
      <c r="AC8" s="172">
        <v>760000</v>
      </c>
      <c r="AD8" s="184"/>
      <c r="AE8" s="184"/>
      <c r="AF8" s="184"/>
      <c r="AG8" s="184"/>
      <c r="AH8" s="173">
        <f t="shared" si="11"/>
        <v>0</v>
      </c>
      <c r="AI8" s="173">
        <f t="shared" si="12"/>
        <v>3000000</v>
      </c>
      <c r="AJ8" s="173">
        <f t="shared" si="13"/>
        <v>3000000</v>
      </c>
      <c r="AK8" s="377"/>
      <c r="AL8" s="178"/>
      <c r="AM8" s="178"/>
      <c r="AN8" s="178"/>
      <c r="AO8" s="4">
        <f>AI8</f>
        <v>3000000</v>
      </c>
      <c r="AP8" s="4">
        <f>M8</f>
        <v>2678142.7199999988</v>
      </c>
      <c r="AQ8" s="3" t="s">
        <v>1096</v>
      </c>
      <c r="AR8" s="518">
        <f>AO8</f>
        <v>3000000</v>
      </c>
      <c r="AS8" s="173">
        <f t="shared" ref="AS8:AS69" si="21">M8</f>
        <v>2678142.7199999988</v>
      </c>
      <c r="AT8" s="173">
        <f t="shared" si="14"/>
        <v>5678142.7199999988</v>
      </c>
      <c r="AU8" s="173">
        <f t="shared" si="15"/>
        <v>0</v>
      </c>
      <c r="AV8" s="173">
        <f t="shared" si="16"/>
        <v>3000000</v>
      </c>
      <c r="AW8" s="173">
        <f t="shared" si="17"/>
        <v>3000000</v>
      </c>
      <c r="AX8" s="173"/>
      <c r="AY8" s="173"/>
      <c r="AZ8" s="173"/>
      <c r="BA8" s="173"/>
      <c r="BB8" s="173">
        <f t="shared" si="18"/>
        <v>0</v>
      </c>
      <c r="BC8" s="4">
        <f t="shared" si="19"/>
        <v>3000000</v>
      </c>
      <c r="BD8" s="4">
        <v>3000000</v>
      </c>
      <c r="BE8" s="4"/>
      <c r="BF8" s="4"/>
      <c r="BG8" s="10"/>
      <c r="BH8" s="4">
        <f t="shared" ref="BH8:BH71" si="22">SUM(BD8:BG8)</f>
        <v>3000000</v>
      </c>
      <c r="BI8" s="3"/>
      <c r="BJ8" s="4">
        <f t="shared" ref="BJ8:BJ71" si="23">BH8+BI8</f>
        <v>3000000</v>
      </c>
      <c r="BK8" s="472">
        <f t="shared" ref="BK8:BK71" si="24">AV8-BJ8</f>
        <v>0</v>
      </c>
      <c r="BL8" s="4">
        <f t="shared" si="20"/>
        <v>3000000</v>
      </c>
      <c r="BM8" s="4"/>
      <c r="BN8" s="4"/>
      <c r="BO8" s="4"/>
      <c r="BP8" s="4"/>
    </row>
    <row r="9" spans="1:68" s="177" customFormat="1" ht="30" customHeight="1">
      <c r="A9" s="172">
        <v>4</v>
      </c>
      <c r="B9" s="172">
        <v>634</v>
      </c>
      <c r="C9" s="172" t="s">
        <v>539</v>
      </c>
      <c r="D9" s="173">
        <v>56350000</v>
      </c>
      <c r="E9" s="173">
        <v>56350000</v>
      </c>
      <c r="F9" s="173">
        <f t="shared" si="0"/>
        <v>0</v>
      </c>
      <c r="G9" s="173">
        <v>56350000</v>
      </c>
      <c r="H9" s="173">
        <v>55481043.850000001</v>
      </c>
      <c r="I9" s="173"/>
      <c r="J9" s="173">
        <v>868951.59</v>
      </c>
      <c r="K9" s="173">
        <f t="shared" si="2"/>
        <v>868951.59</v>
      </c>
      <c r="L9" s="173">
        <f t="shared" si="1"/>
        <v>56349995.440000005</v>
      </c>
      <c r="M9" s="173">
        <f t="shared" si="3"/>
        <v>4.5599999949336052</v>
      </c>
      <c r="N9" s="173"/>
      <c r="O9" s="173">
        <f t="shared" si="4"/>
        <v>0</v>
      </c>
      <c r="P9" s="173">
        <f t="shared" si="5"/>
        <v>0</v>
      </c>
      <c r="Q9" s="173">
        <f t="shared" si="6"/>
        <v>4.5599999949336052</v>
      </c>
      <c r="R9" s="173"/>
      <c r="S9" s="173"/>
      <c r="T9" s="173">
        <f t="shared" si="7"/>
        <v>0</v>
      </c>
      <c r="U9" s="173">
        <f t="shared" si="8"/>
        <v>0</v>
      </c>
      <c r="V9" s="173">
        <f t="shared" si="9"/>
        <v>0</v>
      </c>
      <c r="W9" s="173">
        <f t="shared" si="10"/>
        <v>0</v>
      </c>
      <c r="X9" s="173"/>
      <c r="Y9" s="173"/>
      <c r="Z9" s="173"/>
      <c r="AA9" s="172"/>
      <c r="AB9" s="172" t="s">
        <v>681</v>
      </c>
      <c r="AC9" s="172">
        <v>732000</v>
      </c>
      <c r="AD9" s="184"/>
      <c r="AE9" s="184"/>
      <c r="AF9" s="184"/>
      <c r="AG9" s="184"/>
      <c r="AH9" s="173">
        <f t="shared" si="11"/>
        <v>0</v>
      </c>
      <c r="AI9" s="173">
        <f t="shared" si="12"/>
        <v>0</v>
      </c>
      <c r="AJ9" s="173">
        <f t="shared" si="13"/>
        <v>0</v>
      </c>
      <c r="AK9" s="377"/>
      <c r="AL9" s="178"/>
      <c r="AM9" s="178"/>
      <c r="AN9" s="178"/>
      <c r="AO9" s="3"/>
      <c r="AP9" s="3"/>
      <c r="AQ9" s="178"/>
      <c r="AR9" s="518">
        <f t="shared" ref="AR9:AR72" si="25">AO9</f>
        <v>0</v>
      </c>
      <c r="AS9" s="173">
        <f t="shared" si="21"/>
        <v>4.5599999949336052</v>
      </c>
      <c r="AT9" s="173">
        <f t="shared" si="14"/>
        <v>4.5599999949336052</v>
      </c>
      <c r="AU9" s="173">
        <f t="shared" si="15"/>
        <v>0</v>
      </c>
      <c r="AV9" s="173">
        <f t="shared" si="16"/>
        <v>0</v>
      </c>
      <c r="AW9" s="173">
        <f t="shared" si="17"/>
        <v>0</v>
      </c>
      <c r="AX9" s="173"/>
      <c r="AY9" s="173">
        <f>SUM(AY6:AY8)</f>
        <v>0</v>
      </c>
      <c r="AZ9" s="173">
        <f>SUM(AZ6:AZ8)</f>
        <v>0</v>
      </c>
      <c r="BA9" s="173">
        <f>SUM(BA6:BA8)</f>
        <v>0</v>
      </c>
      <c r="BB9" s="173">
        <f t="shared" si="18"/>
        <v>0</v>
      </c>
      <c r="BC9" s="4">
        <f t="shared" si="19"/>
        <v>0</v>
      </c>
      <c r="BD9" s="4"/>
      <c r="BE9" s="4"/>
      <c r="BF9" s="4"/>
      <c r="BG9" s="10"/>
      <c r="BH9" s="4">
        <f t="shared" si="22"/>
        <v>0</v>
      </c>
      <c r="BI9" s="3"/>
      <c r="BJ9" s="4">
        <f t="shared" si="23"/>
        <v>0</v>
      </c>
      <c r="BK9" s="472">
        <f t="shared" si="24"/>
        <v>0</v>
      </c>
      <c r="BL9" s="4">
        <f t="shared" si="20"/>
        <v>0</v>
      </c>
      <c r="BM9" s="4"/>
      <c r="BN9" s="4"/>
      <c r="BO9" s="4"/>
      <c r="BP9" s="4"/>
    </row>
    <row r="10" spans="1:68" s="176" customFormat="1" ht="30" customHeight="1">
      <c r="A10" s="172">
        <v>5</v>
      </c>
      <c r="B10" s="172">
        <v>1067</v>
      </c>
      <c r="C10" s="172" t="s">
        <v>84</v>
      </c>
      <c r="D10" s="173">
        <v>3975000</v>
      </c>
      <c r="E10" s="173">
        <v>3975000</v>
      </c>
      <c r="F10" s="173">
        <f t="shared" si="0"/>
        <v>0</v>
      </c>
      <c r="G10" s="173">
        <v>3725000</v>
      </c>
      <c r="H10" s="173">
        <v>3202347.44</v>
      </c>
      <c r="I10" s="173"/>
      <c r="J10" s="173">
        <v>515012.68</v>
      </c>
      <c r="K10" s="173">
        <f t="shared" si="2"/>
        <v>515012.68</v>
      </c>
      <c r="L10" s="173">
        <f t="shared" si="1"/>
        <v>3717360.12</v>
      </c>
      <c r="M10" s="173">
        <f t="shared" si="3"/>
        <v>7639.8799999998882</v>
      </c>
      <c r="N10" s="173">
        <v>250000</v>
      </c>
      <c r="O10" s="173">
        <f t="shared" si="4"/>
        <v>250000</v>
      </c>
      <c r="P10" s="173">
        <f t="shared" si="5"/>
        <v>0</v>
      </c>
      <c r="Q10" s="173">
        <f t="shared" si="6"/>
        <v>7639.8799999998882</v>
      </c>
      <c r="R10" s="173"/>
      <c r="S10" s="173"/>
      <c r="T10" s="173">
        <f t="shared" si="7"/>
        <v>0</v>
      </c>
      <c r="U10" s="173">
        <f t="shared" si="8"/>
        <v>0</v>
      </c>
      <c r="V10" s="173">
        <f t="shared" si="9"/>
        <v>250000</v>
      </c>
      <c r="W10" s="173">
        <f t="shared" si="10"/>
        <v>250000</v>
      </c>
      <c r="X10" s="173"/>
      <c r="Y10" s="173"/>
      <c r="Z10" s="173"/>
      <c r="AA10" s="172"/>
      <c r="AB10" s="293" t="s">
        <v>374</v>
      </c>
      <c r="AC10" s="172">
        <v>742000</v>
      </c>
      <c r="AD10" s="184"/>
      <c r="AE10" s="184"/>
      <c r="AF10" s="184"/>
      <c r="AG10" s="184"/>
      <c r="AH10" s="173">
        <f t="shared" si="11"/>
        <v>0</v>
      </c>
      <c r="AI10" s="173">
        <f t="shared" si="12"/>
        <v>250000</v>
      </c>
      <c r="AJ10" s="173">
        <f t="shared" si="13"/>
        <v>250000</v>
      </c>
      <c r="AK10" s="377"/>
      <c r="AL10" s="172"/>
      <c r="AM10" s="172"/>
      <c r="AN10" s="172"/>
      <c r="AO10" s="4">
        <f>AI10</f>
        <v>250000</v>
      </c>
      <c r="AP10" s="4">
        <f>M10</f>
        <v>7639.8799999998882</v>
      </c>
      <c r="AQ10" s="172"/>
      <c r="AR10" s="518">
        <f t="shared" si="25"/>
        <v>250000</v>
      </c>
      <c r="AS10" s="173">
        <f t="shared" si="21"/>
        <v>7639.8799999998882</v>
      </c>
      <c r="AT10" s="173">
        <f t="shared" si="14"/>
        <v>257639.87999999989</v>
      </c>
      <c r="AU10" s="173">
        <f t="shared" si="15"/>
        <v>0</v>
      </c>
      <c r="AV10" s="173">
        <f t="shared" si="16"/>
        <v>250000</v>
      </c>
      <c r="AW10" s="173">
        <f t="shared" si="17"/>
        <v>250000</v>
      </c>
      <c r="AX10" s="173"/>
      <c r="AY10" s="173"/>
      <c r="AZ10" s="173"/>
      <c r="BA10" s="173"/>
      <c r="BB10" s="173">
        <f t="shared" si="18"/>
        <v>0</v>
      </c>
      <c r="BC10" s="4">
        <f t="shared" si="19"/>
        <v>250000</v>
      </c>
      <c r="BD10" s="4">
        <v>250000</v>
      </c>
      <c r="BE10" s="4"/>
      <c r="BF10" s="4"/>
      <c r="BG10" s="10"/>
      <c r="BH10" s="4">
        <f t="shared" si="22"/>
        <v>250000</v>
      </c>
      <c r="BI10" s="3"/>
      <c r="BJ10" s="4">
        <f t="shared" si="23"/>
        <v>250000</v>
      </c>
      <c r="BK10" s="472">
        <f t="shared" si="24"/>
        <v>0</v>
      </c>
      <c r="BL10" s="4">
        <f t="shared" si="20"/>
        <v>250000</v>
      </c>
      <c r="BM10" s="4"/>
      <c r="BN10" s="4"/>
      <c r="BO10" s="4"/>
      <c r="BP10" s="4"/>
    </row>
    <row r="11" spans="1:68" s="177" customFormat="1" ht="30" customHeight="1">
      <c r="A11" s="172">
        <v>6</v>
      </c>
      <c r="B11" s="172">
        <v>1207</v>
      </c>
      <c r="C11" s="172" t="s">
        <v>85</v>
      </c>
      <c r="D11" s="173">
        <v>50650000</v>
      </c>
      <c r="E11" s="173">
        <v>50650000</v>
      </c>
      <c r="F11" s="173">
        <f t="shared" si="0"/>
        <v>0</v>
      </c>
      <c r="G11" s="173">
        <v>40650000</v>
      </c>
      <c r="H11" s="173">
        <v>23065384.899999999</v>
      </c>
      <c r="I11" s="173"/>
      <c r="J11" s="173">
        <v>2715266.93</v>
      </c>
      <c r="K11" s="173">
        <f t="shared" si="2"/>
        <v>2715266.93</v>
      </c>
      <c r="L11" s="173">
        <f t="shared" si="1"/>
        <v>25780651.829999998</v>
      </c>
      <c r="M11" s="173">
        <f t="shared" si="3"/>
        <v>14869348.170000002</v>
      </c>
      <c r="N11" s="173">
        <f>10000000-5000000</f>
        <v>5000000</v>
      </c>
      <c r="O11" s="173">
        <f t="shared" si="4"/>
        <v>5000000</v>
      </c>
      <c r="P11" s="173">
        <f t="shared" si="5"/>
        <v>5000000</v>
      </c>
      <c r="Q11" s="173">
        <f t="shared" si="6"/>
        <v>14869348.170000002</v>
      </c>
      <c r="R11" s="173"/>
      <c r="S11" s="173"/>
      <c r="T11" s="173">
        <f t="shared" si="7"/>
        <v>0</v>
      </c>
      <c r="U11" s="173">
        <f t="shared" si="8"/>
        <v>0</v>
      </c>
      <c r="V11" s="173">
        <f t="shared" si="9"/>
        <v>5000000</v>
      </c>
      <c r="W11" s="173">
        <f t="shared" si="10"/>
        <v>5000000</v>
      </c>
      <c r="X11" s="173"/>
      <c r="Y11" s="173"/>
      <c r="Z11" s="173"/>
      <c r="AA11" s="172"/>
      <c r="AB11" s="293" t="s">
        <v>795</v>
      </c>
      <c r="AC11" s="172">
        <v>742000</v>
      </c>
      <c r="AD11" s="184"/>
      <c r="AE11" s="184"/>
      <c r="AF11" s="184"/>
      <c r="AG11" s="184"/>
      <c r="AH11" s="173">
        <f t="shared" si="11"/>
        <v>0</v>
      </c>
      <c r="AI11" s="173">
        <f t="shared" si="12"/>
        <v>5000000</v>
      </c>
      <c r="AJ11" s="173">
        <f t="shared" si="13"/>
        <v>5000000</v>
      </c>
      <c r="AK11" s="377"/>
      <c r="AL11" s="178"/>
      <c r="AM11" s="178"/>
      <c r="AN11" s="178"/>
      <c r="AO11" s="4">
        <f>AI11</f>
        <v>5000000</v>
      </c>
      <c r="AP11" s="4">
        <f>M11</f>
        <v>14869348.170000002</v>
      </c>
      <c r="AQ11" s="3" t="s">
        <v>1097</v>
      </c>
      <c r="AR11" s="518">
        <f t="shared" si="25"/>
        <v>5000000</v>
      </c>
      <c r="AS11" s="173">
        <f t="shared" si="21"/>
        <v>14869348.170000002</v>
      </c>
      <c r="AT11" s="173">
        <f t="shared" si="14"/>
        <v>19869348.170000002</v>
      </c>
      <c r="AU11" s="173">
        <f t="shared" si="15"/>
        <v>5000000</v>
      </c>
      <c r="AV11" s="173">
        <f t="shared" si="16"/>
        <v>5000000</v>
      </c>
      <c r="AW11" s="173">
        <f t="shared" si="17"/>
        <v>5000000</v>
      </c>
      <c r="AX11" s="173"/>
      <c r="AY11" s="173"/>
      <c r="AZ11" s="173"/>
      <c r="BA11" s="173"/>
      <c r="BB11" s="173">
        <f t="shared" si="18"/>
        <v>0</v>
      </c>
      <c r="BC11" s="4">
        <f t="shared" si="19"/>
        <v>5000000</v>
      </c>
      <c r="BD11" s="4">
        <v>5000000</v>
      </c>
      <c r="BE11" s="4"/>
      <c r="BF11" s="4"/>
      <c r="BG11" s="10"/>
      <c r="BH11" s="4">
        <f t="shared" si="22"/>
        <v>5000000</v>
      </c>
      <c r="BI11" s="3"/>
      <c r="BJ11" s="4">
        <f t="shared" si="23"/>
        <v>5000000</v>
      </c>
      <c r="BK11" s="472">
        <f t="shared" si="24"/>
        <v>0</v>
      </c>
      <c r="BL11" s="4">
        <f t="shared" si="20"/>
        <v>5000000</v>
      </c>
      <c r="BM11" s="4"/>
      <c r="BN11" s="4"/>
      <c r="BO11" s="4"/>
      <c r="BP11" s="4"/>
    </row>
    <row r="12" spans="1:68" s="177" customFormat="1" ht="30" customHeight="1">
      <c r="A12" s="172">
        <v>7</v>
      </c>
      <c r="B12" s="172">
        <v>1238</v>
      </c>
      <c r="C12" s="172" t="s">
        <v>86</v>
      </c>
      <c r="D12" s="173">
        <v>32940000</v>
      </c>
      <c r="E12" s="173">
        <v>32940000</v>
      </c>
      <c r="F12" s="173">
        <f t="shared" si="0"/>
        <v>0</v>
      </c>
      <c r="G12" s="173">
        <v>26440000</v>
      </c>
      <c r="H12" s="173">
        <v>25492352.199999999</v>
      </c>
      <c r="I12" s="173"/>
      <c r="J12" s="173"/>
      <c r="K12" s="173">
        <f t="shared" si="2"/>
        <v>0</v>
      </c>
      <c r="L12" s="173">
        <f t="shared" si="1"/>
        <v>25492352.199999999</v>
      </c>
      <c r="M12" s="173">
        <f t="shared" si="3"/>
        <v>947647.80000000075</v>
      </c>
      <c r="N12" s="173"/>
      <c r="O12" s="173">
        <f t="shared" si="4"/>
        <v>0</v>
      </c>
      <c r="P12" s="173">
        <f t="shared" si="5"/>
        <v>6500000</v>
      </c>
      <c r="Q12" s="173">
        <f t="shared" si="6"/>
        <v>947647.80000000075</v>
      </c>
      <c r="R12" s="173"/>
      <c r="S12" s="173"/>
      <c r="T12" s="173">
        <f t="shared" si="7"/>
        <v>0</v>
      </c>
      <c r="U12" s="173">
        <f t="shared" si="8"/>
        <v>0</v>
      </c>
      <c r="V12" s="173">
        <f t="shared" si="9"/>
        <v>0</v>
      </c>
      <c r="W12" s="173">
        <f t="shared" si="10"/>
        <v>0</v>
      </c>
      <c r="X12" s="173"/>
      <c r="Y12" s="173"/>
      <c r="Z12" s="173"/>
      <c r="AA12" s="172"/>
      <c r="AB12" s="367" t="s">
        <v>808</v>
      </c>
      <c r="AC12" s="172">
        <v>742000</v>
      </c>
      <c r="AD12" s="184"/>
      <c r="AE12" s="184"/>
      <c r="AF12" s="184"/>
      <c r="AG12" s="184"/>
      <c r="AH12" s="173">
        <f t="shared" si="11"/>
        <v>0</v>
      </c>
      <c r="AI12" s="173">
        <f t="shared" si="12"/>
        <v>0</v>
      </c>
      <c r="AJ12" s="173">
        <f t="shared" si="13"/>
        <v>0</v>
      </c>
      <c r="AK12" s="377"/>
      <c r="AL12" s="178"/>
      <c r="AM12" s="178"/>
      <c r="AN12" s="178"/>
      <c r="AO12" s="7"/>
      <c r="AP12" s="3"/>
      <c r="AQ12" s="178"/>
      <c r="AR12" s="518">
        <f>AO12</f>
        <v>0</v>
      </c>
      <c r="AS12" s="173">
        <f>M12-940000</f>
        <v>7647.8000000007451</v>
      </c>
      <c r="AT12" s="173">
        <f t="shared" si="14"/>
        <v>7647.8000000007451</v>
      </c>
      <c r="AU12" s="173">
        <f t="shared" si="15"/>
        <v>7440000</v>
      </c>
      <c r="AV12" s="173">
        <f t="shared" si="16"/>
        <v>-940000</v>
      </c>
      <c r="AW12" s="173">
        <f t="shared" si="17"/>
        <v>-940000</v>
      </c>
      <c r="AX12" s="173"/>
      <c r="AY12" s="173"/>
      <c r="AZ12" s="173"/>
      <c r="BA12" s="173"/>
      <c r="BB12" s="173">
        <f t="shared" si="18"/>
        <v>-940000</v>
      </c>
      <c r="BC12" s="4">
        <f t="shared" si="19"/>
        <v>0</v>
      </c>
      <c r="BD12" s="4">
        <v>-940000</v>
      </c>
      <c r="BE12" s="4"/>
      <c r="BF12" s="4"/>
      <c r="BG12" s="10"/>
      <c r="BH12" s="4">
        <f t="shared" si="22"/>
        <v>-940000</v>
      </c>
      <c r="BI12" s="3"/>
      <c r="BJ12" s="4">
        <f t="shared" si="23"/>
        <v>-940000</v>
      </c>
      <c r="BK12" s="472">
        <f t="shared" si="24"/>
        <v>0</v>
      </c>
      <c r="BL12" s="4">
        <f t="shared" si="20"/>
        <v>-940000</v>
      </c>
      <c r="BM12" s="4"/>
      <c r="BN12" s="4"/>
      <c r="BO12" s="4"/>
      <c r="BP12" s="4"/>
    </row>
    <row r="13" spans="1:68" s="177" customFormat="1" ht="30" customHeight="1">
      <c r="A13" s="172">
        <v>8</v>
      </c>
      <c r="B13" s="172">
        <v>1298</v>
      </c>
      <c r="C13" s="172" t="s">
        <v>33</v>
      </c>
      <c r="D13" s="173">
        <v>4600000</v>
      </c>
      <c r="E13" s="173">
        <v>4600000</v>
      </c>
      <c r="F13" s="173">
        <f t="shared" si="0"/>
        <v>0</v>
      </c>
      <c r="G13" s="173">
        <v>4600000</v>
      </c>
      <c r="H13" s="173">
        <v>4249114.75</v>
      </c>
      <c r="I13" s="173"/>
      <c r="J13" s="173">
        <v>350007.09</v>
      </c>
      <c r="K13" s="173">
        <f t="shared" si="2"/>
        <v>350007.09</v>
      </c>
      <c r="L13" s="173">
        <f t="shared" si="1"/>
        <v>4599121.84</v>
      </c>
      <c r="M13" s="173">
        <f t="shared" si="3"/>
        <v>878.16000000014901</v>
      </c>
      <c r="N13" s="173"/>
      <c r="O13" s="173">
        <f t="shared" si="4"/>
        <v>0</v>
      </c>
      <c r="P13" s="173">
        <f t="shared" si="5"/>
        <v>0</v>
      </c>
      <c r="Q13" s="173">
        <f t="shared" si="6"/>
        <v>878.16000000014901</v>
      </c>
      <c r="R13" s="173"/>
      <c r="S13" s="173"/>
      <c r="T13" s="173">
        <f t="shared" si="7"/>
        <v>0</v>
      </c>
      <c r="U13" s="173">
        <f t="shared" si="8"/>
        <v>0</v>
      </c>
      <c r="V13" s="173">
        <f t="shared" si="9"/>
        <v>0</v>
      </c>
      <c r="W13" s="173">
        <f t="shared" si="10"/>
        <v>0</v>
      </c>
      <c r="X13" s="173"/>
      <c r="Y13" s="173"/>
      <c r="Z13" s="173"/>
      <c r="AA13" s="172"/>
      <c r="AB13" s="293" t="s">
        <v>375</v>
      </c>
      <c r="AC13" s="172">
        <v>742000</v>
      </c>
      <c r="AD13" s="184"/>
      <c r="AE13" s="184"/>
      <c r="AF13" s="184"/>
      <c r="AG13" s="184"/>
      <c r="AH13" s="173">
        <f t="shared" si="11"/>
        <v>0</v>
      </c>
      <c r="AI13" s="173">
        <f t="shared" si="12"/>
        <v>0</v>
      </c>
      <c r="AJ13" s="173">
        <f t="shared" si="13"/>
        <v>0</v>
      </c>
      <c r="AK13" s="377"/>
      <c r="AL13" s="178"/>
      <c r="AM13" s="178"/>
      <c r="AN13" s="178"/>
      <c r="AO13" s="3"/>
      <c r="AP13" s="3"/>
      <c r="AQ13" s="178"/>
      <c r="AR13" s="518">
        <f t="shared" si="25"/>
        <v>0</v>
      </c>
      <c r="AS13" s="173">
        <f t="shared" si="21"/>
        <v>878.16000000014901</v>
      </c>
      <c r="AT13" s="173">
        <f t="shared" si="14"/>
        <v>878.16000000014901</v>
      </c>
      <c r="AU13" s="173">
        <f t="shared" si="15"/>
        <v>0</v>
      </c>
      <c r="AV13" s="173">
        <f t="shared" si="16"/>
        <v>0</v>
      </c>
      <c r="AW13" s="173">
        <f t="shared" si="17"/>
        <v>0</v>
      </c>
      <c r="AX13" s="173"/>
      <c r="AY13" s="173"/>
      <c r="AZ13" s="173"/>
      <c r="BA13" s="173"/>
      <c r="BB13" s="173">
        <f t="shared" si="18"/>
        <v>0</v>
      </c>
      <c r="BC13" s="4">
        <f t="shared" si="19"/>
        <v>0</v>
      </c>
      <c r="BD13" s="4"/>
      <c r="BE13" s="4"/>
      <c r="BF13" s="4"/>
      <c r="BG13" s="10"/>
      <c r="BH13" s="4">
        <f t="shared" si="22"/>
        <v>0</v>
      </c>
      <c r="BI13" s="3"/>
      <c r="BJ13" s="4">
        <f t="shared" si="23"/>
        <v>0</v>
      </c>
      <c r="BK13" s="472">
        <f t="shared" si="24"/>
        <v>0</v>
      </c>
      <c r="BL13" s="4">
        <f t="shared" si="20"/>
        <v>0</v>
      </c>
      <c r="BM13" s="4"/>
      <c r="BN13" s="4"/>
      <c r="BO13" s="4"/>
      <c r="BP13" s="4"/>
    </row>
    <row r="14" spans="1:68" s="176" customFormat="1" ht="30" customHeight="1">
      <c r="A14" s="172">
        <v>9</v>
      </c>
      <c r="B14" s="172">
        <v>1312</v>
      </c>
      <c r="C14" s="172" t="s">
        <v>34</v>
      </c>
      <c r="D14" s="173">
        <v>109500000</v>
      </c>
      <c r="E14" s="173">
        <v>109500000</v>
      </c>
      <c r="F14" s="173">
        <f t="shared" si="0"/>
        <v>0</v>
      </c>
      <c r="G14" s="173">
        <v>109500000</v>
      </c>
      <c r="H14" s="173">
        <v>103929475.75</v>
      </c>
      <c r="I14" s="173"/>
      <c r="J14" s="173">
        <v>4046070.1</v>
      </c>
      <c r="K14" s="173">
        <f t="shared" si="2"/>
        <v>4046070.1</v>
      </c>
      <c r="L14" s="173">
        <f t="shared" si="1"/>
        <v>107975545.84999999</v>
      </c>
      <c r="M14" s="173">
        <f t="shared" si="3"/>
        <v>1524454.150000006</v>
      </c>
      <c r="N14" s="173"/>
      <c r="O14" s="173">
        <f>N14-AH14</f>
        <v>0</v>
      </c>
      <c r="P14" s="173">
        <f t="shared" si="5"/>
        <v>0</v>
      </c>
      <c r="Q14" s="173">
        <f t="shared" si="6"/>
        <v>1524454.150000006</v>
      </c>
      <c r="R14" s="173"/>
      <c r="S14" s="173"/>
      <c r="T14" s="173">
        <f t="shared" si="7"/>
        <v>0</v>
      </c>
      <c r="U14" s="173">
        <f t="shared" si="8"/>
        <v>0</v>
      </c>
      <c r="V14" s="173">
        <f t="shared" si="9"/>
        <v>0</v>
      </c>
      <c r="W14" s="173">
        <f t="shared" si="10"/>
        <v>0</v>
      </c>
      <c r="X14" s="173"/>
      <c r="Y14" s="173"/>
      <c r="Z14" s="173"/>
      <c r="AA14" s="172"/>
      <c r="AB14" s="172" t="s">
        <v>682</v>
      </c>
      <c r="AC14" s="172">
        <v>930000</v>
      </c>
      <c r="AD14" s="184"/>
      <c r="AE14" s="184"/>
      <c r="AF14" s="184"/>
      <c r="AG14" s="184"/>
      <c r="AH14" s="173">
        <f t="shared" si="11"/>
        <v>0</v>
      </c>
      <c r="AI14" s="173">
        <f t="shared" si="12"/>
        <v>0</v>
      </c>
      <c r="AJ14" s="173">
        <f t="shared" si="13"/>
        <v>0</v>
      </c>
      <c r="AK14" s="377"/>
      <c r="AL14" s="172"/>
      <c r="AM14" s="172"/>
      <c r="AN14" s="172"/>
      <c r="AO14" s="4"/>
      <c r="AP14" s="4"/>
      <c r="AQ14" s="172"/>
      <c r="AR14" s="518">
        <f t="shared" si="25"/>
        <v>0</v>
      </c>
      <c r="AS14" s="173">
        <f>M14-1520000</f>
        <v>4454.1500000059605</v>
      </c>
      <c r="AT14" s="173">
        <f t="shared" si="14"/>
        <v>4454.1500000059605</v>
      </c>
      <c r="AU14" s="173">
        <f t="shared" si="15"/>
        <v>1520000</v>
      </c>
      <c r="AV14" s="173">
        <f t="shared" si="16"/>
        <v>-1520000</v>
      </c>
      <c r="AW14" s="173">
        <f t="shared" si="17"/>
        <v>-1520000</v>
      </c>
      <c r="AX14" s="173"/>
      <c r="AY14" s="173"/>
      <c r="AZ14" s="173"/>
      <c r="BA14" s="173"/>
      <c r="BB14" s="173">
        <f t="shared" si="18"/>
        <v>-1520000</v>
      </c>
      <c r="BC14" s="4">
        <f t="shared" si="19"/>
        <v>0</v>
      </c>
      <c r="BD14" s="4">
        <v>-1520000</v>
      </c>
      <c r="BE14" s="4"/>
      <c r="BF14" s="4"/>
      <c r="BG14" s="10"/>
      <c r="BH14" s="4">
        <f t="shared" si="22"/>
        <v>-1520000</v>
      </c>
      <c r="BI14" s="3"/>
      <c r="BJ14" s="4">
        <f t="shared" si="23"/>
        <v>-1520000</v>
      </c>
      <c r="BK14" s="472">
        <f t="shared" si="24"/>
        <v>0</v>
      </c>
      <c r="BL14" s="4">
        <f t="shared" si="20"/>
        <v>-1520000</v>
      </c>
      <c r="BM14" s="4"/>
      <c r="BN14" s="4"/>
      <c r="BO14" s="4"/>
      <c r="BP14" s="4"/>
    </row>
    <row r="15" spans="1:68" s="5" customFormat="1" ht="30" customHeight="1">
      <c r="A15" s="172">
        <v>10</v>
      </c>
      <c r="B15" s="3">
        <v>1314</v>
      </c>
      <c r="C15" s="3" t="s">
        <v>45</v>
      </c>
      <c r="D15" s="4">
        <v>3200000</v>
      </c>
      <c r="E15" s="4">
        <v>3200000</v>
      </c>
      <c r="F15" s="4">
        <f t="shared" si="0"/>
        <v>0</v>
      </c>
      <c r="G15" s="4">
        <v>400000</v>
      </c>
      <c r="H15" s="4">
        <v>359314.49</v>
      </c>
      <c r="I15" s="4"/>
      <c r="J15" s="4"/>
      <c r="K15" s="173">
        <f t="shared" si="2"/>
        <v>0</v>
      </c>
      <c r="L15" s="173">
        <f t="shared" si="1"/>
        <v>359314.49</v>
      </c>
      <c r="M15" s="173">
        <f t="shared" si="3"/>
        <v>40685.510000000009</v>
      </c>
      <c r="N15" s="4">
        <v>2800000</v>
      </c>
      <c r="O15" s="173">
        <f t="shared" ref="O15:O78" si="26">N15-AH15</f>
        <v>2800000</v>
      </c>
      <c r="P15" s="173">
        <f t="shared" si="5"/>
        <v>0</v>
      </c>
      <c r="Q15" s="173">
        <f t="shared" si="6"/>
        <v>40685.510000000009</v>
      </c>
      <c r="R15" s="4"/>
      <c r="S15" s="4"/>
      <c r="T15" s="4">
        <f t="shared" si="7"/>
        <v>0</v>
      </c>
      <c r="U15" s="4">
        <f t="shared" si="8"/>
        <v>0</v>
      </c>
      <c r="V15" s="4">
        <f t="shared" si="9"/>
        <v>2800000</v>
      </c>
      <c r="W15" s="4">
        <f>V15-AA15-X15-Z15</f>
        <v>2800000</v>
      </c>
      <c r="X15" s="4"/>
      <c r="Y15" s="4"/>
      <c r="Z15" s="4"/>
      <c r="AA15" s="3"/>
      <c r="AB15" s="3" t="s">
        <v>809</v>
      </c>
      <c r="AC15" s="3">
        <v>742000</v>
      </c>
      <c r="AD15" s="184"/>
      <c r="AE15" s="184"/>
      <c r="AF15" s="184"/>
      <c r="AG15" s="184"/>
      <c r="AH15" s="173">
        <f t="shared" si="11"/>
        <v>0</v>
      </c>
      <c r="AI15" s="173">
        <f t="shared" si="12"/>
        <v>2800000</v>
      </c>
      <c r="AJ15" s="173">
        <f t="shared" si="13"/>
        <v>2800000</v>
      </c>
      <c r="AK15" s="3"/>
      <c r="AL15" s="3"/>
      <c r="AM15" s="3"/>
      <c r="AN15" s="3"/>
      <c r="AO15" s="4">
        <v>260000</v>
      </c>
      <c r="AP15" s="4">
        <f>M15</f>
        <v>40685.510000000009</v>
      </c>
      <c r="AQ15" s="3"/>
      <c r="AR15" s="518">
        <f t="shared" si="25"/>
        <v>260000</v>
      </c>
      <c r="AS15" s="173">
        <f t="shared" si="21"/>
        <v>40685.510000000009</v>
      </c>
      <c r="AT15" s="173">
        <f t="shared" si="14"/>
        <v>300685.51</v>
      </c>
      <c r="AU15" s="173">
        <f t="shared" si="15"/>
        <v>2540000</v>
      </c>
      <c r="AV15" s="173">
        <f t="shared" si="16"/>
        <v>260000</v>
      </c>
      <c r="AW15" s="173">
        <f t="shared" si="17"/>
        <v>260000</v>
      </c>
      <c r="AX15" s="173"/>
      <c r="AY15" s="173"/>
      <c r="AZ15" s="173"/>
      <c r="BA15" s="173"/>
      <c r="BB15" s="173">
        <f t="shared" si="18"/>
        <v>0</v>
      </c>
      <c r="BC15" s="4">
        <f t="shared" si="19"/>
        <v>260000</v>
      </c>
      <c r="BD15" s="4">
        <v>260000</v>
      </c>
      <c r="BE15" s="4"/>
      <c r="BF15" s="4"/>
      <c r="BG15" s="10"/>
      <c r="BH15" s="4">
        <f t="shared" si="22"/>
        <v>260000</v>
      </c>
      <c r="BI15" s="3"/>
      <c r="BJ15" s="4">
        <f t="shared" si="23"/>
        <v>260000</v>
      </c>
      <c r="BK15" s="472">
        <f t="shared" si="24"/>
        <v>0</v>
      </c>
      <c r="BL15" s="4">
        <f t="shared" si="20"/>
        <v>260000</v>
      </c>
      <c r="BM15" s="4"/>
      <c r="BN15" s="4"/>
      <c r="BO15" s="4"/>
      <c r="BP15" s="4"/>
    </row>
    <row r="16" spans="1:68" s="5" customFormat="1" ht="30" customHeight="1">
      <c r="A16" s="172">
        <v>11</v>
      </c>
      <c r="B16" s="3">
        <v>1322</v>
      </c>
      <c r="C16" s="3" t="s">
        <v>35</v>
      </c>
      <c r="D16" s="4">
        <v>18500000</v>
      </c>
      <c r="E16" s="4">
        <v>18500000</v>
      </c>
      <c r="F16" s="4">
        <f t="shared" si="0"/>
        <v>0</v>
      </c>
      <c r="G16" s="4">
        <v>10850000</v>
      </c>
      <c r="H16" s="4">
        <v>9625168.5899999999</v>
      </c>
      <c r="I16" s="4">
        <v>82865.11</v>
      </c>
      <c r="J16" s="4"/>
      <c r="K16" s="173">
        <f t="shared" si="2"/>
        <v>82865.11</v>
      </c>
      <c r="L16" s="173">
        <f t="shared" si="1"/>
        <v>9708033.6999999993</v>
      </c>
      <c r="M16" s="173">
        <f t="shared" si="3"/>
        <v>1141966.3000000007</v>
      </c>
      <c r="N16" s="4">
        <f>4000000-2000000</f>
        <v>2000000</v>
      </c>
      <c r="O16" s="173">
        <f t="shared" si="26"/>
        <v>2000000</v>
      </c>
      <c r="P16" s="173">
        <f t="shared" si="5"/>
        <v>5650000</v>
      </c>
      <c r="Q16" s="173">
        <f t="shared" si="6"/>
        <v>1141966.3000000007</v>
      </c>
      <c r="R16" s="4"/>
      <c r="S16" s="4"/>
      <c r="T16" s="4">
        <f t="shared" si="7"/>
        <v>0</v>
      </c>
      <c r="U16" s="4">
        <f t="shared" si="8"/>
        <v>0</v>
      </c>
      <c r="V16" s="4">
        <f t="shared" si="9"/>
        <v>2000000</v>
      </c>
      <c r="W16" s="4">
        <f>V16-AA16-X16-Z16</f>
        <v>2000000</v>
      </c>
      <c r="X16" s="4"/>
      <c r="Y16" s="4"/>
      <c r="Z16" s="4"/>
      <c r="AA16" s="3"/>
      <c r="AB16" s="3" t="s">
        <v>347</v>
      </c>
      <c r="AC16" s="3">
        <v>742000</v>
      </c>
      <c r="AD16" s="184"/>
      <c r="AE16" s="184"/>
      <c r="AF16" s="184"/>
      <c r="AG16" s="184"/>
      <c r="AH16" s="173">
        <f t="shared" si="11"/>
        <v>0</v>
      </c>
      <c r="AI16" s="173">
        <f t="shared" si="12"/>
        <v>2000000</v>
      </c>
      <c r="AJ16" s="173">
        <f t="shared" si="13"/>
        <v>2000000</v>
      </c>
      <c r="AK16" s="3"/>
      <c r="AL16" s="3"/>
      <c r="AM16" s="3"/>
      <c r="AN16" s="3"/>
      <c r="AO16" s="7"/>
      <c r="AP16" s="4">
        <v>1141966</v>
      </c>
      <c r="AQ16" s="3" t="s">
        <v>1098</v>
      </c>
      <c r="AR16" s="518">
        <f t="shared" si="25"/>
        <v>0</v>
      </c>
      <c r="AS16" s="173">
        <f t="shared" si="21"/>
        <v>1141966.3000000007</v>
      </c>
      <c r="AT16" s="173">
        <f t="shared" ref="AT16:AT79" si="27">SUM(AR16:AS16)</f>
        <v>1141966.3000000007</v>
      </c>
      <c r="AU16" s="173">
        <f t="shared" si="15"/>
        <v>7650000</v>
      </c>
      <c r="AV16" s="173">
        <f t="shared" si="16"/>
        <v>0</v>
      </c>
      <c r="AW16" s="173">
        <f t="shared" si="17"/>
        <v>0</v>
      </c>
      <c r="AX16" s="173"/>
      <c r="AY16" s="173"/>
      <c r="AZ16" s="173"/>
      <c r="BA16" s="173"/>
      <c r="BB16" s="173">
        <f t="shared" si="18"/>
        <v>0</v>
      </c>
      <c r="BC16" s="4">
        <f t="shared" si="19"/>
        <v>0</v>
      </c>
      <c r="BD16" s="4"/>
      <c r="BE16" s="4"/>
      <c r="BF16" s="4"/>
      <c r="BG16" s="10"/>
      <c r="BH16" s="4">
        <f t="shared" si="22"/>
        <v>0</v>
      </c>
      <c r="BI16" s="3"/>
      <c r="BJ16" s="4">
        <f t="shared" si="23"/>
        <v>0</v>
      </c>
      <c r="BK16" s="472">
        <f t="shared" si="24"/>
        <v>0</v>
      </c>
      <c r="BL16" s="4">
        <f t="shared" si="20"/>
        <v>0</v>
      </c>
      <c r="BM16" s="4"/>
      <c r="BN16" s="4"/>
      <c r="BO16" s="4"/>
      <c r="BP16" s="4"/>
    </row>
    <row r="17" spans="1:68" s="5" customFormat="1" ht="30" customHeight="1">
      <c r="A17" s="172">
        <v>12</v>
      </c>
      <c r="B17" s="3">
        <v>1357</v>
      </c>
      <c r="C17" s="3" t="s">
        <v>47</v>
      </c>
      <c r="D17" s="4">
        <v>25000000</v>
      </c>
      <c r="E17" s="4">
        <v>25000000</v>
      </c>
      <c r="F17" s="4">
        <f t="shared" si="0"/>
        <v>0</v>
      </c>
      <c r="G17" s="4">
        <v>12612000</v>
      </c>
      <c r="H17" s="4">
        <v>12565023.32</v>
      </c>
      <c r="I17" s="4"/>
      <c r="J17" s="4"/>
      <c r="K17" s="173">
        <f t="shared" si="2"/>
        <v>0</v>
      </c>
      <c r="L17" s="173">
        <f t="shared" si="1"/>
        <v>12565023.32</v>
      </c>
      <c r="M17" s="173">
        <f t="shared" si="3"/>
        <v>46976.679999999702</v>
      </c>
      <c r="N17" s="4">
        <v>5000000</v>
      </c>
      <c r="O17" s="173">
        <f t="shared" si="26"/>
        <v>5000000</v>
      </c>
      <c r="P17" s="173">
        <f t="shared" si="5"/>
        <v>7388000</v>
      </c>
      <c r="Q17" s="173">
        <f t="shared" si="6"/>
        <v>46976.679999999702</v>
      </c>
      <c r="R17" s="4"/>
      <c r="S17" s="4"/>
      <c r="T17" s="4">
        <f t="shared" si="7"/>
        <v>0</v>
      </c>
      <c r="U17" s="4">
        <f t="shared" si="8"/>
        <v>0</v>
      </c>
      <c r="V17" s="4">
        <f t="shared" si="9"/>
        <v>5000000</v>
      </c>
      <c r="W17" s="4">
        <f>V17-AA17-X17-Z17</f>
        <v>4956320</v>
      </c>
      <c r="X17" s="4"/>
      <c r="Y17" s="4"/>
      <c r="Z17" s="4"/>
      <c r="AA17" s="4">
        <v>43680</v>
      </c>
      <c r="AB17" s="3" t="s">
        <v>856</v>
      </c>
      <c r="AC17" s="3">
        <v>829000</v>
      </c>
      <c r="AD17" s="184"/>
      <c r="AE17" s="184"/>
      <c r="AF17" s="184"/>
      <c r="AG17" s="184"/>
      <c r="AH17" s="173">
        <f t="shared" si="11"/>
        <v>0</v>
      </c>
      <c r="AI17" s="173">
        <f t="shared" si="12"/>
        <v>5000000</v>
      </c>
      <c r="AJ17" s="173">
        <f>AI17-AN17</f>
        <v>4956320</v>
      </c>
      <c r="AK17" s="3"/>
      <c r="AL17" s="3"/>
      <c r="AM17" s="3"/>
      <c r="AN17" s="4">
        <v>43680</v>
      </c>
      <c r="AO17" s="4"/>
      <c r="AP17" s="4">
        <f>M17</f>
        <v>46976.679999999702</v>
      </c>
      <c r="AQ17" s="490" t="s">
        <v>1099</v>
      </c>
      <c r="AR17" s="518">
        <f t="shared" si="25"/>
        <v>0</v>
      </c>
      <c r="AS17" s="173">
        <f t="shared" si="21"/>
        <v>46976.679999999702</v>
      </c>
      <c r="AT17" s="173">
        <f t="shared" si="27"/>
        <v>46976.679999999702</v>
      </c>
      <c r="AU17" s="173">
        <f t="shared" si="15"/>
        <v>12388000</v>
      </c>
      <c r="AV17" s="173">
        <f t="shared" si="16"/>
        <v>0</v>
      </c>
      <c r="AW17" s="173">
        <f t="shared" si="17"/>
        <v>0</v>
      </c>
      <c r="AX17" s="173"/>
      <c r="AY17" s="173"/>
      <c r="AZ17" s="173"/>
      <c r="BA17" s="173"/>
      <c r="BB17" s="173">
        <f t="shared" si="18"/>
        <v>0</v>
      </c>
      <c r="BC17" s="4">
        <f t="shared" si="19"/>
        <v>0</v>
      </c>
      <c r="BD17" s="4"/>
      <c r="BE17" s="4"/>
      <c r="BF17" s="4"/>
      <c r="BG17" s="10"/>
      <c r="BH17" s="4">
        <f t="shared" si="22"/>
        <v>0</v>
      </c>
      <c r="BI17" s="3"/>
      <c r="BJ17" s="4">
        <f t="shared" si="23"/>
        <v>0</v>
      </c>
      <c r="BK17" s="472">
        <f t="shared" si="24"/>
        <v>0</v>
      </c>
      <c r="BL17" s="4">
        <f t="shared" si="20"/>
        <v>0</v>
      </c>
      <c r="BM17" s="4"/>
      <c r="BN17" s="4"/>
      <c r="BO17" s="4"/>
      <c r="BP17" s="4"/>
    </row>
    <row r="18" spans="1:68" s="176" customFormat="1" ht="30" customHeight="1">
      <c r="A18" s="172">
        <v>13</v>
      </c>
      <c r="B18" s="172">
        <v>1375</v>
      </c>
      <c r="C18" s="172" t="s">
        <v>540</v>
      </c>
      <c r="D18" s="173">
        <v>40150000</v>
      </c>
      <c r="E18" s="173">
        <v>40150000</v>
      </c>
      <c r="F18" s="173">
        <f t="shared" si="0"/>
        <v>0</v>
      </c>
      <c r="G18" s="173">
        <v>30150000</v>
      </c>
      <c r="H18" s="173">
        <v>27762987.640000001</v>
      </c>
      <c r="I18" s="173"/>
      <c r="J18" s="173">
        <v>835918.33</v>
      </c>
      <c r="K18" s="173">
        <f t="shared" si="2"/>
        <v>835918.33</v>
      </c>
      <c r="L18" s="173">
        <f t="shared" si="1"/>
        <v>28598905.969999999</v>
      </c>
      <c r="M18" s="173">
        <f t="shared" si="3"/>
        <v>1551094.0300000012</v>
      </c>
      <c r="N18" s="173"/>
      <c r="O18" s="173">
        <f t="shared" si="26"/>
        <v>0</v>
      </c>
      <c r="P18" s="173">
        <f t="shared" si="5"/>
        <v>10000000</v>
      </c>
      <c r="Q18" s="173">
        <f t="shared" si="6"/>
        <v>1551094.0300000012</v>
      </c>
      <c r="R18" s="173"/>
      <c r="S18" s="173"/>
      <c r="T18" s="4">
        <f t="shared" si="7"/>
        <v>0</v>
      </c>
      <c r="U18" s="173">
        <f t="shared" si="8"/>
        <v>0</v>
      </c>
      <c r="V18" s="173">
        <f t="shared" si="9"/>
        <v>0</v>
      </c>
      <c r="W18" s="173">
        <f t="shared" si="10"/>
        <v>0</v>
      </c>
      <c r="X18" s="173"/>
      <c r="Y18" s="173"/>
      <c r="Z18" s="173"/>
      <c r="AA18" s="172"/>
      <c r="AB18" s="172" t="s">
        <v>810</v>
      </c>
      <c r="AC18" s="172">
        <v>747000</v>
      </c>
      <c r="AD18" s="184"/>
      <c r="AE18" s="184"/>
      <c r="AF18" s="184"/>
      <c r="AG18" s="184"/>
      <c r="AH18" s="173">
        <f t="shared" si="11"/>
        <v>0</v>
      </c>
      <c r="AI18" s="173">
        <f t="shared" si="12"/>
        <v>0</v>
      </c>
      <c r="AJ18" s="173">
        <f t="shared" si="13"/>
        <v>0</v>
      </c>
      <c r="AK18" s="377"/>
      <c r="AL18" s="172"/>
      <c r="AM18" s="172"/>
      <c r="AN18" s="172"/>
      <c r="AO18" s="4"/>
      <c r="AP18" s="4">
        <f>M18</f>
        <v>1551094.0300000012</v>
      </c>
      <c r="AQ18" s="172" t="s">
        <v>1100</v>
      </c>
      <c r="AR18" s="518">
        <f t="shared" si="25"/>
        <v>0</v>
      </c>
      <c r="AS18" s="173">
        <f t="shared" si="21"/>
        <v>1551094.0300000012</v>
      </c>
      <c r="AT18" s="173">
        <f t="shared" si="27"/>
        <v>1551094.0300000012</v>
      </c>
      <c r="AU18" s="173">
        <f t="shared" si="15"/>
        <v>10000000</v>
      </c>
      <c r="AV18" s="173">
        <f t="shared" si="16"/>
        <v>0</v>
      </c>
      <c r="AW18" s="173">
        <f t="shared" si="17"/>
        <v>0</v>
      </c>
      <c r="AX18" s="173"/>
      <c r="AY18" s="173"/>
      <c r="AZ18" s="173"/>
      <c r="BA18" s="173"/>
      <c r="BB18" s="173">
        <f t="shared" si="18"/>
        <v>0</v>
      </c>
      <c r="BC18" s="4">
        <f t="shared" si="19"/>
        <v>0</v>
      </c>
      <c r="BD18" s="4"/>
      <c r="BE18" s="4"/>
      <c r="BF18" s="4"/>
      <c r="BG18" s="10"/>
      <c r="BH18" s="4">
        <f t="shared" si="22"/>
        <v>0</v>
      </c>
      <c r="BI18" s="3"/>
      <c r="BJ18" s="4">
        <f t="shared" si="23"/>
        <v>0</v>
      </c>
      <c r="BK18" s="472">
        <f t="shared" si="24"/>
        <v>0</v>
      </c>
      <c r="BL18" s="4">
        <f t="shared" si="20"/>
        <v>0</v>
      </c>
      <c r="BM18" s="4"/>
      <c r="BN18" s="4"/>
      <c r="BO18" s="4"/>
      <c r="BP18" s="4"/>
    </row>
    <row r="19" spans="1:68" s="176" customFormat="1" ht="30" customHeight="1">
      <c r="A19" s="172">
        <v>14</v>
      </c>
      <c r="B19" s="172">
        <v>1403</v>
      </c>
      <c r="C19" s="172" t="s">
        <v>376</v>
      </c>
      <c r="D19" s="173">
        <v>37550000</v>
      </c>
      <c r="E19" s="173">
        <v>37550000</v>
      </c>
      <c r="F19" s="173">
        <f t="shared" si="0"/>
        <v>0</v>
      </c>
      <c r="G19" s="173">
        <v>37513260</v>
      </c>
      <c r="H19" s="173">
        <v>36709747.020000003</v>
      </c>
      <c r="I19" s="173"/>
      <c r="J19" s="173">
        <v>550882.22</v>
      </c>
      <c r="K19" s="173">
        <f t="shared" si="2"/>
        <v>550882.22</v>
      </c>
      <c r="L19" s="173">
        <f t="shared" si="1"/>
        <v>37260629.240000002</v>
      </c>
      <c r="M19" s="173">
        <f t="shared" si="3"/>
        <v>252630.75999999791</v>
      </c>
      <c r="N19" s="173"/>
      <c r="O19" s="173">
        <f t="shared" si="26"/>
        <v>0</v>
      </c>
      <c r="P19" s="173">
        <f>D19-L19-M19-O19</f>
        <v>36740</v>
      </c>
      <c r="Q19" s="173">
        <f t="shared" si="6"/>
        <v>252630.75999999791</v>
      </c>
      <c r="R19" s="173"/>
      <c r="S19" s="173"/>
      <c r="T19" s="173">
        <f t="shared" si="7"/>
        <v>0</v>
      </c>
      <c r="U19" s="173">
        <f t="shared" si="8"/>
        <v>0</v>
      </c>
      <c r="V19" s="173">
        <f t="shared" si="9"/>
        <v>0</v>
      </c>
      <c r="W19" s="173">
        <f t="shared" si="10"/>
        <v>0</v>
      </c>
      <c r="X19" s="173"/>
      <c r="Y19" s="173"/>
      <c r="Z19" s="173"/>
      <c r="AA19" s="172"/>
      <c r="AB19" s="172" t="s">
        <v>683</v>
      </c>
      <c r="AC19" s="172">
        <v>826000</v>
      </c>
      <c r="AD19" s="184"/>
      <c r="AE19" s="184"/>
      <c r="AF19" s="184"/>
      <c r="AG19" s="184"/>
      <c r="AH19" s="173">
        <f t="shared" si="11"/>
        <v>0</v>
      </c>
      <c r="AI19" s="173">
        <f t="shared" si="12"/>
        <v>0</v>
      </c>
      <c r="AJ19" s="173">
        <f t="shared" si="13"/>
        <v>0</v>
      </c>
      <c r="AK19" s="377"/>
      <c r="AL19" s="172"/>
      <c r="AM19" s="172"/>
      <c r="AN19" s="172"/>
      <c r="AO19" s="4"/>
      <c r="AP19" s="4">
        <f>M19</f>
        <v>252630.75999999791</v>
      </c>
      <c r="AQ19" s="172" t="s">
        <v>1100</v>
      </c>
      <c r="AR19" s="518">
        <f t="shared" si="25"/>
        <v>0</v>
      </c>
      <c r="AS19" s="173">
        <f t="shared" si="21"/>
        <v>252630.75999999791</v>
      </c>
      <c r="AT19" s="173">
        <f t="shared" si="27"/>
        <v>252630.75999999791</v>
      </c>
      <c r="AU19" s="173">
        <f t="shared" si="15"/>
        <v>36740</v>
      </c>
      <c r="AV19" s="173">
        <f t="shared" si="16"/>
        <v>0</v>
      </c>
      <c r="AW19" s="173">
        <f t="shared" si="17"/>
        <v>0</v>
      </c>
      <c r="AX19" s="173"/>
      <c r="AY19" s="173"/>
      <c r="AZ19" s="173"/>
      <c r="BA19" s="173"/>
      <c r="BB19" s="173">
        <f t="shared" si="18"/>
        <v>0</v>
      </c>
      <c r="BC19" s="4">
        <f t="shared" si="19"/>
        <v>0</v>
      </c>
      <c r="BD19" s="4"/>
      <c r="BE19" s="4"/>
      <c r="BF19" s="4"/>
      <c r="BG19" s="10"/>
      <c r="BH19" s="4">
        <f t="shared" si="22"/>
        <v>0</v>
      </c>
      <c r="BI19" s="3"/>
      <c r="BJ19" s="4">
        <f t="shared" si="23"/>
        <v>0</v>
      </c>
      <c r="BK19" s="472">
        <f t="shared" si="24"/>
        <v>0</v>
      </c>
      <c r="BL19" s="4">
        <f t="shared" si="20"/>
        <v>0</v>
      </c>
      <c r="BM19" s="4"/>
      <c r="BN19" s="4"/>
      <c r="BO19" s="4"/>
      <c r="BP19" s="4"/>
    </row>
    <row r="20" spans="1:68" s="176" customFormat="1" ht="30" customHeight="1">
      <c r="A20" s="172">
        <v>15</v>
      </c>
      <c r="B20" s="172">
        <v>1443</v>
      </c>
      <c r="C20" s="172" t="s">
        <v>87</v>
      </c>
      <c r="D20" s="173">
        <v>78500000</v>
      </c>
      <c r="E20" s="173">
        <v>78500000</v>
      </c>
      <c r="F20" s="173">
        <f t="shared" si="0"/>
        <v>0</v>
      </c>
      <c r="G20" s="173">
        <v>50840000</v>
      </c>
      <c r="H20" s="173">
        <v>50824299</v>
      </c>
      <c r="I20" s="173"/>
      <c r="J20" s="173"/>
      <c r="K20" s="173">
        <f t="shared" si="2"/>
        <v>0</v>
      </c>
      <c r="L20" s="173">
        <f t="shared" si="1"/>
        <v>50824299</v>
      </c>
      <c r="M20" s="173">
        <f t="shared" si="3"/>
        <v>15701</v>
      </c>
      <c r="N20" s="173"/>
      <c r="O20" s="173">
        <f t="shared" si="26"/>
        <v>0</v>
      </c>
      <c r="P20" s="173">
        <f t="shared" ref="P20:P83" si="28">D20-L20-M20-O20</f>
        <v>27660000</v>
      </c>
      <c r="Q20" s="173">
        <f t="shared" si="6"/>
        <v>15701</v>
      </c>
      <c r="R20" s="173"/>
      <c r="S20" s="173"/>
      <c r="T20" s="173">
        <f t="shared" si="7"/>
        <v>0</v>
      </c>
      <c r="U20" s="173">
        <f t="shared" si="8"/>
        <v>0</v>
      </c>
      <c r="V20" s="173">
        <f t="shared" si="9"/>
        <v>0</v>
      </c>
      <c r="W20" s="173">
        <f t="shared" si="10"/>
        <v>0</v>
      </c>
      <c r="X20" s="173"/>
      <c r="Y20" s="173"/>
      <c r="Z20" s="173"/>
      <c r="AA20" s="172"/>
      <c r="AB20" s="172"/>
      <c r="AC20" s="172">
        <v>749000</v>
      </c>
      <c r="AD20" s="184"/>
      <c r="AE20" s="184"/>
      <c r="AF20" s="184"/>
      <c r="AG20" s="184"/>
      <c r="AH20" s="173">
        <f t="shared" si="11"/>
        <v>0</v>
      </c>
      <c r="AI20" s="173">
        <f t="shared" si="12"/>
        <v>0</v>
      </c>
      <c r="AJ20" s="173">
        <f t="shared" si="13"/>
        <v>0</v>
      </c>
      <c r="AK20" s="377"/>
      <c r="AL20" s="172"/>
      <c r="AM20" s="172"/>
      <c r="AN20" s="172"/>
      <c r="AO20" s="3"/>
      <c r="AP20" s="3"/>
      <c r="AQ20" s="172"/>
      <c r="AR20" s="518">
        <f t="shared" si="25"/>
        <v>0</v>
      </c>
      <c r="AS20" s="173">
        <f t="shared" si="21"/>
        <v>15701</v>
      </c>
      <c r="AT20" s="173">
        <f t="shared" si="27"/>
        <v>15701</v>
      </c>
      <c r="AU20" s="173">
        <f t="shared" si="15"/>
        <v>27660000</v>
      </c>
      <c r="AV20" s="173">
        <f t="shared" si="16"/>
        <v>0</v>
      </c>
      <c r="AW20" s="173">
        <f t="shared" si="17"/>
        <v>0</v>
      </c>
      <c r="AX20" s="173"/>
      <c r="AY20" s="173"/>
      <c r="AZ20" s="173"/>
      <c r="BA20" s="173"/>
      <c r="BB20" s="173">
        <f t="shared" si="18"/>
        <v>0</v>
      </c>
      <c r="BC20" s="4">
        <f t="shared" si="19"/>
        <v>0</v>
      </c>
      <c r="BD20" s="4"/>
      <c r="BE20" s="4"/>
      <c r="BF20" s="4"/>
      <c r="BG20" s="10"/>
      <c r="BH20" s="4">
        <f t="shared" si="22"/>
        <v>0</v>
      </c>
      <c r="BI20" s="3"/>
      <c r="BJ20" s="4">
        <f t="shared" si="23"/>
        <v>0</v>
      </c>
      <c r="BK20" s="472">
        <f t="shared" si="24"/>
        <v>0</v>
      </c>
      <c r="BL20" s="4">
        <f t="shared" si="20"/>
        <v>0</v>
      </c>
      <c r="BM20" s="4"/>
      <c r="BN20" s="4"/>
      <c r="BO20" s="4"/>
      <c r="BP20" s="4"/>
    </row>
    <row r="21" spans="1:68" s="176" customFormat="1" ht="30" customHeight="1">
      <c r="A21" s="172">
        <v>16</v>
      </c>
      <c r="B21" s="172">
        <v>1446</v>
      </c>
      <c r="C21" s="172" t="s">
        <v>179</v>
      </c>
      <c r="D21" s="173">
        <v>14250000</v>
      </c>
      <c r="E21" s="173">
        <v>14250000</v>
      </c>
      <c r="F21" s="173">
        <f t="shared" si="0"/>
        <v>0</v>
      </c>
      <c r="G21" s="173">
        <v>14250000</v>
      </c>
      <c r="H21" s="173">
        <v>4174304.5</v>
      </c>
      <c r="I21" s="173"/>
      <c r="J21" s="173">
        <v>904631.94</v>
      </c>
      <c r="K21" s="173">
        <f t="shared" si="2"/>
        <v>904631.94</v>
      </c>
      <c r="L21" s="173">
        <f t="shared" si="1"/>
        <v>5078936.4399999995</v>
      </c>
      <c r="M21" s="173">
        <f t="shared" si="3"/>
        <v>9171063.5600000005</v>
      </c>
      <c r="N21" s="173"/>
      <c r="O21" s="173">
        <f t="shared" si="26"/>
        <v>0</v>
      </c>
      <c r="P21" s="173">
        <f t="shared" si="28"/>
        <v>0</v>
      </c>
      <c r="Q21" s="173">
        <f t="shared" si="6"/>
        <v>9171063.5600000005</v>
      </c>
      <c r="R21" s="173"/>
      <c r="S21" s="173"/>
      <c r="T21" s="173">
        <f t="shared" si="7"/>
        <v>0</v>
      </c>
      <c r="U21" s="173">
        <f t="shared" si="8"/>
        <v>0</v>
      </c>
      <c r="V21" s="173">
        <f t="shared" si="9"/>
        <v>0</v>
      </c>
      <c r="W21" s="173">
        <f t="shared" si="10"/>
        <v>0</v>
      </c>
      <c r="X21" s="173"/>
      <c r="Y21" s="173"/>
      <c r="Z21" s="173"/>
      <c r="AA21" s="172"/>
      <c r="AB21" s="293" t="s">
        <v>461</v>
      </c>
      <c r="AC21" s="172">
        <v>742000</v>
      </c>
      <c r="AD21" s="184"/>
      <c r="AE21" s="184"/>
      <c r="AF21" s="184"/>
      <c r="AG21" s="184"/>
      <c r="AH21" s="173">
        <f t="shared" si="11"/>
        <v>0</v>
      </c>
      <c r="AI21" s="173">
        <f t="shared" si="12"/>
        <v>0</v>
      </c>
      <c r="AJ21" s="173">
        <f t="shared" si="13"/>
        <v>0</v>
      </c>
      <c r="AK21" s="377"/>
      <c r="AL21" s="172"/>
      <c r="AM21" s="172"/>
      <c r="AN21" s="172"/>
      <c r="AO21" s="4"/>
      <c r="AP21" s="4">
        <f t="shared" ref="AP21:AP27" si="29">M21</f>
        <v>9171063.5600000005</v>
      </c>
      <c r="AQ21" s="172" t="s">
        <v>1100</v>
      </c>
      <c r="AR21" s="518">
        <f t="shared" si="25"/>
        <v>0</v>
      </c>
      <c r="AS21" s="173">
        <f t="shared" si="21"/>
        <v>9171063.5600000005</v>
      </c>
      <c r="AT21" s="173">
        <f t="shared" si="27"/>
        <v>9171063.5600000005</v>
      </c>
      <c r="AU21" s="173">
        <f t="shared" si="15"/>
        <v>0</v>
      </c>
      <c r="AV21" s="173">
        <f t="shared" si="16"/>
        <v>0</v>
      </c>
      <c r="AW21" s="173">
        <f t="shared" si="17"/>
        <v>0</v>
      </c>
      <c r="AX21" s="173"/>
      <c r="AY21" s="173"/>
      <c r="AZ21" s="173"/>
      <c r="BA21" s="173"/>
      <c r="BB21" s="173">
        <f t="shared" si="18"/>
        <v>0</v>
      </c>
      <c r="BC21" s="4">
        <f t="shared" si="19"/>
        <v>0</v>
      </c>
      <c r="BD21" s="4"/>
      <c r="BE21" s="4"/>
      <c r="BF21" s="4"/>
      <c r="BG21" s="10"/>
      <c r="BH21" s="4">
        <f t="shared" si="22"/>
        <v>0</v>
      </c>
      <c r="BI21" s="3"/>
      <c r="BJ21" s="4">
        <f t="shared" si="23"/>
        <v>0</v>
      </c>
      <c r="BK21" s="472">
        <f t="shared" si="24"/>
        <v>0</v>
      </c>
      <c r="BL21" s="4">
        <f t="shared" si="20"/>
        <v>0</v>
      </c>
      <c r="BM21" s="4"/>
      <c r="BN21" s="4"/>
      <c r="BO21" s="4"/>
      <c r="BP21" s="4"/>
    </row>
    <row r="22" spans="1:68" s="176" customFormat="1" ht="30" customHeight="1">
      <c r="A22" s="172">
        <v>17</v>
      </c>
      <c r="B22" s="172">
        <v>1455</v>
      </c>
      <c r="C22" s="172" t="s">
        <v>1590</v>
      </c>
      <c r="D22" s="173">
        <v>4500000</v>
      </c>
      <c r="E22" s="173">
        <v>4500000</v>
      </c>
      <c r="F22" s="173">
        <f t="shared" si="0"/>
        <v>0</v>
      </c>
      <c r="G22" s="173">
        <v>4500000</v>
      </c>
      <c r="H22" s="173">
        <v>3458625.7</v>
      </c>
      <c r="I22" s="173"/>
      <c r="J22" s="173">
        <v>269800.19</v>
      </c>
      <c r="K22" s="173">
        <f t="shared" si="2"/>
        <v>269800.19</v>
      </c>
      <c r="L22" s="173">
        <f t="shared" si="1"/>
        <v>3728425.89</v>
      </c>
      <c r="M22" s="173">
        <f t="shared" si="3"/>
        <v>771574.10999999987</v>
      </c>
      <c r="N22" s="173"/>
      <c r="O22" s="173">
        <f t="shared" si="26"/>
        <v>0</v>
      </c>
      <c r="P22" s="173">
        <f t="shared" si="28"/>
        <v>0</v>
      </c>
      <c r="Q22" s="173">
        <f t="shared" si="6"/>
        <v>771574.10999999987</v>
      </c>
      <c r="R22" s="173"/>
      <c r="S22" s="173"/>
      <c r="T22" s="173">
        <f t="shared" si="7"/>
        <v>0</v>
      </c>
      <c r="U22" s="173">
        <f t="shared" si="8"/>
        <v>0</v>
      </c>
      <c r="V22" s="173">
        <f t="shared" si="9"/>
        <v>0</v>
      </c>
      <c r="W22" s="173">
        <f t="shared" si="10"/>
        <v>0</v>
      </c>
      <c r="X22" s="173"/>
      <c r="Y22" s="173"/>
      <c r="Z22" s="173"/>
      <c r="AA22" s="172"/>
      <c r="AB22" s="293" t="s">
        <v>684</v>
      </c>
      <c r="AC22" s="172">
        <v>742000</v>
      </c>
      <c r="AD22" s="184"/>
      <c r="AE22" s="184"/>
      <c r="AF22" s="184"/>
      <c r="AG22" s="184"/>
      <c r="AH22" s="173">
        <f t="shared" si="11"/>
        <v>0</v>
      </c>
      <c r="AI22" s="173">
        <f t="shared" si="12"/>
        <v>0</v>
      </c>
      <c r="AJ22" s="173">
        <f t="shared" si="13"/>
        <v>0</v>
      </c>
      <c r="AK22" s="377"/>
      <c r="AL22" s="172"/>
      <c r="AM22" s="172"/>
      <c r="AN22" s="172"/>
      <c r="AO22" s="8"/>
      <c r="AP22" s="4"/>
      <c r="AQ22" s="172"/>
      <c r="AR22" s="518">
        <f t="shared" si="25"/>
        <v>0</v>
      </c>
      <c r="AS22" s="173">
        <f>M22-770000</f>
        <v>1574.1099999998696</v>
      </c>
      <c r="AT22" s="173">
        <f t="shared" si="27"/>
        <v>1574.1099999998696</v>
      </c>
      <c r="AU22" s="173">
        <f t="shared" si="15"/>
        <v>770000</v>
      </c>
      <c r="AV22" s="173">
        <f t="shared" si="16"/>
        <v>-770000</v>
      </c>
      <c r="AW22" s="173">
        <f t="shared" si="17"/>
        <v>-770000</v>
      </c>
      <c r="AX22" s="173"/>
      <c r="AY22" s="173"/>
      <c r="AZ22" s="173"/>
      <c r="BA22" s="173"/>
      <c r="BB22" s="173">
        <f t="shared" si="18"/>
        <v>-770000</v>
      </c>
      <c r="BC22" s="4">
        <f t="shared" si="19"/>
        <v>0</v>
      </c>
      <c r="BD22" s="4">
        <v>-770000</v>
      </c>
      <c r="BE22" s="4"/>
      <c r="BF22" s="4"/>
      <c r="BG22" s="10"/>
      <c r="BH22" s="4">
        <f t="shared" si="22"/>
        <v>-770000</v>
      </c>
      <c r="BI22" s="3"/>
      <c r="BJ22" s="4">
        <f t="shared" si="23"/>
        <v>-770000</v>
      </c>
      <c r="BK22" s="472">
        <f t="shared" si="24"/>
        <v>0</v>
      </c>
      <c r="BL22" s="4">
        <f t="shared" si="20"/>
        <v>-770000</v>
      </c>
      <c r="BM22" s="4"/>
      <c r="BN22" s="4"/>
      <c r="BO22" s="4"/>
      <c r="BP22" s="4"/>
    </row>
    <row r="23" spans="1:68" s="176" customFormat="1" ht="42">
      <c r="A23" s="172">
        <v>18</v>
      </c>
      <c r="B23" s="172">
        <v>1462</v>
      </c>
      <c r="C23" s="172" t="s">
        <v>1591</v>
      </c>
      <c r="D23" s="173">
        <v>7500000</v>
      </c>
      <c r="E23" s="173">
        <v>7500000</v>
      </c>
      <c r="F23" s="173">
        <f t="shared" si="0"/>
        <v>0</v>
      </c>
      <c r="G23" s="173">
        <v>7500000</v>
      </c>
      <c r="H23" s="173">
        <v>4531408.7</v>
      </c>
      <c r="I23" s="173"/>
      <c r="J23" s="173">
        <f>293553.9-10000</f>
        <v>283553.90000000002</v>
      </c>
      <c r="K23" s="173">
        <f t="shared" si="2"/>
        <v>283553.90000000002</v>
      </c>
      <c r="L23" s="173">
        <f t="shared" si="1"/>
        <v>4814962.6000000006</v>
      </c>
      <c r="M23" s="173">
        <f t="shared" si="3"/>
        <v>2685037.3999999994</v>
      </c>
      <c r="N23" s="173"/>
      <c r="O23" s="173">
        <f t="shared" si="26"/>
        <v>0</v>
      </c>
      <c r="P23" s="173">
        <f t="shared" si="28"/>
        <v>0</v>
      </c>
      <c r="Q23" s="173">
        <f t="shared" si="6"/>
        <v>2685037.3999999994</v>
      </c>
      <c r="R23" s="173"/>
      <c r="S23" s="173"/>
      <c r="T23" s="173">
        <f t="shared" si="7"/>
        <v>0</v>
      </c>
      <c r="U23" s="173">
        <f t="shared" si="8"/>
        <v>0</v>
      </c>
      <c r="V23" s="173">
        <f t="shared" si="9"/>
        <v>0</v>
      </c>
      <c r="W23" s="173">
        <f t="shared" si="10"/>
        <v>0</v>
      </c>
      <c r="X23" s="173"/>
      <c r="Y23" s="173"/>
      <c r="Z23" s="173"/>
      <c r="AA23" s="172"/>
      <c r="AB23" s="172" t="s">
        <v>685</v>
      </c>
      <c r="AC23" s="172">
        <v>742000</v>
      </c>
      <c r="AD23" s="184"/>
      <c r="AE23" s="184"/>
      <c r="AF23" s="184"/>
      <c r="AG23" s="184"/>
      <c r="AH23" s="173">
        <f t="shared" si="11"/>
        <v>0</v>
      </c>
      <c r="AI23" s="173">
        <f t="shared" si="12"/>
        <v>0</v>
      </c>
      <c r="AJ23" s="173">
        <f t="shared" si="13"/>
        <v>0</v>
      </c>
      <c r="AK23" s="377"/>
      <c r="AL23" s="172"/>
      <c r="AM23" s="172"/>
      <c r="AN23" s="172"/>
      <c r="AO23" s="8"/>
      <c r="AP23" s="4">
        <v>150000</v>
      </c>
      <c r="AQ23" s="172"/>
      <c r="AR23" s="518">
        <f t="shared" si="25"/>
        <v>0</v>
      </c>
      <c r="AS23" s="173">
        <f>M23-2680000</f>
        <v>5037.3999999994412</v>
      </c>
      <c r="AT23" s="173">
        <f t="shared" si="27"/>
        <v>5037.3999999994412</v>
      </c>
      <c r="AU23" s="173">
        <f t="shared" si="15"/>
        <v>2680000</v>
      </c>
      <c r="AV23" s="173">
        <f t="shared" si="16"/>
        <v>-2680000</v>
      </c>
      <c r="AW23" s="173">
        <f t="shared" si="17"/>
        <v>-2680000</v>
      </c>
      <c r="AX23" s="173"/>
      <c r="AY23" s="173"/>
      <c r="AZ23" s="173"/>
      <c r="BA23" s="173"/>
      <c r="BB23" s="173">
        <f t="shared" si="18"/>
        <v>-2680000</v>
      </c>
      <c r="BC23" s="4">
        <f t="shared" si="19"/>
        <v>0</v>
      </c>
      <c r="BD23" s="4">
        <v>-2680000</v>
      </c>
      <c r="BE23" s="4"/>
      <c r="BF23" s="4"/>
      <c r="BG23" s="10"/>
      <c r="BH23" s="4">
        <f t="shared" si="22"/>
        <v>-2680000</v>
      </c>
      <c r="BI23" s="3"/>
      <c r="BJ23" s="4">
        <f t="shared" si="23"/>
        <v>-2680000</v>
      </c>
      <c r="BK23" s="472">
        <f t="shared" si="24"/>
        <v>0</v>
      </c>
      <c r="BL23" s="4">
        <f t="shared" si="20"/>
        <v>-2680000</v>
      </c>
      <c r="BM23" s="4"/>
      <c r="BN23" s="4"/>
      <c r="BO23" s="4"/>
      <c r="BP23" s="4"/>
    </row>
    <row r="24" spans="1:68" s="176" customFormat="1" ht="30" customHeight="1">
      <c r="A24" s="172">
        <v>19</v>
      </c>
      <c r="B24" s="172">
        <v>1539</v>
      </c>
      <c r="C24" s="172" t="s">
        <v>39</v>
      </c>
      <c r="D24" s="173">
        <f>16300000</f>
        <v>16300000</v>
      </c>
      <c r="E24" s="173">
        <v>16300000</v>
      </c>
      <c r="F24" s="173">
        <f t="shared" si="0"/>
        <v>0</v>
      </c>
      <c r="G24" s="173">
        <v>16300000</v>
      </c>
      <c r="H24" s="173">
        <v>13661172.51</v>
      </c>
      <c r="I24" s="173">
        <v>54264.4</v>
      </c>
      <c r="J24" s="173">
        <v>761496.29</v>
      </c>
      <c r="K24" s="173">
        <f t="shared" si="2"/>
        <v>815760.69000000006</v>
      </c>
      <c r="L24" s="173">
        <f t="shared" si="1"/>
        <v>14476933.199999999</v>
      </c>
      <c r="M24" s="173">
        <f t="shared" si="3"/>
        <v>1823066.8000000007</v>
      </c>
      <c r="N24" s="173"/>
      <c r="O24" s="173">
        <f t="shared" si="26"/>
        <v>0</v>
      </c>
      <c r="P24" s="173">
        <f t="shared" si="28"/>
        <v>0</v>
      </c>
      <c r="Q24" s="173">
        <f t="shared" si="6"/>
        <v>1823066.8000000007</v>
      </c>
      <c r="R24" s="173"/>
      <c r="S24" s="173"/>
      <c r="T24" s="173">
        <f t="shared" si="7"/>
        <v>0</v>
      </c>
      <c r="U24" s="173">
        <f t="shared" si="8"/>
        <v>0</v>
      </c>
      <c r="V24" s="173">
        <f t="shared" si="9"/>
        <v>0</v>
      </c>
      <c r="W24" s="173">
        <f t="shared" si="10"/>
        <v>0</v>
      </c>
      <c r="X24" s="173"/>
      <c r="Y24" s="173"/>
      <c r="Z24" s="173"/>
      <c r="AA24" s="172"/>
      <c r="AB24" s="172" t="s">
        <v>686</v>
      </c>
      <c r="AC24" s="172">
        <v>742000</v>
      </c>
      <c r="AD24" s="184"/>
      <c r="AE24" s="184"/>
      <c r="AF24" s="184"/>
      <c r="AG24" s="184"/>
      <c r="AH24" s="173">
        <f t="shared" si="11"/>
        <v>0</v>
      </c>
      <c r="AI24" s="173">
        <f t="shared" si="12"/>
        <v>0</v>
      </c>
      <c r="AJ24" s="173">
        <f t="shared" si="13"/>
        <v>0</v>
      </c>
      <c r="AK24" s="377"/>
      <c r="AL24" s="172"/>
      <c r="AM24" s="172"/>
      <c r="AN24" s="172"/>
      <c r="AO24" s="4"/>
      <c r="AP24" s="4">
        <v>700000</v>
      </c>
      <c r="AQ24" s="172" t="s">
        <v>1101</v>
      </c>
      <c r="AR24" s="518">
        <f t="shared" si="25"/>
        <v>0</v>
      </c>
      <c r="AS24" s="173">
        <f>M24-1120000</f>
        <v>703066.80000000075</v>
      </c>
      <c r="AT24" s="173">
        <f t="shared" si="27"/>
        <v>703066.80000000075</v>
      </c>
      <c r="AU24" s="173">
        <f t="shared" si="15"/>
        <v>1120000</v>
      </c>
      <c r="AV24" s="173">
        <f t="shared" si="16"/>
        <v>-1120000</v>
      </c>
      <c r="AW24" s="173">
        <f t="shared" si="17"/>
        <v>-1120000</v>
      </c>
      <c r="AX24" s="173"/>
      <c r="AY24" s="173"/>
      <c r="AZ24" s="173"/>
      <c r="BA24" s="173"/>
      <c r="BB24" s="173">
        <f t="shared" si="18"/>
        <v>-1120000</v>
      </c>
      <c r="BC24" s="4">
        <f t="shared" si="19"/>
        <v>0</v>
      </c>
      <c r="BD24" s="4">
        <v>-1120000</v>
      </c>
      <c r="BE24" s="4"/>
      <c r="BF24" s="4"/>
      <c r="BG24" s="10"/>
      <c r="BH24" s="4">
        <f t="shared" si="22"/>
        <v>-1120000</v>
      </c>
      <c r="BI24" s="3"/>
      <c r="BJ24" s="4">
        <f t="shared" si="23"/>
        <v>-1120000</v>
      </c>
      <c r="BK24" s="472">
        <f t="shared" si="24"/>
        <v>0</v>
      </c>
      <c r="BL24" s="4">
        <f t="shared" si="20"/>
        <v>-1120000</v>
      </c>
      <c r="BM24" s="4"/>
      <c r="BN24" s="4"/>
      <c r="BO24" s="4"/>
      <c r="BP24" s="4"/>
    </row>
    <row r="25" spans="1:68" s="176" customFormat="1" ht="30" customHeight="1">
      <c r="A25" s="172">
        <v>20</v>
      </c>
      <c r="B25" s="172">
        <v>1588</v>
      </c>
      <c r="C25" s="172" t="s">
        <v>25</v>
      </c>
      <c r="D25" s="173">
        <v>50500000</v>
      </c>
      <c r="E25" s="173">
        <v>50500000</v>
      </c>
      <c r="F25" s="173">
        <f t="shared" si="0"/>
        <v>0</v>
      </c>
      <c r="G25" s="173">
        <v>45500000</v>
      </c>
      <c r="H25" s="173">
        <v>32991095.829999998</v>
      </c>
      <c r="I25" s="173">
        <v>682147.41</v>
      </c>
      <c r="J25" s="173">
        <v>116075.92</v>
      </c>
      <c r="K25" s="173">
        <f t="shared" si="2"/>
        <v>798223.33000000007</v>
      </c>
      <c r="L25" s="173">
        <f t="shared" si="1"/>
        <v>33789319.159999996</v>
      </c>
      <c r="M25" s="173">
        <f t="shared" si="3"/>
        <v>11710680.840000004</v>
      </c>
      <c r="N25" s="173"/>
      <c r="O25" s="173">
        <f t="shared" si="26"/>
        <v>0</v>
      </c>
      <c r="P25" s="173">
        <f t="shared" si="28"/>
        <v>5000000</v>
      </c>
      <c r="Q25" s="173">
        <f t="shared" si="6"/>
        <v>11710680.840000004</v>
      </c>
      <c r="R25" s="173"/>
      <c r="S25" s="173"/>
      <c r="T25" s="173">
        <f t="shared" si="7"/>
        <v>0</v>
      </c>
      <c r="U25" s="173">
        <f t="shared" si="8"/>
        <v>0</v>
      </c>
      <c r="V25" s="173">
        <f t="shared" si="9"/>
        <v>0</v>
      </c>
      <c r="W25" s="173">
        <f t="shared" si="10"/>
        <v>0</v>
      </c>
      <c r="X25" s="173"/>
      <c r="Y25" s="173"/>
      <c r="Z25" s="173"/>
      <c r="AA25" s="172"/>
      <c r="AB25" s="172" t="s">
        <v>462</v>
      </c>
      <c r="AC25" s="172">
        <v>742000</v>
      </c>
      <c r="AD25" s="184"/>
      <c r="AE25" s="184"/>
      <c r="AF25" s="184"/>
      <c r="AG25" s="184"/>
      <c r="AH25" s="173">
        <f t="shared" si="11"/>
        <v>0</v>
      </c>
      <c r="AI25" s="173">
        <f t="shared" si="12"/>
        <v>0</v>
      </c>
      <c r="AJ25" s="173">
        <f t="shared" si="13"/>
        <v>0</v>
      </c>
      <c r="AK25" s="377"/>
      <c r="AL25" s="172"/>
      <c r="AM25" s="172"/>
      <c r="AN25" s="172"/>
      <c r="AO25" s="4"/>
      <c r="AP25" s="4">
        <f t="shared" si="29"/>
        <v>11710680.840000004</v>
      </c>
      <c r="AQ25" s="172" t="s">
        <v>1102</v>
      </c>
      <c r="AR25" s="518">
        <f t="shared" si="25"/>
        <v>0</v>
      </c>
      <c r="AS25" s="173">
        <f t="shared" si="21"/>
        <v>11710680.840000004</v>
      </c>
      <c r="AT25" s="173">
        <f t="shared" si="27"/>
        <v>11710680.840000004</v>
      </c>
      <c r="AU25" s="173">
        <f t="shared" si="15"/>
        <v>5000000</v>
      </c>
      <c r="AV25" s="173">
        <f t="shared" si="16"/>
        <v>0</v>
      </c>
      <c r="AW25" s="173">
        <f t="shared" si="17"/>
        <v>0</v>
      </c>
      <c r="AX25" s="173"/>
      <c r="AY25" s="173"/>
      <c r="AZ25" s="173"/>
      <c r="BA25" s="173"/>
      <c r="BB25" s="173">
        <f t="shared" si="18"/>
        <v>0</v>
      </c>
      <c r="BC25" s="4">
        <f t="shared" si="19"/>
        <v>0</v>
      </c>
      <c r="BD25" s="4"/>
      <c r="BE25" s="4"/>
      <c r="BF25" s="4"/>
      <c r="BG25" s="10"/>
      <c r="BH25" s="4">
        <f t="shared" si="22"/>
        <v>0</v>
      </c>
      <c r="BI25" s="3"/>
      <c r="BJ25" s="4">
        <f t="shared" si="23"/>
        <v>0</v>
      </c>
      <c r="BK25" s="472">
        <f t="shared" si="24"/>
        <v>0</v>
      </c>
      <c r="BL25" s="4">
        <f t="shared" si="20"/>
        <v>0</v>
      </c>
      <c r="BM25" s="4"/>
      <c r="BN25" s="4"/>
      <c r="BO25" s="4"/>
      <c r="BP25" s="4"/>
    </row>
    <row r="26" spans="1:68" s="176" customFormat="1" ht="30" customHeight="1">
      <c r="A26" s="172">
        <v>21</v>
      </c>
      <c r="B26" s="172">
        <v>1614</v>
      </c>
      <c r="C26" s="172" t="s">
        <v>377</v>
      </c>
      <c r="D26" s="173">
        <v>7200000</v>
      </c>
      <c r="E26" s="173">
        <v>7200000</v>
      </c>
      <c r="F26" s="173">
        <f t="shared" si="0"/>
        <v>0</v>
      </c>
      <c r="G26" s="173">
        <v>7200000</v>
      </c>
      <c r="H26" s="173">
        <v>4980501.5</v>
      </c>
      <c r="I26" s="173"/>
      <c r="J26" s="173">
        <v>695504.33</v>
      </c>
      <c r="K26" s="173">
        <f t="shared" si="2"/>
        <v>695504.33</v>
      </c>
      <c r="L26" s="173">
        <f t="shared" si="1"/>
        <v>5676005.8300000001</v>
      </c>
      <c r="M26" s="173">
        <f t="shared" si="3"/>
        <v>1523994.17</v>
      </c>
      <c r="N26" s="173"/>
      <c r="O26" s="173">
        <f t="shared" si="26"/>
        <v>0</v>
      </c>
      <c r="P26" s="173">
        <f t="shared" si="28"/>
        <v>0</v>
      </c>
      <c r="Q26" s="173">
        <f t="shared" si="6"/>
        <v>1523994.17</v>
      </c>
      <c r="R26" s="173"/>
      <c r="S26" s="173"/>
      <c r="T26" s="173">
        <f t="shared" si="7"/>
        <v>0</v>
      </c>
      <c r="U26" s="173">
        <f t="shared" si="8"/>
        <v>0</v>
      </c>
      <c r="V26" s="173">
        <f t="shared" si="9"/>
        <v>0</v>
      </c>
      <c r="W26" s="173">
        <f t="shared" si="10"/>
        <v>0</v>
      </c>
      <c r="X26" s="173"/>
      <c r="Y26" s="173"/>
      <c r="Z26" s="173"/>
      <c r="AA26" s="172"/>
      <c r="AB26" s="172" t="s">
        <v>687</v>
      </c>
      <c r="AC26" s="172">
        <v>742000</v>
      </c>
      <c r="AD26" s="184"/>
      <c r="AE26" s="184"/>
      <c r="AF26" s="184"/>
      <c r="AG26" s="184"/>
      <c r="AH26" s="173">
        <f t="shared" si="11"/>
        <v>0</v>
      </c>
      <c r="AI26" s="173">
        <f t="shared" si="12"/>
        <v>0</v>
      </c>
      <c r="AJ26" s="173">
        <f>AI26</f>
        <v>0</v>
      </c>
      <c r="AK26" s="377"/>
      <c r="AL26" s="172"/>
      <c r="AM26" s="172"/>
      <c r="AN26" s="172"/>
      <c r="AO26" s="4"/>
      <c r="AP26" s="4"/>
      <c r="AQ26" s="172"/>
      <c r="AR26" s="518">
        <f>AO26</f>
        <v>0</v>
      </c>
      <c r="AS26" s="173">
        <f>M26-1520000</f>
        <v>3994.1699999999255</v>
      </c>
      <c r="AT26" s="173">
        <f t="shared" si="27"/>
        <v>3994.1699999999255</v>
      </c>
      <c r="AU26" s="173">
        <f t="shared" si="15"/>
        <v>1520000</v>
      </c>
      <c r="AV26" s="173">
        <f t="shared" si="16"/>
        <v>-1520000</v>
      </c>
      <c r="AW26" s="173">
        <f t="shared" si="17"/>
        <v>-1520000</v>
      </c>
      <c r="AX26" s="173"/>
      <c r="AY26" s="173"/>
      <c r="AZ26" s="173"/>
      <c r="BA26" s="173"/>
      <c r="BB26" s="173">
        <f t="shared" si="18"/>
        <v>-1520000</v>
      </c>
      <c r="BC26" s="4">
        <f t="shared" si="19"/>
        <v>0</v>
      </c>
      <c r="BD26" s="4">
        <v>-1520000</v>
      </c>
      <c r="BE26" s="4"/>
      <c r="BF26" s="4"/>
      <c r="BG26" s="10"/>
      <c r="BH26" s="4">
        <f t="shared" si="22"/>
        <v>-1520000</v>
      </c>
      <c r="BI26" s="3"/>
      <c r="BJ26" s="4">
        <f t="shared" si="23"/>
        <v>-1520000</v>
      </c>
      <c r="BK26" s="472">
        <f t="shared" si="24"/>
        <v>0</v>
      </c>
      <c r="BL26" s="4">
        <f t="shared" si="20"/>
        <v>-1520000</v>
      </c>
      <c r="BM26" s="4"/>
      <c r="BN26" s="4"/>
      <c r="BO26" s="4"/>
      <c r="BP26" s="4"/>
    </row>
    <row r="27" spans="1:68" s="176" customFormat="1" ht="30" customHeight="1">
      <c r="A27" s="172">
        <v>22</v>
      </c>
      <c r="B27" s="172">
        <v>1615</v>
      </c>
      <c r="C27" s="172" t="s">
        <v>128</v>
      </c>
      <c r="D27" s="173">
        <v>27700000</v>
      </c>
      <c r="E27" s="173">
        <v>27700000</v>
      </c>
      <c r="F27" s="173">
        <f t="shared" si="0"/>
        <v>0</v>
      </c>
      <c r="G27" s="173">
        <v>20200000</v>
      </c>
      <c r="H27" s="173">
        <v>15480207.66</v>
      </c>
      <c r="I27" s="173"/>
      <c r="J27" s="173">
        <v>1005341.16</v>
      </c>
      <c r="K27" s="173">
        <f t="shared" si="2"/>
        <v>1005341.16</v>
      </c>
      <c r="L27" s="173">
        <f t="shared" si="1"/>
        <v>16485548.82</v>
      </c>
      <c r="M27" s="173">
        <f t="shared" si="3"/>
        <v>3714451.1799999997</v>
      </c>
      <c r="N27" s="173">
        <f>7500000-3000000-500000</f>
        <v>4000000</v>
      </c>
      <c r="O27" s="173">
        <f t="shared" si="26"/>
        <v>4000000</v>
      </c>
      <c r="P27" s="173">
        <f t="shared" si="28"/>
        <v>3500000</v>
      </c>
      <c r="Q27" s="173">
        <f t="shared" si="6"/>
        <v>3714451.1799999997</v>
      </c>
      <c r="R27" s="173">
        <f>7500000-7500000</f>
        <v>0</v>
      </c>
      <c r="S27" s="173"/>
      <c r="T27" s="173">
        <f t="shared" si="7"/>
        <v>0</v>
      </c>
      <c r="U27" s="173">
        <f t="shared" si="8"/>
        <v>0</v>
      </c>
      <c r="V27" s="173">
        <f t="shared" si="9"/>
        <v>4000000</v>
      </c>
      <c r="W27" s="173">
        <f t="shared" si="10"/>
        <v>4000000</v>
      </c>
      <c r="X27" s="173"/>
      <c r="Y27" s="173"/>
      <c r="Z27" s="173"/>
      <c r="AA27" s="172"/>
      <c r="AB27" s="172" t="s">
        <v>796</v>
      </c>
      <c r="AC27" s="172">
        <v>742000</v>
      </c>
      <c r="AD27" s="184"/>
      <c r="AE27" s="184"/>
      <c r="AF27" s="184"/>
      <c r="AG27" s="184"/>
      <c r="AH27" s="173">
        <f t="shared" si="11"/>
        <v>0</v>
      </c>
      <c r="AI27" s="173">
        <f t="shared" si="12"/>
        <v>4000000</v>
      </c>
      <c r="AJ27" s="173">
        <f t="shared" si="13"/>
        <v>4000000</v>
      </c>
      <c r="AK27" s="377"/>
      <c r="AL27" s="172"/>
      <c r="AM27" s="172"/>
      <c r="AN27" s="172"/>
      <c r="AO27" s="4">
        <v>1500000</v>
      </c>
      <c r="AP27" s="4">
        <f t="shared" si="29"/>
        <v>3714451.1799999997</v>
      </c>
      <c r="AQ27" s="172" t="s">
        <v>1103</v>
      </c>
      <c r="AR27" s="518">
        <f t="shared" si="25"/>
        <v>1500000</v>
      </c>
      <c r="AS27" s="173">
        <f t="shared" si="21"/>
        <v>3714451.1799999997</v>
      </c>
      <c r="AT27" s="173">
        <f t="shared" si="27"/>
        <v>5214451.18</v>
      </c>
      <c r="AU27" s="173">
        <f t="shared" si="15"/>
        <v>6000000</v>
      </c>
      <c r="AV27" s="173">
        <f t="shared" si="16"/>
        <v>1500000</v>
      </c>
      <c r="AW27" s="173">
        <f t="shared" si="17"/>
        <v>1500000</v>
      </c>
      <c r="AX27" s="173"/>
      <c r="AY27" s="173"/>
      <c r="AZ27" s="173"/>
      <c r="BA27" s="173"/>
      <c r="BB27" s="173">
        <f t="shared" si="18"/>
        <v>0</v>
      </c>
      <c r="BC27" s="4">
        <f t="shared" si="19"/>
        <v>1500000</v>
      </c>
      <c r="BD27" s="4">
        <v>1500000</v>
      </c>
      <c r="BE27" s="4"/>
      <c r="BF27" s="4"/>
      <c r="BG27" s="10"/>
      <c r="BH27" s="4">
        <f t="shared" si="22"/>
        <v>1500000</v>
      </c>
      <c r="BI27" s="3"/>
      <c r="BJ27" s="4">
        <f t="shared" si="23"/>
        <v>1500000</v>
      </c>
      <c r="BK27" s="472">
        <f t="shared" si="24"/>
        <v>0</v>
      </c>
      <c r="BL27" s="4">
        <f t="shared" si="20"/>
        <v>1500000</v>
      </c>
      <c r="BM27" s="4"/>
      <c r="BN27" s="4"/>
      <c r="BO27" s="4"/>
      <c r="BP27" s="4"/>
    </row>
    <row r="28" spans="1:68" s="176" customFormat="1" ht="30" customHeight="1">
      <c r="A28" s="172">
        <v>23</v>
      </c>
      <c r="B28" s="172">
        <v>1656</v>
      </c>
      <c r="C28" s="172" t="s">
        <v>1592</v>
      </c>
      <c r="D28" s="173">
        <v>9400000</v>
      </c>
      <c r="E28" s="173">
        <v>9400000</v>
      </c>
      <c r="F28" s="173">
        <f t="shared" si="0"/>
        <v>0</v>
      </c>
      <c r="G28" s="173">
        <v>9400000</v>
      </c>
      <c r="H28" s="173">
        <v>6217998.0999999996</v>
      </c>
      <c r="I28" s="173"/>
      <c r="J28" s="173"/>
      <c r="K28" s="173">
        <f t="shared" si="2"/>
        <v>0</v>
      </c>
      <c r="L28" s="173">
        <f t="shared" si="1"/>
        <v>6217998.0999999996</v>
      </c>
      <c r="M28" s="519">
        <f>Q28+T28</f>
        <v>3182001.9000000004</v>
      </c>
      <c r="N28" s="519">
        <v>-2700000</v>
      </c>
      <c r="O28" s="519">
        <f t="shared" si="26"/>
        <v>-2700000</v>
      </c>
      <c r="P28" s="519">
        <f t="shared" si="28"/>
        <v>2700000</v>
      </c>
      <c r="Q28" s="519">
        <f t="shared" si="6"/>
        <v>3182001.9000000004</v>
      </c>
      <c r="R28" s="519"/>
      <c r="S28" s="519"/>
      <c r="T28" s="519">
        <f t="shared" si="7"/>
        <v>0</v>
      </c>
      <c r="U28" s="519">
        <f t="shared" si="8"/>
        <v>0</v>
      </c>
      <c r="V28" s="519">
        <f t="shared" si="9"/>
        <v>-2700000</v>
      </c>
      <c r="W28" s="519">
        <f t="shared" si="10"/>
        <v>-2700000</v>
      </c>
      <c r="X28" s="519"/>
      <c r="Y28" s="519"/>
      <c r="Z28" s="519"/>
      <c r="AA28" s="499"/>
      <c r="AB28" s="520"/>
      <c r="AC28" s="499">
        <v>742000</v>
      </c>
      <c r="AD28" s="521"/>
      <c r="AE28" s="521"/>
      <c r="AF28" s="521"/>
      <c r="AG28" s="521"/>
      <c r="AH28" s="519">
        <f t="shared" si="11"/>
        <v>0</v>
      </c>
      <c r="AI28" s="519">
        <f t="shared" si="12"/>
        <v>-2700000</v>
      </c>
      <c r="AJ28" s="173">
        <f t="shared" si="13"/>
        <v>-2700000</v>
      </c>
      <c r="AK28" s="377"/>
      <c r="AL28" s="172"/>
      <c r="AM28" s="172"/>
      <c r="AN28" s="172"/>
      <c r="AO28" s="3"/>
      <c r="AP28" s="3"/>
      <c r="AQ28" s="172"/>
      <c r="AR28" s="518">
        <v>-2700000</v>
      </c>
      <c r="AS28" s="173">
        <f>M28-400000</f>
        <v>2782001.9000000004</v>
      </c>
      <c r="AT28" s="173">
        <f t="shared" si="27"/>
        <v>82001.900000000373</v>
      </c>
      <c r="AU28" s="173">
        <f t="shared" si="15"/>
        <v>3100000</v>
      </c>
      <c r="AV28" s="173">
        <f t="shared" si="16"/>
        <v>-3100000</v>
      </c>
      <c r="AW28" s="173">
        <f t="shared" si="17"/>
        <v>-3100000</v>
      </c>
      <c r="AX28" s="173"/>
      <c r="AY28" s="173"/>
      <c r="AZ28" s="173"/>
      <c r="BA28" s="173"/>
      <c r="BB28" s="173">
        <f t="shared" si="18"/>
        <v>-400000</v>
      </c>
      <c r="BC28" s="4">
        <f t="shared" si="19"/>
        <v>-2700000</v>
      </c>
      <c r="BD28" s="4">
        <v>-3100000</v>
      </c>
      <c r="BE28" s="4"/>
      <c r="BF28" s="4"/>
      <c r="BG28" s="10"/>
      <c r="BH28" s="4">
        <f t="shared" si="22"/>
        <v>-3100000</v>
      </c>
      <c r="BI28" s="3"/>
      <c r="BJ28" s="4">
        <f t="shared" si="23"/>
        <v>-3100000</v>
      </c>
      <c r="BK28" s="472">
        <f t="shared" si="24"/>
        <v>0</v>
      </c>
      <c r="BL28" s="4">
        <f t="shared" si="20"/>
        <v>-3100000</v>
      </c>
      <c r="BM28" s="4"/>
      <c r="BN28" s="4"/>
      <c r="BO28" s="4"/>
      <c r="BP28" s="4"/>
    </row>
    <row r="29" spans="1:68" s="176" customFormat="1" ht="30" customHeight="1">
      <c r="A29" s="172">
        <v>24</v>
      </c>
      <c r="B29" s="172">
        <v>1657</v>
      </c>
      <c r="C29" s="172" t="s">
        <v>27</v>
      </c>
      <c r="D29" s="173">
        <v>60000000</v>
      </c>
      <c r="E29" s="173">
        <v>60000000</v>
      </c>
      <c r="F29" s="173">
        <f t="shared" si="0"/>
        <v>0</v>
      </c>
      <c r="G29" s="173">
        <v>15410000</v>
      </c>
      <c r="H29" s="173">
        <v>12650482.73</v>
      </c>
      <c r="I29" s="173">
        <v>167189.14000000001</v>
      </c>
      <c r="J29" s="173">
        <v>1618722.55</v>
      </c>
      <c r="K29" s="173">
        <f t="shared" si="2"/>
        <v>1785911.69</v>
      </c>
      <c r="L29" s="173">
        <f t="shared" si="1"/>
        <v>14436394.42</v>
      </c>
      <c r="M29" s="173">
        <f t="shared" si="3"/>
        <v>973605.58000000007</v>
      </c>
      <c r="N29" s="173">
        <f>46300000-20000000-10000000</f>
        <v>16300000</v>
      </c>
      <c r="O29" s="173">
        <f t="shared" si="26"/>
        <v>14800000</v>
      </c>
      <c r="P29" s="173">
        <f t="shared" si="28"/>
        <v>29790000</v>
      </c>
      <c r="Q29" s="173">
        <f t="shared" si="6"/>
        <v>973605.58000000007</v>
      </c>
      <c r="R29" s="173"/>
      <c r="S29" s="173"/>
      <c r="T29" s="173">
        <f t="shared" si="7"/>
        <v>0</v>
      </c>
      <c r="U29" s="173">
        <f t="shared" si="8"/>
        <v>0</v>
      </c>
      <c r="V29" s="173">
        <f t="shared" si="9"/>
        <v>16300000</v>
      </c>
      <c r="W29" s="173">
        <f t="shared" si="10"/>
        <v>14588734</v>
      </c>
      <c r="X29" s="173"/>
      <c r="Y29" s="173"/>
      <c r="Z29" s="173"/>
      <c r="AA29" s="173">
        <f>210000+1501266</f>
        <v>1711266</v>
      </c>
      <c r="AB29" s="3" t="s">
        <v>811</v>
      </c>
      <c r="AC29" s="172">
        <v>742000</v>
      </c>
      <c r="AD29" s="184"/>
      <c r="AE29" s="184"/>
      <c r="AF29" s="173">
        <v>1500000</v>
      </c>
      <c r="AG29" s="173"/>
      <c r="AH29" s="173">
        <f t="shared" si="11"/>
        <v>1500000</v>
      </c>
      <c r="AI29" s="173">
        <f t="shared" si="12"/>
        <v>14800000</v>
      </c>
      <c r="AJ29" s="173">
        <f>AI29-AN29</f>
        <v>13088734</v>
      </c>
      <c r="AK29" s="377"/>
      <c r="AL29" s="172"/>
      <c r="AM29" s="172"/>
      <c r="AN29" s="210">
        <v>1711266</v>
      </c>
      <c r="AO29" s="4">
        <v>6000000</v>
      </c>
      <c r="AP29" s="4">
        <f>M29</f>
        <v>973605.58000000007</v>
      </c>
      <c r="AQ29" s="172"/>
      <c r="AR29" s="518">
        <f t="shared" si="25"/>
        <v>6000000</v>
      </c>
      <c r="AS29" s="173">
        <f t="shared" si="21"/>
        <v>973605.58000000007</v>
      </c>
      <c r="AT29" s="173">
        <f t="shared" si="27"/>
        <v>6973605.5800000001</v>
      </c>
      <c r="AU29" s="173">
        <f t="shared" si="15"/>
        <v>38590000</v>
      </c>
      <c r="AV29" s="173">
        <f t="shared" si="16"/>
        <v>6000000</v>
      </c>
      <c r="AW29" s="173">
        <f t="shared" si="17"/>
        <v>4288734</v>
      </c>
      <c r="AX29" s="173"/>
      <c r="AY29" s="173"/>
      <c r="AZ29" s="173"/>
      <c r="BA29" s="210">
        <f>1501266+210000</f>
        <v>1711266</v>
      </c>
      <c r="BB29" s="173">
        <f t="shared" si="18"/>
        <v>0</v>
      </c>
      <c r="BC29" s="4">
        <f t="shared" si="19"/>
        <v>6000000</v>
      </c>
      <c r="BD29" s="4">
        <v>6000000</v>
      </c>
      <c r="BE29" s="4">
        <v>-210000</v>
      </c>
      <c r="BF29" s="4"/>
      <c r="BG29" s="10"/>
      <c r="BH29" s="4">
        <f t="shared" si="22"/>
        <v>5790000</v>
      </c>
      <c r="BI29" s="3"/>
      <c r="BJ29" s="4">
        <f t="shared" si="23"/>
        <v>5790000</v>
      </c>
      <c r="BK29" s="472">
        <f t="shared" si="24"/>
        <v>210000</v>
      </c>
      <c r="BL29" s="4">
        <f t="shared" si="20"/>
        <v>4288734</v>
      </c>
      <c r="BM29" s="4"/>
      <c r="BN29" s="4"/>
      <c r="BO29" s="4"/>
      <c r="BP29" s="210">
        <f>1501266+210000-210000</f>
        <v>1501266</v>
      </c>
    </row>
    <row r="30" spans="1:68" s="176" customFormat="1" ht="30" customHeight="1">
      <c r="A30" s="172">
        <v>25</v>
      </c>
      <c r="B30" s="172">
        <v>1723</v>
      </c>
      <c r="C30" s="172" t="s">
        <v>28</v>
      </c>
      <c r="D30" s="173">
        <v>17500000</v>
      </c>
      <c r="E30" s="173">
        <v>17500000</v>
      </c>
      <c r="F30" s="173">
        <f t="shared" si="0"/>
        <v>0</v>
      </c>
      <c r="G30" s="173">
        <v>12212460</v>
      </c>
      <c r="H30" s="173">
        <v>1495484</v>
      </c>
      <c r="I30" s="173"/>
      <c r="J30" s="173">
        <v>40053.839999999997</v>
      </c>
      <c r="K30" s="173">
        <f t="shared" si="2"/>
        <v>40053.839999999997</v>
      </c>
      <c r="L30" s="173">
        <f t="shared" si="1"/>
        <v>1535537.84</v>
      </c>
      <c r="M30" s="173">
        <f t="shared" si="3"/>
        <v>10676922.16</v>
      </c>
      <c r="N30" s="173"/>
      <c r="O30" s="173">
        <f t="shared" si="26"/>
        <v>0</v>
      </c>
      <c r="P30" s="173">
        <f t="shared" si="28"/>
        <v>5287540</v>
      </c>
      <c r="Q30" s="173">
        <f t="shared" si="6"/>
        <v>10676922.16</v>
      </c>
      <c r="R30" s="173"/>
      <c r="S30" s="173"/>
      <c r="T30" s="173">
        <f t="shared" si="7"/>
        <v>0</v>
      </c>
      <c r="U30" s="173">
        <f t="shared" si="8"/>
        <v>0</v>
      </c>
      <c r="V30" s="173">
        <f t="shared" si="9"/>
        <v>0</v>
      </c>
      <c r="W30" s="173">
        <f t="shared" si="10"/>
        <v>0</v>
      </c>
      <c r="X30" s="173"/>
      <c r="Y30" s="173"/>
      <c r="Z30" s="173"/>
      <c r="AA30" s="173"/>
      <c r="AB30" s="172" t="s">
        <v>894</v>
      </c>
      <c r="AC30" s="172">
        <v>732000</v>
      </c>
      <c r="AD30" s="184"/>
      <c r="AE30" s="184"/>
      <c r="AF30" s="184"/>
      <c r="AG30" s="184"/>
      <c r="AH30" s="173">
        <f t="shared" ref="AH30:AH90" si="30">SUM(AD30:AG30)</f>
        <v>0</v>
      </c>
      <c r="AI30" s="173">
        <f t="shared" si="12"/>
        <v>0</v>
      </c>
      <c r="AJ30" s="173">
        <f t="shared" si="13"/>
        <v>0</v>
      </c>
      <c r="AK30" s="377"/>
      <c r="AL30" s="172"/>
      <c r="AM30" s="172"/>
      <c r="AN30" s="172"/>
      <c r="AO30" s="3"/>
      <c r="AP30" s="3"/>
      <c r="AQ30" s="172" t="s">
        <v>1104</v>
      </c>
      <c r="AR30" s="518">
        <f t="shared" si="25"/>
        <v>0</v>
      </c>
      <c r="AS30" s="173">
        <f>M30-2000000</f>
        <v>8676922.1600000001</v>
      </c>
      <c r="AT30" s="173">
        <f t="shared" si="27"/>
        <v>8676922.1600000001</v>
      </c>
      <c r="AU30" s="173">
        <f t="shared" si="15"/>
        <v>7287540</v>
      </c>
      <c r="AV30" s="173">
        <f t="shared" si="16"/>
        <v>-2000000</v>
      </c>
      <c r="AW30" s="173">
        <f t="shared" si="17"/>
        <v>-2000000</v>
      </c>
      <c r="AX30" s="173"/>
      <c r="AY30" s="173"/>
      <c r="AZ30" s="173"/>
      <c r="BA30" s="173"/>
      <c r="BB30" s="173">
        <f t="shared" si="18"/>
        <v>-2000000</v>
      </c>
      <c r="BC30" s="4">
        <f t="shared" si="19"/>
        <v>0</v>
      </c>
      <c r="BD30" s="4">
        <v>-2000000</v>
      </c>
      <c r="BE30" s="4"/>
      <c r="BF30" s="4"/>
      <c r="BG30" s="10"/>
      <c r="BH30" s="4">
        <f t="shared" si="22"/>
        <v>-2000000</v>
      </c>
      <c r="BI30" s="3"/>
      <c r="BJ30" s="4">
        <f t="shared" si="23"/>
        <v>-2000000</v>
      </c>
      <c r="BK30" s="472">
        <f t="shared" si="24"/>
        <v>0</v>
      </c>
      <c r="BL30" s="4">
        <f t="shared" si="20"/>
        <v>-2000000</v>
      </c>
      <c r="BM30" s="4"/>
      <c r="BN30" s="4"/>
      <c r="BO30" s="4"/>
      <c r="BP30" s="4"/>
    </row>
    <row r="31" spans="1:68" s="176" customFormat="1" ht="30" customHeight="1">
      <c r="A31" s="172">
        <v>26</v>
      </c>
      <c r="B31" s="172">
        <v>1751</v>
      </c>
      <c r="C31" s="172" t="s">
        <v>113</v>
      </c>
      <c r="D31" s="173">
        <v>4800000</v>
      </c>
      <c r="E31" s="173">
        <v>4800000</v>
      </c>
      <c r="F31" s="173">
        <f t="shared" si="0"/>
        <v>0</v>
      </c>
      <c r="G31" s="173">
        <v>4800000</v>
      </c>
      <c r="H31" s="173">
        <v>2461789</v>
      </c>
      <c r="I31" s="173"/>
      <c r="J31" s="173"/>
      <c r="K31" s="173">
        <f t="shared" si="2"/>
        <v>0</v>
      </c>
      <c r="L31" s="173">
        <f t="shared" si="1"/>
        <v>2461789</v>
      </c>
      <c r="M31" s="173">
        <f t="shared" si="3"/>
        <v>2338211</v>
      </c>
      <c r="N31" s="173"/>
      <c r="O31" s="173">
        <f t="shared" si="26"/>
        <v>0</v>
      </c>
      <c r="P31" s="173">
        <f t="shared" si="28"/>
        <v>0</v>
      </c>
      <c r="Q31" s="173">
        <f t="shared" si="6"/>
        <v>2338211</v>
      </c>
      <c r="R31" s="173"/>
      <c r="S31" s="173"/>
      <c r="T31" s="173">
        <f t="shared" si="7"/>
        <v>0</v>
      </c>
      <c r="U31" s="173">
        <f t="shared" si="8"/>
        <v>0</v>
      </c>
      <c r="V31" s="173">
        <f t="shared" si="9"/>
        <v>0</v>
      </c>
      <c r="W31" s="173">
        <f t="shared" si="10"/>
        <v>0</v>
      </c>
      <c r="X31" s="173"/>
      <c r="Y31" s="173"/>
      <c r="Z31" s="173"/>
      <c r="AA31" s="172"/>
      <c r="AB31" s="172" t="s">
        <v>861</v>
      </c>
      <c r="AC31" s="172">
        <v>810000</v>
      </c>
      <c r="AD31" s="292"/>
      <c r="AE31" s="292"/>
      <c r="AF31" s="292"/>
      <c r="AG31" s="292"/>
      <c r="AH31" s="173">
        <f t="shared" si="30"/>
        <v>0</v>
      </c>
      <c r="AI31" s="173">
        <f t="shared" si="12"/>
        <v>0</v>
      </c>
      <c r="AJ31" s="173">
        <f t="shared" si="13"/>
        <v>0</v>
      </c>
      <c r="AK31" s="522"/>
      <c r="AL31" s="172"/>
      <c r="AM31" s="172"/>
      <c r="AN31" s="172"/>
      <c r="AO31" s="7"/>
      <c r="AP31" s="4">
        <v>250000</v>
      </c>
      <c r="AQ31" s="172"/>
      <c r="AR31" s="518">
        <f t="shared" si="25"/>
        <v>0</v>
      </c>
      <c r="AS31" s="173">
        <f>M31-2080000</f>
        <v>258211</v>
      </c>
      <c r="AT31" s="173">
        <f t="shared" si="27"/>
        <v>258211</v>
      </c>
      <c r="AU31" s="173">
        <f t="shared" si="15"/>
        <v>2080000</v>
      </c>
      <c r="AV31" s="173">
        <f t="shared" si="16"/>
        <v>-2080000</v>
      </c>
      <c r="AW31" s="173">
        <f t="shared" si="17"/>
        <v>-2080000</v>
      </c>
      <c r="AX31" s="173"/>
      <c r="AY31" s="173"/>
      <c r="AZ31" s="173"/>
      <c r="BA31" s="173"/>
      <c r="BB31" s="173">
        <f t="shared" si="18"/>
        <v>-2080000</v>
      </c>
      <c r="BC31" s="4">
        <f t="shared" si="19"/>
        <v>0</v>
      </c>
      <c r="BD31" s="4">
        <v>-2080000</v>
      </c>
      <c r="BE31" s="4"/>
      <c r="BF31" s="4"/>
      <c r="BG31" s="10"/>
      <c r="BH31" s="4">
        <f t="shared" si="22"/>
        <v>-2080000</v>
      </c>
      <c r="BI31" s="3"/>
      <c r="BJ31" s="4">
        <f t="shared" si="23"/>
        <v>-2080000</v>
      </c>
      <c r="BK31" s="472">
        <f t="shared" si="24"/>
        <v>0</v>
      </c>
      <c r="BL31" s="4">
        <f t="shared" si="20"/>
        <v>-2080000</v>
      </c>
      <c r="BM31" s="4"/>
      <c r="BN31" s="4"/>
      <c r="BO31" s="4"/>
      <c r="BP31" s="4"/>
    </row>
    <row r="32" spans="1:68" s="183" customFormat="1" ht="30" customHeight="1">
      <c r="A32" s="172">
        <v>27</v>
      </c>
      <c r="B32" s="172">
        <v>1765</v>
      </c>
      <c r="C32" s="172" t="s">
        <v>1593</v>
      </c>
      <c r="D32" s="173">
        <v>2800000</v>
      </c>
      <c r="E32" s="173">
        <v>2800000</v>
      </c>
      <c r="F32" s="173">
        <f t="shared" si="0"/>
        <v>0</v>
      </c>
      <c r="G32" s="173">
        <v>2800000</v>
      </c>
      <c r="H32" s="173">
        <v>2365342.36</v>
      </c>
      <c r="I32" s="173"/>
      <c r="J32" s="173">
        <v>101421.41</v>
      </c>
      <c r="K32" s="173">
        <f t="shared" si="2"/>
        <v>101421.41</v>
      </c>
      <c r="L32" s="173">
        <f t="shared" si="1"/>
        <v>2466763.77</v>
      </c>
      <c r="M32" s="519">
        <f>Q32+T32</f>
        <v>333236.23</v>
      </c>
      <c r="N32" s="519">
        <v>-250000</v>
      </c>
      <c r="O32" s="519">
        <f t="shared" si="26"/>
        <v>-250000</v>
      </c>
      <c r="P32" s="519">
        <f t="shared" si="28"/>
        <v>250000</v>
      </c>
      <c r="Q32" s="519">
        <f t="shared" si="6"/>
        <v>333236.23</v>
      </c>
      <c r="R32" s="519"/>
      <c r="S32" s="519"/>
      <c r="T32" s="519">
        <f t="shared" si="7"/>
        <v>0</v>
      </c>
      <c r="U32" s="519">
        <f t="shared" si="8"/>
        <v>0</v>
      </c>
      <c r="V32" s="519">
        <f t="shared" si="9"/>
        <v>-250000</v>
      </c>
      <c r="W32" s="519">
        <f t="shared" si="10"/>
        <v>-250000</v>
      </c>
      <c r="X32" s="519"/>
      <c r="Y32" s="519"/>
      <c r="Z32" s="519"/>
      <c r="AA32" s="499"/>
      <c r="AB32" s="499" t="s">
        <v>857</v>
      </c>
      <c r="AC32" s="499">
        <v>742000</v>
      </c>
      <c r="AD32" s="500"/>
      <c r="AE32" s="500"/>
      <c r="AF32" s="500"/>
      <c r="AG32" s="500"/>
      <c r="AH32" s="519">
        <f t="shared" si="30"/>
        <v>0</v>
      </c>
      <c r="AI32" s="519">
        <f t="shared" si="12"/>
        <v>-250000</v>
      </c>
      <c r="AJ32" s="173">
        <f t="shared" si="13"/>
        <v>-250000</v>
      </c>
      <c r="AK32" s="522"/>
      <c r="AL32" s="185"/>
      <c r="AM32" s="185"/>
      <c r="AN32" s="185"/>
      <c r="AO32" s="7"/>
      <c r="AP32" s="3"/>
      <c r="AQ32" s="185"/>
      <c r="AR32" s="518">
        <v>-250000</v>
      </c>
      <c r="AS32" s="173">
        <f>M32-80000</f>
        <v>253236.22999999998</v>
      </c>
      <c r="AT32" s="173">
        <f t="shared" si="27"/>
        <v>3236.2299999999814</v>
      </c>
      <c r="AU32" s="173">
        <f t="shared" si="15"/>
        <v>330000</v>
      </c>
      <c r="AV32" s="173">
        <f t="shared" si="16"/>
        <v>-330000</v>
      </c>
      <c r="AW32" s="173">
        <f t="shared" si="17"/>
        <v>-330000</v>
      </c>
      <c r="AX32" s="173"/>
      <c r="AY32" s="173"/>
      <c r="AZ32" s="173"/>
      <c r="BA32" s="173"/>
      <c r="BB32" s="173">
        <f t="shared" si="18"/>
        <v>-80000</v>
      </c>
      <c r="BC32" s="4">
        <f t="shared" si="19"/>
        <v>-250000</v>
      </c>
      <c r="BD32" s="4">
        <v>-330000</v>
      </c>
      <c r="BE32" s="4"/>
      <c r="BF32" s="4"/>
      <c r="BG32" s="10"/>
      <c r="BH32" s="4">
        <f t="shared" si="22"/>
        <v>-330000</v>
      </c>
      <c r="BI32" s="3"/>
      <c r="BJ32" s="4">
        <f t="shared" si="23"/>
        <v>-330000</v>
      </c>
      <c r="BK32" s="472">
        <f t="shared" si="24"/>
        <v>0</v>
      </c>
      <c r="BL32" s="4">
        <f t="shared" si="20"/>
        <v>-330000</v>
      </c>
      <c r="BM32" s="4"/>
      <c r="BN32" s="4"/>
      <c r="BO32" s="4"/>
      <c r="BP32" s="4"/>
    </row>
    <row r="33" spans="1:68" s="177" customFormat="1" ht="30" customHeight="1">
      <c r="A33" s="172">
        <v>28</v>
      </c>
      <c r="B33" s="172">
        <v>1798</v>
      </c>
      <c r="C33" s="172" t="s">
        <v>1105</v>
      </c>
      <c r="D33" s="173">
        <v>2300000</v>
      </c>
      <c r="E33" s="173">
        <v>2300000</v>
      </c>
      <c r="F33" s="173">
        <f t="shared" si="0"/>
        <v>0</v>
      </c>
      <c r="G33" s="173">
        <v>1600000</v>
      </c>
      <c r="H33" s="173">
        <v>1483649</v>
      </c>
      <c r="I33" s="173"/>
      <c r="J33" s="173"/>
      <c r="K33" s="173">
        <f t="shared" si="2"/>
        <v>0</v>
      </c>
      <c r="L33" s="173">
        <f t="shared" si="1"/>
        <v>1483649</v>
      </c>
      <c r="M33" s="173">
        <f t="shared" si="3"/>
        <v>116351</v>
      </c>
      <c r="N33" s="173">
        <v>700000</v>
      </c>
      <c r="O33" s="173">
        <f t="shared" si="26"/>
        <v>700000</v>
      </c>
      <c r="P33" s="173">
        <f t="shared" si="28"/>
        <v>0</v>
      </c>
      <c r="Q33" s="173">
        <f t="shared" si="6"/>
        <v>116351</v>
      </c>
      <c r="R33" s="173"/>
      <c r="S33" s="173"/>
      <c r="T33" s="173">
        <f t="shared" si="7"/>
        <v>0</v>
      </c>
      <c r="U33" s="173">
        <f t="shared" si="8"/>
        <v>0</v>
      </c>
      <c r="V33" s="173">
        <f t="shared" si="9"/>
        <v>700000</v>
      </c>
      <c r="W33" s="173">
        <f t="shared" si="10"/>
        <v>700000</v>
      </c>
      <c r="X33" s="173"/>
      <c r="Y33" s="173"/>
      <c r="Z33" s="173"/>
      <c r="AA33" s="172"/>
      <c r="AB33" s="172" t="s">
        <v>1106</v>
      </c>
      <c r="AC33" s="172">
        <v>829000</v>
      </c>
      <c r="AD33" s="292"/>
      <c r="AE33" s="292"/>
      <c r="AF33" s="292"/>
      <c r="AG33" s="292"/>
      <c r="AH33" s="173">
        <f t="shared" si="30"/>
        <v>0</v>
      </c>
      <c r="AI33" s="173">
        <f t="shared" si="12"/>
        <v>700000</v>
      </c>
      <c r="AJ33" s="173">
        <f t="shared" si="13"/>
        <v>700000</v>
      </c>
      <c r="AK33" s="522"/>
      <c r="AL33" s="178"/>
      <c r="AM33" s="178"/>
      <c r="AN33" s="178"/>
      <c r="AO33" s="3"/>
      <c r="AP33" s="3"/>
      <c r="AQ33" s="178"/>
      <c r="AR33" s="518">
        <f t="shared" si="25"/>
        <v>0</v>
      </c>
      <c r="AS33" s="173">
        <f>M33-110000</f>
        <v>6351</v>
      </c>
      <c r="AT33" s="173">
        <f t="shared" si="27"/>
        <v>6351</v>
      </c>
      <c r="AU33" s="173">
        <f t="shared" si="15"/>
        <v>810000</v>
      </c>
      <c r="AV33" s="173">
        <f t="shared" si="16"/>
        <v>-110000</v>
      </c>
      <c r="AW33" s="173">
        <f t="shared" si="17"/>
        <v>-110000</v>
      </c>
      <c r="AX33" s="173"/>
      <c r="AY33" s="173"/>
      <c r="AZ33" s="173"/>
      <c r="BA33" s="173"/>
      <c r="BB33" s="173">
        <f t="shared" si="18"/>
        <v>-110000</v>
      </c>
      <c r="BC33" s="4">
        <f t="shared" si="19"/>
        <v>0</v>
      </c>
      <c r="BD33" s="4">
        <v>-110000</v>
      </c>
      <c r="BE33" s="4"/>
      <c r="BF33" s="4"/>
      <c r="BG33" s="10"/>
      <c r="BH33" s="4">
        <f t="shared" si="22"/>
        <v>-110000</v>
      </c>
      <c r="BI33" s="3"/>
      <c r="BJ33" s="4">
        <f t="shared" si="23"/>
        <v>-110000</v>
      </c>
      <c r="BK33" s="472">
        <f t="shared" si="24"/>
        <v>0</v>
      </c>
      <c r="BL33" s="4">
        <f t="shared" si="20"/>
        <v>-110000</v>
      </c>
      <c r="BM33" s="4"/>
      <c r="BN33" s="4"/>
      <c r="BO33" s="4"/>
      <c r="BP33" s="4"/>
    </row>
    <row r="34" spans="1:68" ht="30" customHeight="1">
      <c r="A34" s="172">
        <v>29</v>
      </c>
      <c r="B34" s="172">
        <v>1806</v>
      </c>
      <c r="C34" s="172" t="s">
        <v>136</v>
      </c>
      <c r="D34" s="173">
        <v>500000</v>
      </c>
      <c r="E34" s="173">
        <v>500000</v>
      </c>
      <c r="F34" s="173">
        <f t="shared" si="0"/>
        <v>0</v>
      </c>
      <c r="G34" s="173">
        <v>500000</v>
      </c>
      <c r="H34" s="173">
        <v>209714</v>
      </c>
      <c r="I34" s="173"/>
      <c r="J34" s="173">
        <v>140283.79999999999</v>
      </c>
      <c r="K34" s="173">
        <f t="shared" si="2"/>
        <v>140283.79999999999</v>
      </c>
      <c r="L34" s="173">
        <f t="shared" si="1"/>
        <v>349997.8</v>
      </c>
      <c r="M34" s="173">
        <f t="shared" si="3"/>
        <v>150002.20000000001</v>
      </c>
      <c r="N34" s="173"/>
      <c r="O34" s="173">
        <f t="shared" si="26"/>
        <v>0</v>
      </c>
      <c r="P34" s="173">
        <f t="shared" si="28"/>
        <v>0</v>
      </c>
      <c r="Q34" s="173">
        <f t="shared" si="6"/>
        <v>150002.20000000001</v>
      </c>
      <c r="R34" s="173"/>
      <c r="S34" s="173"/>
      <c r="T34" s="173">
        <f t="shared" si="7"/>
        <v>0</v>
      </c>
      <c r="U34" s="173">
        <f t="shared" si="8"/>
        <v>0</v>
      </c>
      <c r="V34" s="173">
        <f t="shared" si="9"/>
        <v>0</v>
      </c>
      <c r="W34" s="173">
        <f t="shared" si="10"/>
        <v>0</v>
      </c>
      <c r="X34" s="173"/>
      <c r="Y34" s="173"/>
      <c r="Z34" s="173"/>
      <c r="AA34" s="172"/>
      <c r="AB34" s="293" t="s">
        <v>378</v>
      </c>
      <c r="AC34" s="172">
        <v>732000</v>
      </c>
      <c r="AD34" s="292"/>
      <c r="AE34" s="292"/>
      <c r="AF34" s="292"/>
      <c r="AG34" s="292"/>
      <c r="AH34" s="173">
        <f t="shared" si="30"/>
        <v>0</v>
      </c>
      <c r="AI34" s="173">
        <f t="shared" si="12"/>
        <v>0</v>
      </c>
      <c r="AJ34" s="173">
        <f t="shared" si="13"/>
        <v>0</v>
      </c>
      <c r="AK34" s="522"/>
      <c r="AL34" s="172"/>
      <c r="AM34" s="172"/>
      <c r="AN34" s="172"/>
      <c r="AO34" s="7"/>
      <c r="AP34" s="3"/>
      <c r="AQ34" s="172"/>
      <c r="AR34" s="518">
        <f t="shared" si="25"/>
        <v>0</v>
      </c>
      <c r="AS34" s="173">
        <f>M34-150000</f>
        <v>2.2000000000116415</v>
      </c>
      <c r="AT34" s="173">
        <f t="shared" si="27"/>
        <v>2.2000000000116415</v>
      </c>
      <c r="AU34" s="173">
        <f t="shared" si="15"/>
        <v>150000</v>
      </c>
      <c r="AV34" s="173">
        <f t="shared" si="16"/>
        <v>-150000</v>
      </c>
      <c r="AW34" s="173">
        <f t="shared" si="17"/>
        <v>-150000</v>
      </c>
      <c r="AX34" s="173"/>
      <c r="AY34" s="173"/>
      <c r="AZ34" s="173"/>
      <c r="BA34" s="173"/>
      <c r="BB34" s="173">
        <f t="shared" si="18"/>
        <v>-150000</v>
      </c>
      <c r="BC34" s="4">
        <f t="shared" si="19"/>
        <v>0</v>
      </c>
      <c r="BD34" s="4">
        <v>-150000</v>
      </c>
      <c r="BE34" s="4"/>
      <c r="BF34" s="4"/>
      <c r="BG34" s="10"/>
      <c r="BH34" s="4">
        <f t="shared" si="22"/>
        <v>-150000</v>
      </c>
      <c r="BI34" s="3"/>
      <c r="BJ34" s="4">
        <f t="shared" si="23"/>
        <v>-150000</v>
      </c>
      <c r="BK34" s="472">
        <f t="shared" si="24"/>
        <v>0</v>
      </c>
      <c r="BL34" s="4">
        <f t="shared" si="20"/>
        <v>-150000</v>
      </c>
      <c r="BM34" s="4"/>
      <c r="BN34" s="4"/>
      <c r="BO34" s="4"/>
      <c r="BP34" s="4"/>
    </row>
    <row r="35" spans="1:68" ht="30" customHeight="1">
      <c r="A35" s="172">
        <v>30</v>
      </c>
      <c r="B35" s="292">
        <v>1819</v>
      </c>
      <c r="C35" s="172" t="s">
        <v>614</v>
      </c>
      <c r="D35" s="173">
        <v>18000000</v>
      </c>
      <c r="E35" s="173">
        <v>18000000</v>
      </c>
      <c r="F35" s="173">
        <f t="shared" si="0"/>
        <v>0</v>
      </c>
      <c r="G35" s="173">
        <v>12200000</v>
      </c>
      <c r="H35" s="173">
        <v>1937718.1</v>
      </c>
      <c r="I35" s="173"/>
      <c r="J35" s="173">
        <v>190239.76</v>
      </c>
      <c r="K35" s="173">
        <f t="shared" si="2"/>
        <v>190239.76</v>
      </c>
      <c r="L35" s="173">
        <f t="shared" si="1"/>
        <v>2127957.8600000003</v>
      </c>
      <c r="M35" s="173">
        <f t="shared" si="3"/>
        <v>10072042.140000001</v>
      </c>
      <c r="N35" s="173">
        <v>3800000</v>
      </c>
      <c r="O35" s="173">
        <f t="shared" si="26"/>
        <v>3800000</v>
      </c>
      <c r="P35" s="173">
        <f t="shared" si="28"/>
        <v>2000000</v>
      </c>
      <c r="Q35" s="173">
        <f t="shared" si="6"/>
        <v>10072042.140000001</v>
      </c>
      <c r="R35" s="173"/>
      <c r="S35" s="173"/>
      <c r="T35" s="173">
        <f t="shared" si="7"/>
        <v>0</v>
      </c>
      <c r="U35" s="173">
        <f t="shared" si="8"/>
        <v>0</v>
      </c>
      <c r="V35" s="173">
        <f t="shared" si="9"/>
        <v>3800000</v>
      </c>
      <c r="W35" s="173">
        <f t="shared" si="10"/>
        <v>3345000</v>
      </c>
      <c r="X35" s="173"/>
      <c r="Y35" s="173"/>
      <c r="Z35" s="173"/>
      <c r="AA35" s="173">
        <v>455000</v>
      </c>
      <c r="AB35" s="172" t="s">
        <v>895</v>
      </c>
      <c r="AC35" s="172">
        <v>742000</v>
      </c>
      <c r="AD35" s="292"/>
      <c r="AE35" s="292"/>
      <c r="AF35" s="292"/>
      <c r="AG35" s="292"/>
      <c r="AH35" s="173">
        <f t="shared" si="30"/>
        <v>0</v>
      </c>
      <c r="AI35" s="173">
        <f t="shared" si="12"/>
        <v>3800000</v>
      </c>
      <c r="AJ35" s="173">
        <f>AI35-AN35</f>
        <v>3345000</v>
      </c>
      <c r="AK35" s="522"/>
      <c r="AL35" s="292"/>
      <c r="AM35" s="292"/>
      <c r="AN35" s="210">
        <v>455000</v>
      </c>
      <c r="AO35" s="4">
        <f>AI35</f>
        <v>3800000</v>
      </c>
      <c r="AP35" s="4">
        <f>M35</f>
        <v>10072042.140000001</v>
      </c>
      <c r="AQ35" s="172"/>
      <c r="AR35" s="518">
        <f t="shared" si="25"/>
        <v>3800000</v>
      </c>
      <c r="AS35" s="173">
        <f t="shared" si="21"/>
        <v>10072042.140000001</v>
      </c>
      <c r="AT35" s="173">
        <f t="shared" si="27"/>
        <v>13872042.140000001</v>
      </c>
      <c r="AU35" s="173">
        <f t="shared" si="15"/>
        <v>2000000</v>
      </c>
      <c r="AV35" s="173">
        <f t="shared" si="16"/>
        <v>3800000</v>
      </c>
      <c r="AW35" s="173">
        <f t="shared" si="17"/>
        <v>3345000</v>
      </c>
      <c r="AX35" s="173"/>
      <c r="AY35" s="173"/>
      <c r="AZ35" s="173"/>
      <c r="BA35" s="210">
        <v>455000</v>
      </c>
      <c r="BB35" s="173">
        <f t="shared" si="18"/>
        <v>0</v>
      </c>
      <c r="BC35" s="4">
        <f t="shared" si="19"/>
        <v>3800000</v>
      </c>
      <c r="BD35" s="4">
        <v>3800000</v>
      </c>
      <c r="BE35" s="4"/>
      <c r="BF35" s="4"/>
      <c r="BG35" s="10"/>
      <c r="BH35" s="4">
        <f t="shared" si="22"/>
        <v>3800000</v>
      </c>
      <c r="BI35" s="3"/>
      <c r="BJ35" s="4">
        <f t="shared" si="23"/>
        <v>3800000</v>
      </c>
      <c r="BK35" s="472">
        <f t="shared" si="24"/>
        <v>0</v>
      </c>
      <c r="BL35" s="4">
        <f t="shared" si="20"/>
        <v>3345000</v>
      </c>
      <c r="BM35" s="4"/>
      <c r="BN35" s="4"/>
      <c r="BO35" s="4"/>
      <c r="BP35" s="210">
        <v>455000</v>
      </c>
    </row>
    <row r="36" spans="1:68" s="176" customFormat="1" ht="42">
      <c r="A36" s="172">
        <v>31</v>
      </c>
      <c r="B36" s="172">
        <v>1825</v>
      </c>
      <c r="C36" s="172" t="s">
        <v>1594</v>
      </c>
      <c r="D36" s="173">
        <v>37900000</v>
      </c>
      <c r="E36" s="173">
        <v>37900000</v>
      </c>
      <c r="F36" s="173">
        <f t="shared" si="0"/>
        <v>0</v>
      </c>
      <c r="G36" s="173">
        <v>37900000</v>
      </c>
      <c r="H36" s="173">
        <v>37692020.119999997</v>
      </c>
      <c r="I36" s="173"/>
      <c r="J36" s="173">
        <v>201144.2</v>
      </c>
      <c r="K36" s="173">
        <f t="shared" si="2"/>
        <v>201144.2</v>
      </c>
      <c r="L36" s="173">
        <f t="shared" si="1"/>
        <v>37893164.32</v>
      </c>
      <c r="M36" s="173">
        <f t="shared" si="3"/>
        <v>6835.679999999702</v>
      </c>
      <c r="N36" s="173"/>
      <c r="O36" s="173">
        <f t="shared" si="26"/>
        <v>0</v>
      </c>
      <c r="P36" s="173">
        <f t="shared" si="28"/>
        <v>0</v>
      </c>
      <c r="Q36" s="173">
        <f t="shared" si="6"/>
        <v>6835.679999999702</v>
      </c>
      <c r="R36" s="173"/>
      <c r="S36" s="173"/>
      <c r="T36" s="173">
        <f t="shared" si="7"/>
        <v>0</v>
      </c>
      <c r="U36" s="173">
        <f t="shared" si="8"/>
        <v>0</v>
      </c>
      <c r="V36" s="173">
        <f t="shared" si="9"/>
        <v>0</v>
      </c>
      <c r="W36" s="173">
        <f t="shared" si="10"/>
        <v>0</v>
      </c>
      <c r="X36" s="173"/>
      <c r="Y36" s="173"/>
      <c r="Z36" s="173"/>
      <c r="AA36" s="172"/>
      <c r="AB36" s="297" t="s">
        <v>797</v>
      </c>
      <c r="AC36" s="172">
        <v>810000</v>
      </c>
      <c r="AD36" s="292"/>
      <c r="AE36" s="292"/>
      <c r="AF36" s="292"/>
      <c r="AG36" s="292"/>
      <c r="AH36" s="173">
        <f t="shared" si="30"/>
        <v>0</v>
      </c>
      <c r="AI36" s="173">
        <f t="shared" si="12"/>
        <v>0</v>
      </c>
      <c r="AJ36" s="173">
        <f t="shared" si="13"/>
        <v>0</v>
      </c>
      <c r="AK36" s="522"/>
      <c r="AL36" s="172"/>
      <c r="AM36" s="172"/>
      <c r="AN36" s="172"/>
      <c r="AO36" s="3"/>
      <c r="AP36" s="3"/>
      <c r="AQ36" s="172"/>
      <c r="AR36" s="518">
        <f t="shared" si="25"/>
        <v>0</v>
      </c>
      <c r="AS36" s="173">
        <f t="shared" si="21"/>
        <v>6835.679999999702</v>
      </c>
      <c r="AT36" s="173">
        <f t="shared" si="27"/>
        <v>6835.679999999702</v>
      </c>
      <c r="AU36" s="173">
        <f t="shared" si="15"/>
        <v>0</v>
      </c>
      <c r="AV36" s="173">
        <f t="shared" si="16"/>
        <v>0</v>
      </c>
      <c r="AW36" s="173">
        <f t="shared" si="17"/>
        <v>0</v>
      </c>
      <c r="AX36" s="173"/>
      <c r="AY36" s="173"/>
      <c r="AZ36" s="173"/>
      <c r="BA36" s="173"/>
      <c r="BB36" s="173">
        <f t="shared" si="18"/>
        <v>0</v>
      </c>
      <c r="BC36" s="4">
        <f t="shared" si="19"/>
        <v>0</v>
      </c>
      <c r="BD36" s="4"/>
      <c r="BE36" s="4"/>
      <c r="BF36" s="4"/>
      <c r="BG36" s="10"/>
      <c r="BH36" s="4">
        <f t="shared" si="22"/>
        <v>0</v>
      </c>
      <c r="BI36" s="3"/>
      <c r="BJ36" s="4">
        <f t="shared" si="23"/>
        <v>0</v>
      </c>
      <c r="BK36" s="472">
        <f t="shared" si="24"/>
        <v>0</v>
      </c>
      <c r="BL36" s="4">
        <f t="shared" si="20"/>
        <v>0</v>
      </c>
      <c r="BM36" s="4"/>
      <c r="BN36" s="4"/>
      <c r="BO36" s="4"/>
      <c r="BP36" s="4"/>
    </row>
    <row r="37" spans="1:68" ht="30" customHeight="1">
      <c r="A37" s="172">
        <v>32</v>
      </c>
      <c r="B37" s="292">
        <v>1833</v>
      </c>
      <c r="C37" s="172" t="s">
        <v>132</v>
      </c>
      <c r="D37" s="173">
        <v>29000000</v>
      </c>
      <c r="E37" s="173">
        <v>29000000</v>
      </c>
      <c r="F37" s="173">
        <f t="shared" si="0"/>
        <v>0</v>
      </c>
      <c r="G37" s="173">
        <v>15000000</v>
      </c>
      <c r="H37" s="173">
        <v>1858706</v>
      </c>
      <c r="I37" s="173"/>
      <c r="J37" s="173">
        <v>329080.23</v>
      </c>
      <c r="K37" s="173">
        <f t="shared" si="2"/>
        <v>329080.23</v>
      </c>
      <c r="L37" s="173">
        <f t="shared" si="1"/>
        <v>2187786.23</v>
      </c>
      <c r="M37" s="173">
        <f t="shared" si="3"/>
        <v>12812213.77</v>
      </c>
      <c r="N37" s="173">
        <f>14000000-7000000</f>
        <v>7000000</v>
      </c>
      <c r="O37" s="173">
        <f t="shared" si="26"/>
        <v>7000000</v>
      </c>
      <c r="P37" s="173">
        <f t="shared" si="28"/>
        <v>7000000</v>
      </c>
      <c r="Q37" s="173">
        <f t="shared" si="6"/>
        <v>12812213.77</v>
      </c>
      <c r="R37" s="173"/>
      <c r="S37" s="173"/>
      <c r="T37" s="173">
        <f t="shared" si="7"/>
        <v>0</v>
      </c>
      <c r="U37" s="173">
        <f t="shared" si="8"/>
        <v>0</v>
      </c>
      <c r="V37" s="173">
        <f t="shared" si="9"/>
        <v>7000000</v>
      </c>
      <c r="W37" s="173">
        <f t="shared" si="10"/>
        <v>3768840</v>
      </c>
      <c r="X37" s="173"/>
      <c r="Y37" s="173"/>
      <c r="Z37" s="173"/>
      <c r="AA37" s="173">
        <v>3231160</v>
      </c>
      <c r="AB37" s="172" t="s">
        <v>781</v>
      </c>
      <c r="AC37" s="172">
        <v>829000</v>
      </c>
      <c r="AD37" s="292"/>
      <c r="AE37" s="292"/>
      <c r="AF37" s="292"/>
      <c r="AG37" s="292"/>
      <c r="AH37" s="173">
        <f t="shared" si="30"/>
        <v>0</v>
      </c>
      <c r="AI37" s="173">
        <f t="shared" si="12"/>
        <v>7000000</v>
      </c>
      <c r="AJ37" s="173">
        <f>AI37-AN37</f>
        <v>3768840</v>
      </c>
      <c r="AK37" s="522"/>
      <c r="AL37" s="292"/>
      <c r="AM37" s="292"/>
      <c r="AN37" s="210">
        <v>3231160</v>
      </c>
      <c r="AO37" s="4">
        <v>4000000</v>
      </c>
      <c r="AP37" s="4">
        <f>M37</f>
        <v>12812213.77</v>
      </c>
      <c r="AQ37" s="172" t="s">
        <v>1107</v>
      </c>
      <c r="AR37" s="518">
        <v>3768840</v>
      </c>
      <c r="AS37" s="173">
        <f t="shared" si="21"/>
        <v>12812213.77</v>
      </c>
      <c r="AT37" s="173">
        <f t="shared" si="27"/>
        <v>16581053.77</v>
      </c>
      <c r="AU37" s="173">
        <f t="shared" si="15"/>
        <v>10231160</v>
      </c>
      <c r="AV37" s="173">
        <f t="shared" si="16"/>
        <v>3768840</v>
      </c>
      <c r="AW37" s="173">
        <f t="shared" si="17"/>
        <v>3768840</v>
      </c>
      <c r="AX37" s="173"/>
      <c r="AY37" s="173"/>
      <c r="AZ37" s="173"/>
      <c r="BA37" s="173"/>
      <c r="BB37" s="173">
        <f t="shared" si="18"/>
        <v>0</v>
      </c>
      <c r="BC37" s="4">
        <f t="shared" si="19"/>
        <v>3768840</v>
      </c>
      <c r="BD37" s="4">
        <v>3768840</v>
      </c>
      <c r="BE37" s="4"/>
      <c r="BF37" s="4"/>
      <c r="BG37" s="10"/>
      <c r="BH37" s="4">
        <f t="shared" si="22"/>
        <v>3768840</v>
      </c>
      <c r="BI37" s="3"/>
      <c r="BJ37" s="4">
        <f t="shared" si="23"/>
        <v>3768840</v>
      </c>
      <c r="BK37" s="472">
        <f t="shared" si="24"/>
        <v>0</v>
      </c>
      <c r="BL37" s="4">
        <f t="shared" si="20"/>
        <v>3768840</v>
      </c>
      <c r="BM37" s="4"/>
      <c r="BN37" s="4"/>
      <c r="BO37" s="4"/>
      <c r="BP37" s="4"/>
    </row>
    <row r="38" spans="1:68" s="176" customFormat="1" ht="30" customHeight="1">
      <c r="A38" s="172">
        <v>33</v>
      </c>
      <c r="B38" s="172">
        <v>1834</v>
      </c>
      <c r="C38" s="172" t="s">
        <v>124</v>
      </c>
      <c r="D38" s="173">
        <v>60000000</v>
      </c>
      <c r="E38" s="173">
        <v>60000000</v>
      </c>
      <c r="F38" s="173">
        <f t="shared" si="0"/>
        <v>0</v>
      </c>
      <c r="G38" s="173">
        <v>33600000</v>
      </c>
      <c r="H38" s="173">
        <v>3129121</v>
      </c>
      <c r="I38" s="173"/>
      <c r="J38" s="173">
        <v>690799.77</v>
      </c>
      <c r="K38" s="173">
        <f t="shared" si="2"/>
        <v>690799.77</v>
      </c>
      <c r="L38" s="173">
        <f t="shared" si="1"/>
        <v>3819920.77</v>
      </c>
      <c r="M38" s="173">
        <f>Q38+T38</f>
        <v>29780079.23</v>
      </c>
      <c r="N38" s="173">
        <v>-2000000</v>
      </c>
      <c r="O38" s="173">
        <f t="shared" si="26"/>
        <v>-2000000</v>
      </c>
      <c r="P38" s="173">
        <f t="shared" si="28"/>
        <v>28399999.999999996</v>
      </c>
      <c r="Q38" s="173">
        <f t="shared" si="6"/>
        <v>29780079.23</v>
      </c>
      <c r="R38" s="173"/>
      <c r="S38" s="173">
        <f>-3000000+3000000</f>
        <v>0</v>
      </c>
      <c r="T38" s="173">
        <f t="shared" si="7"/>
        <v>0</v>
      </c>
      <c r="U38" s="173">
        <f t="shared" si="8"/>
        <v>0</v>
      </c>
      <c r="V38" s="173">
        <f t="shared" si="9"/>
        <v>-2000000</v>
      </c>
      <c r="W38" s="173">
        <f t="shared" si="10"/>
        <v>-2000000</v>
      </c>
      <c r="X38" s="173"/>
      <c r="Y38" s="173"/>
      <c r="Z38" s="173"/>
      <c r="AA38" s="172"/>
      <c r="AB38" s="172" t="s">
        <v>1108</v>
      </c>
      <c r="AC38" s="172">
        <v>824000</v>
      </c>
      <c r="AD38" s="292"/>
      <c r="AE38" s="292"/>
      <c r="AF38" s="292"/>
      <c r="AG38" s="292"/>
      <c r="AH38" s="173">
        <f t="shared" si="30"/>
        <v>0</v>
      </c>
      <c r="AI38" s="173">
        <f t="shared" si="12"/>
        <v>-2000000</v>
      </c>
      <c r="AJ38" s="173">
        <f t="shared" si="13"/>
        <v>-2000000</v>
      </c>
      <c r="AK38" s="522"/>
      <c r="AL38" s="172"/>
      <c r="AM38" s="172"/>
      <c r="AN38" s="172"/>
      <c r="AO38" s="3"/>
      <c r="AP38" s="4">
        <v>15000000</v>
      </c>
      <c r="AQ38" s="172" t="s">
        <v>1109</v>
      </c>
      <c r="AR38" s="518">
        <v>-2000000</v>
      </c>
      <c r="AS38" s="173">
        <f>M38-12700000</f>
        <v>17080079.23</v>
      </c>
      <c r="AT38" s="173">
        <f t="shared" si="27"/>
        <v>15080079.23</v>
      </c>
      <c r="AU38" s="173">
        <f t="shared" si="15"/>
        <v>41100000</v>
      </c>
      <c r="AV38" s="173">
        <f t="shared" si="16"/>
        <v>-14700000</v>
      </c>
      <c r="AW38" s="173">
        <f t="shared" si="17"/>
        <v>-14700000</v>
      </c>
      <c r="AX38" s="173"/>
      <c r="AY38" s="173"/>
      <c r="AZ38" s="173"/>
      <c r="BA38" s="173"/>
      <c r="BB38" s="173">
        <f t="shared" si="18"/>
        <v>-12700000</v>
      </c>
      <c r="BC38" s="4">
        <f t="shared" si="19"/>
        <v>-2000000</v>
      </c>
      <c r="BD38" s="4">
        <v>-14700000</v>
      </c>
      <c r="BE38" s="4"/>
      <c r="BF38" s="4"/>
      <c r="BG38" s="10"/>
      <c r="BH38" s="4">
        <f t="shared" si="22"/>
        <v>-14700000</v>
      </c>
      <c r="BI38" s="3"/>
      <c r="BJ38" s="4">
        <f t="shared" si="23"/>
        <v>-14700000</v>
      </c>
      <c r="BK38" s="472">
        <f t="shared" si="24"/>
        <v>0</v>
      </c>
      <c r="BL38" s="4">
        <f t="shared" si="20"/>
        <v>-14700000</v>
      </c>
      <c r="BM38" s="4"/>
      <c r="BN38" s="4"/>
      <c r="BO38" s="4"/>
      <c r="BP38" s="4"/>
    </row>
    <row r="39" spans="1:68" s="176" customFormat="1" ht="30" customHeight="1">
      <c r="A39" s="172">
        <v>34</v>
      </c>
      <c r="B39" s="172">
        <v>1835</v>
      </c>
      <c r="C39" s="172" t="s">
        <v>541</v>
      </c>
      <c r="D39" s="173">
        <v>70000000</v>
      </c>
      <c r="E39" s="173">
        <v>70000000</v>
      </c>
      <c r="F39" s="173">
        <f t="shared" si="0"/>
        <v>0</v>
      </c>
      <c r="G39" s="173">
        <v>12900000</v>
      </c>
      <c r="H39" s="173">
        <v>10063786</v>
      </c>
      <c r="I39" s="173"/>
      <c r="J39" s="173">
        <v>1230163.76</v>
      </c>
      <c r="K39" s="173">
        <f t="shared" si="2"/>
        <v>1230163.76</v>
      </c>
      <c r="L39" s="173">
        <f t="shared" si="1"/>
        <v>11293949.76</v>
      </c>
      <c r="M39" s="173">
        <f t="shared" si="3"/>
        <v>1606050.2400000002</v>
      </c>
      <c r="N39" s="173">
        <f>30000000-10000000-2000000</f>
        <v>18000000</v>
      </c>
      <c r="O39" s="173">
        <f t="shared" si="26"/>
        <v>17000000</v>
      </c>
      <c r="P39" s="173">
        <f t="shared" si="28"/>
        <v>40100000</v>
      </c>
      <c r="Q39" s="173">
        <f t="shared" si="6"/>
        <v>1606050.2400000002</v>
      </c>
      <c r="R39" s="173"/>
      <c r="S39" s="173"/>
      <c r="T39" s="173">
        <f t="shared" si="7"/>
        <v>0</v>
      </c>
      <c r="U39" s="173">
        <f t="shared" si="8"/>
        <v>0</v>
      </c>
      <c r="V39" s="173">
        <f t="shared" si="9"/>
        <v>18000000</v>
      </c>
      <c r="W39" s="173">
        <f t="shared" si="10"/>
        <v>18000000</v>
      </c>
      <c r="X39" s="173"/>
      <c r="Y39" s="173"/>
      <c r="Z39" s="173"/>
      <c r="AA39" s="172"/>
      <c r="AB39" s="326" t="s">
        <v>812</v>
      </c>
      <c r="AC39" s="172">
        <v>824000</v>
      </c>
      <c r="AD39" s="292"/>
      <c r="AE39" s="292"/>
      <c r="AF39" s="173">
        <v>1000000</v>
      </c>
      <c r="AG39" s="173"/>
      <c r="AH39" s="173">
        <f t="shared" si="30"/>
        <v>1000000</v>
      </c>
      <c r="AI39" s="173">
        <f t="shared" si="12"/>
        <v>17000000</v>
      </c>
      <c r="AJ39" s="173">
        <f t="shared" si="13"/>
        <v>17000000</v>
      </c>
      <c r="AK39" s="522"/>
      <c r="AL39" s="172"/>
      <c r="AM39" s="172"/>
      <c r="AN39" s="172"/>
      <c r="AO39" s="4">
        <v>8000000</v>
      </c>
      <c r="AP39" s="4">
        <f>M39</f>
        <v>1606050.2400000002</v>
      </c>
      <c r="AQ39" s="172" t="s">
        <v>1110</v>
      </c>
      <c r="AR39" s="518">
        <f t="shared" si="25"/>
        <v>8000000</v>
      </c>
      <c r="AS39" s="173">
        <f t="shared" si="21"/>
        <v>1606050.2400000002</v>
      </c>
      <c r="AT39" s="173">
        <f t="shared" si="27"/>
        <v>9606050.2400000002</v>
      </c>
      <c r="AU39" s="173">
        <f t="shared" si="15"/>
        <v>49100000</v>
      </c>
      <c r="AV39" s="173">
        <f t="shared" si="16"/>
        <v>8000000</v>
      </c>
      <c r="AW39" s="173">
        <f t="shared" si="17"/>
        <v>8000000</v>
      </c>
      <c r="AX39" s="173"/>
      <c r="AY39" s="173"/>
      <c r="AZ39" s="173"/>
      <c r="BA39" s="173"/>
      <c r="BB39" s="173">
        <f t="shared" si="18"/>
        <v>0</v>
      </c>
      <c r="BC39" s="4">
        <f t="shared" si="19"/>
        <v>8000000</v>
      </c>
      <c r="BD39" s="4">
        <v>8000000</v>
      </c>
      <c r="BE39" s="4"/>
      <c r="BF39" s="4"/>
      <c r="BG39" s="10"/>
      <c r="BH39" s="4">
        <f t="shared" si="22"/>
        <v>8000000</v>
      </c>
      <c r="BI39" s="3"/>
      <c r="BJ39" s="4">
        <f t="shared" si="23"/>
        <v>8000000</v>
      </c>
      <c r="BK39" s="472">
        <f t="shared" si="24"/>
        <v>0</v>
      </c>
      <c r="BL39" s="4">
        <f t="shared" si="20"/>
        <v>8000000</v>
      </c>
      <c r="BM39" s="4"/>
      <c r="BN39" s="4"/>
      <c r="BO39" s="4"/>
      <c r="BP39" s="4"/>
    </row>
    <row r="40" spans="1:68" ht="30" customHeight="1">
      <c r="A40" s="172">
        <v>35</v>
      </c>
      <c r="B40" s="292">
        <v>1837</v>
      </c>
      <c r="C40" s="172" t="s">
        <v>1595</v>
      </c>
      <c r="D40" s="173">
        <v>3460000</v>
      </c>
      <c r="E40" s="173">
        <v>3460000</v>
      </c>
      <c r="F40" s="173">
        <f t="shared" si="0"/>
        <v>0</v>
      </c>
      <c r="G40" s="173">
        <v>3460000</v>
      </c>
      <c r="H40" s="173">
        <v>3376429.6</v>
      </c>
      <c r="I40" s="173"/>
      <c r="J40" s="173">
        <v>63995.38</v>
      </c>
      <c r="K40" s="173">
        <f t="shared" si="2"/>
        <v>63995.38</v>
      </c>
      <c r="L40" s="173">
        <f t="shared" si="1"/>
        <v>3440424.98</v>
      </c>
      <c r="M40" s="173">
        <f t="shared" si="3"/>
        <v>19575.020000000019</v>
      </c>
      <c r="N40" s="173"/>
      <c r="O40" s="173">
        <f t="shared" si="26"/>
        <v>0</v>
      </c>
      <c r="P40" s="173">
        <f t="shared" si="28"/>
        <v>0</v>
      </c>
      <c r="Q40" s="173">
        <f t="shared" si="6"/>
        <v>19575.020000000019</v>
      </c>
      <c r="R40" s="173"/>
      <c r="S40" s="173"/>
      <c r="T40" s="173">
        <f t="shared" si="7"/>
        <v>0</v>
      </c>
      <c r="U40" s="173">
        <f t="shared" si="8"/>
        <v>0</v>
      </c>
      <c r="V40" s="173">
        <f t="shared" si="9"/>
        <v>0</v>
      </c>
      <c r="W40" s="173">
        <f t="shared" si="10"/>
        <v>0</v>
      </c>
      <c r="X40" s="173"/>
      <c r="Y40" s="173"/>
      <c r="Z40" s="173"/>
      <c r="AA40" s="172"/>
      <c r="AB40" s="172" t="s">
        <v>688</v>
      </c>
      <c r="AC40" s="172">
        <v>850000</v>
      </c>
      <c r="AD40" s="292"/>
      <c r="AE40" s="292"/>
      <c r="AF40" s="173"/>
      <c r="AG40" s="173"/>
      <c r="AH40" s="173">
        <f t="shared" si="30"/>
        <v>0</v>
      </c>
      <c r="AI40" s="173">
        <f t="shared" si="12"/>
        <v>0</v>
      </c>
      <c r="AJ40" s="173">
        <f t="shared" si="13"/>
        <v>0</v>
      </c>
      <c r="AK40" s="522"/>
      <c r="AL40" s="292"/>
      <c r="AM40" s="292"/>
      <c r="AN40" s="292"/>
      <c r="AO40" s="3"/>
      <c r="AP40" s="3"/>
      <c r="AQ40" s="172"/>
      <c r="AR40" s="518">
        <f t="shared" si="25"/>
        <v>0</v>
      </c>
      <c r="AS40" s="173">
        <f t="shared" si="21"/>
        <v>19575.020000000019</v>
      </c>
      <c r="AT40" s="173">
        <f t="shared" si="27"/>
        <v>19575.020000000019</v>
      </c>
      <c r="AU40" s="173">
        <f t="shared" si="15"/>
        <v>0</v>
      </c>
      <c r="AV40" s="173">
        <f t="shared" si="16"/>
        <v>0</v>
      </c>
      <c r="AW40" s="173">
        <f t="shared" si="17"/>
        <v>0</v>
      </c>
      <c r="AX40" s="173"/>
      <c r="AY40" s="173"/>
      <c r="AZ40" s="173"/>
      <c r="BA40" s="173"/>
      <c r="BB40" s="173">
        <f t="shared" si="18"/>
        <v>0</v>
      </c>
      <c r="BC40" s="4">
        <f t="shared" si="19"/>
        <v>0</v>
      </c>
      <c r="BD40" s="4"/>
      <c r="BE40" s="4"/>
      <c r="BF40" s="4"/>
      <c r="BG40" s="10"/>
      <c r="BH40" s="4">
        <f t="shared" si="22"/>
        <v>0</v>
      </c>
      <c r="BI40" s="3"/>
      <c r="BJ40" s="4">
        <f t="shared" si="23"/>
        <v>0</v>
      </c>
      <c r="BK40" s="472">
        <f t="shared" si="24"/>
        <v>0</v>
      </c>
      <c r="BL40" s="4">
        <f t="shared" si="20"/>
        <v>0</v>
      </c>
      <c r="BM40" s="4"/>
      <c r="BN40" s="4"/>
      <c r="BO40" s="4"/>
      <c r="BP40" s="4"/>
    </row>
    <row r="41" spans="1:68" ht="30" customHeight="1">
      <c r="A41" s="172">
        <v>36</v>
      </c>
      <c r="B41" s="292">
        <v>1845</v>
      </c>
      <c r="C41" s="172" t="s">
        <v>133</v>
      </c>
      <c r="D41" s="173">
        <v>6000000</v>
      </c>
      <c r="E41" s="173">
        <v>6000000</v>
      </c>
      <c r="F41" s="173">
        <f t="shared" si="0"/>
        <v>0</v>
      </c>
      <c r="G41" s="173">
        <v>1500000</v>
      </c>
      <c r="H41" s="173">
        <v>735524</v>
      </c>
      <c r="I41" s="173"/>
      <c r="J41" s="173"/>
      <c r="K41" s="173">
        <f t="shared" si="2"/>
        <v>0</v>
      </c>
      <c r="L41" s="173">
        <f t="shared" si="1"/>
        <v>735524</v>
      </c>
      <c r="M41" s="173">
        <f t="shared" si="3"/>
        <v>764476</v>
      </c>
      <c r="N41" s="173">
        <f>4500000-2000000</f>
        <v>2500000</v>
      </c>
      <c r="O41" s="173">
        <f t="shared" si="26"/>
        <v>2500000</v>
      </c>
      <c r="P41" s="173">
        <f t="shared" si="28"/>
        <v>2000000</v>
      </c>
      <c r="Q41" s="173">
        <f t="shared" si="6"/>
        <v>764476</v>
      </c>
      <c r="R41" s="173"/>
      <c r="S41" s="173"/>
      <c r="T41" s="173">
        <f t="shared" si="7"/>
        <v>0</v>
      </c>
      <c r="U41" s="173">
        <f t="shared" si="8"/>
        <v>0</v>
      </c>
      <c r="V41" s="173">
        <f t="shared" si="9"/>
        <v>2500000</v>
      </c>
      <c r="W41" s="173">
        <f t="shared" si="10"/>
        <v>2500000</v>
      </c>
      <c r="X41" s="173"/>
      <c r="Y41" s="173"/>
      <c r="Z41" s="173"/>
      <c r="AA41" s="172"/>
      <c r="AB41" s="172" t="s">
        <v>689</v>
      </c>
      <c r="AC41" s="172">
        <v>742000</v>
      </c>
      <c r="AD41" s="292"/>
      <c r="AE41" s="292"/>
      <c r="AF41" s="173"/>
      <c r="AG41" s="173"/>
      <c r="AH41" s="173">
        <f t="shared" si="30"/>
        <v>0</v>
      </c>
      <c r="AI41" s="173">
        <f t="shared" si="12"/>
        <v>2500000</v>
      </c>
      <c r="AJ41" s="173">
        <f t="shared" si="13"/>
        <v>2500000</v>
      </c>
      <c r="AK41" s="522"/>
      <c r="AL41" s="292"/>
      <c r="AM41" s="292"/>
      <c r="AN41" s="292"/>
      <c r="AO41" s="7"/>
      <c r="AP41" s="4"/>
      <c r="AQ41" s="172"/>
      <c r="AR41" s="518">
        <f t="shared" si="25"/>
        <v>0</v>
      </c>
      <c r="AS41" s="173">
        <f>M41-760000</f>
        <v>4476</v>
      </c>
      <c r="AT41" s="173">
        <f t="shared" si="27"/>
        <v>4476</v>
      </c>
      <c r="AU41" s="173">
        <f t="shared" si="15"/>
        <v>5260000</v>
      </c>
      <c r="AV41" s="173">
        <f t="shared" si="16"/>
        <v>-760000</v>
      </c>
      <c r="AW41" s="173">
        <f t="shared" si="17"/>
        <v>-760000</v>
      </c>
      <c r="AX41" s="173"/>
      <c r="AY41" s="173"/>
      <c r="AZ41" s="173"/>
      <c r="BA41" s="173"/>
      <c r="BB41" s="173">
        <f t="shared" si="18"/>
        <v>-760000</v>
      </c>
      <c r="BC41" s="4">
        <f t="shared" si="19"/>
        <v>0</v>
      </c>
      <c r="BD41" s="4">
        <v>-760000</v>
      </c>
      <c r="BE41" s="4"/>
      <c r="BF41" s="4"/>
      <c r="BG41" s="10"/>
      <c r="BH41" s="4">
        <f t="shared" si="22"/>
        <v>-760000</v>
      </c>
      <c r="BI41" s="3"/>
      <c r="BJ41" s="4">
        <f t="shared" si="23"/>
        <v>-760000</v>
      </c>
      <c r="BK41" s="472">
        <f t="shared" si="24"/>
        <v>0</v>
      </c>
      <c r="BL41" s="4">
        <f t="shared" si="20"/>
        <v>-760000</v>
      </c>
      <c r="BM41" s="4"/>
      <c r="BN41" s="4"/>
      <c r="BO41" s="4"/>
      <c r="BP41" s="4"/>
    </row>
    <row r="42" spans="1:68" s="5" customFormat="1" ht="30" customHeight="1">
      <c r="A42" s="172">
        <v>37</v>
      </c>
      <c r="B42" s="3">
        <v>1872</v>
      </c>
      <c r="C42" s="3" t="s">
        <v>542</v>
      </c>
      <c r="D42" s="4">
        <v>1160000</v>
      </c>
      <c r="E42" s="4">
        <v>1160000</v>
      </c>
      <c r="F42" s="4">
        <f t="shared" si="0"/>
        <v>0</v>
      </c>
      <c r="G42" s="4">
        <v>1160000</v>
      </c>
      <c r="H42" s="4">
        <v>711356</v>
      </c>
      <c r="I42" s="4"/>
      <c r="J42" s="4">
        <v>448330.42</v>
      </c>
      <c r="K42" s="173">
        <f t="shared" si="2"/>
        <v>448330.42</v>
      </c>
      <c r="L42" s="173">
        <f t="shared" si="1"/>
        <v>1159686.42</v>
      </c>
      <c r="M42" s="173">
        <f t="shared" si="3"/>
        <v>313.58000000007451</v>
      </c>
      <c r="N42" s="4"/>
      <c r="O42" s="173">
        <f t="shared" si="26"/>
        <v>0</v>
      </c>
      <c r="P42" s="173">
        <f t="shared" si="28"/>
        <v>0</v>
      </c>
      <c r="Q42" s="173">
        <f t="shared" si="6"/>
        <v>313.58000000007451</v>
      </c>
      <c r="R42" s="4"/>
      <c r="S42" s="4"/>
      <c r="T42" s="4">
        <f t="shared" si="7"/>
        <v>0</v>
      </c>
      <c r="U42" s="4">
        <f t="shared" si="8"/>
        <v>0</v>
      </c>
      <c r="V42" s="4">
        <f t="shared" si="9"/>
        <v>0</v>
      </c>
      <c r="W42" s="4">
        <f>V42-AA42-X42-Z42</f>
        <v>0</v>
      </c>
      <c r="X42" s="4"/>
      <c r="Y42" s="4"/>
      <c r="Z42" s="4"/>
      <c r="AA42" s="3"/>
      <c r="AB42" s="3" t="s">
        <v>896</v>
      </c>
      <c r="AC42" s="3">
        <v>742000</v>
      </c>
      <c r="AD42" s="292"/>
      <c r="AE42" s="292"/>
      <c r="AF42" s="292"/>
      <c r="AG42" s="292"/>
      <c r="AH42" s="173">
        <f t="shared" si="30"/>
        <v>0</v>
      </c>
      <c r="AI42" s="173">
        <f t="shared" si="12"/>
        <v>0</v>
      </c>
      <c r="AJ42" s="173">
        <f t="shared" si="13"/>
        <v>0</v>
      </c>
      <c r="AK42" s="3"/>
      <c r="AL42" s="3"/>
      <c r="AM42" s="3"/>
      <c r="AN42" s="3"/>
      <c r="AO42" s="3"/>
      <c r="AP42" s="3"/>
      <c r="AQ42" s="172"/>
      <c r="AR42" s="518">
        <f t="shared" si="25"/>
        <v>0</v>
      </c>
      <c r="AS42" s="173">
        <f t="shared" si="21"/>
        <v>313.58000000007451</v>
      </c>
      <c r="AT42" s="173">
        <f t="shared" si="27"/>
        <v>313.58000000007451</v>
      </c>
      <c r="AU42" s="173">
        <f t="shared" si="15"/>
        <v>0</v>
      </c>
      <c r="AV42" s="173">
        <f t="shared" si="16"/>
        <v>0</v>
      </c>
      <c r="AW42" s="173">
        <f t="shared" si="17"/>
        <v>0</v>
      </c>
      <c r="AX42" s="173"/>
      <c r="AY42" s="173"/>
      <c r="AZ42" s="173"/>
      <c r="BA42" s="173"/>
      <c r="BB42" s="173">
        <f t="shared" si="18"/>
        <v>0</v>
      </c>
      <c r="BC42" s="4">
        <f t="shared" si="19"/>
        <v>0</v>
      </c>
      <c r="BD42" s="4"/>
      <c r="BE42" s="4"/>
      <c r="BF42" s="4"/>
      <c r="BG42" s="10"/>
      <c r="BH42" s="4">
        <f t="shared" si="22"/>
        <v>0</v>
      </c>
      <c r="BI42" s="3"/>
      <c r="BJ42" s="4">
        <f t="shared" si="23"/>
        <v>0</v>
      </c>
      <c r="BK42" s="472">
        <f t="shared" si="24"/>
        <v>0</v>
      </c>
      <c r="BL42" s="4">
        <f t="shared" si="20"/>
        <v>0</v>
      </c>
      <c r="BM42" s="4"/>
      <c r="BN42" s="4"/>
      <c r="BO42" s="4"/>
      <c r="BP42" s="4"/>
    </row>
    <row r="43" spans="1:68" ht="30" customHeight="1">
      <c r="A43" s="172">
        <v>38</v>
      </c>
      <c r="B43" s="292">
        <v>1894</v>
      </c>
      <c r="C43" s="172" t="s">
        <v>1596</v>
      </c>
      <c r="D43" s="173">
        <v>7100000</v>
      </c>
      <c r="E43" s="173">
        <v>7100000</v>
      </c>
      <c r="F43" s="173">
        <f t="shared" si="0"/>
        <v>0</v>
      </c>
      <c r="G43" s="173">
        <v>7100000</v>
      </c>
      <c r="H43" s="173">
        <v>6365610</v>
      </c>
      <c r="I43" s="173"/>
      <c r="J43" s="173">
        <v>726428.56</v>
      </c>
      <c r="K43" s="173">
        <f t="shared" si="2"/>
        <v>726428.56</v>
      </c>
      <c r="L43" s="173">
        <f t="shared" si="1"/>
        <v>7092038.5600000005</v>
      </c>
      <c r="M43" s="173">
        <f t="shared" si="3"/>
        <v>7961.4399999994785</v>
      </c>
      <c r="N43" s="173"/>
      <c r="O43" s="173">
        <f t="shared" si="26"/>
        <v>0</v>
      </c>
      <c r="P43" s="173">
        <f t="shared" si="28"/>
        <v>0</v>
      </c>
      <c r="Q43" s="173">
        <f t="shared" si="6"/>
        <v>7961.4399999994785</v>
      </c>
      <c r="R43" s="173"/>
      <c r="S43" s="173"/>
      <c r="T43" s="173">
        <f t="shared" si="7"/>
        <v>0</v>
      </c>
      <c r="U43" s="173">
        <f t="shared" si="8"/>
        <v>0</v>
      </c>
      <c r="V43" s="173">
        <f t="shared" si="9"/>
        <v>0</v>
      </c>
      <c r="W43" s="173">
        <f t="shared" si="10"/>
        <v>0</v>
      </c>
      <c r="X43" s="173"/>
      <c r="Y43" s="173"/>
      <c r="Z43" s="173"/>
      <c r="AA43" s="172"/>
      <c r="AB43" s="172" t="s">
        <v>922</v>
      </c>
      <c r="AC43" s="172">
        <v>810000</v>
      </c>
      <c r="AD43" s="292"/>
      <c r="AE43" s="292"/>
      <c r="AF43" s="292"/>
      <c r="AG43" s="292"/>
      <c r="AH43" s="173">
        <f t="shared" si="30"/>
        <v>0</v>
      </c>
      <c r="AI43" s="173">
        <f t="shared" si="12"/>
        <v>0</v>
      </c>
      <c r="AJ43" s="173">
        <f t="shared" si="13"/>
        <v>0</v>
      </c>
      <c r="AK43" s="522"/>
      <c r="AL43" s="292"/>
      <c r="AM43" s="292"/>
      <c r="AN43" s="292"/>
      <c r="AO43" s="3"/>
      <c r="AP43" s="3"/>
      <c r="AQ43" s="172"/>
      <c r="AR43" s="518">
        <f t="shared" si="25"/>
        <v>0</v>
      </c>
      <c r="AS43" s="173">
        <f t="shared" si="21"/>
        <v>7961.4399999994785</v>
      </c>
      <c r="AT43" s="173">
        <f t="shared" si="27"/>
        <v>7961.4399999994785</v>
      </c>
      <c r="AU43" s="173">
        <f t="shared" si="15"/>
        <v>0</v>
      </c>
      <c r="AV43" s="173">
        <f t="shared" si="16"/>
        <v>0</v>
      </c>
      <c r="AW43" s="173">
        <f t="shared" si="17"/>
        <v>0</v>
      </c>
      <c r="AX43" s="173"/>
      <c r="AY43" s="173"/>
      <c r="AZ43" s="173"/>
      <c r="BA43" s="173"/>
      <c r="BB43" s="173">
        <f t="shared" si="18"/>
        <v>0</v>
      </c>
      <c r="BC43" s="4">
        <f t="shared" si="19"/>
        <v>0</v>
      </c>
      <c r="BD43" s="4"/>
      <c r="BE43" s="4"/>
      <c r="BF43" s="4"/>
      <c r="BG43" s="10"/>
      <c r="BH43" s="4">
        <f t="shared" si="22"/>
        <v>0</v>
      </c>
      <c r="BI43" s="3"/>
      <c r="BJ43" s="4">
        <f t="shared" si="23"/>
        <v>0</v>
      </c>
      <c r="BK43" s="472">
        <f t="shared" si="24"/>
        <v>0</v>
      </c>
      <c r="BL43" s="4">
        <f t="shared" si="20"/>
        <v>0</v>
      </c>
      <c r="BM43" s="4"/>
      <c r="BN43" s="4"/>
      <c r="BO43" s="4"/>
      <c r="BP43" s="4"/>
    </row>
    <row r="44" spans="1:68" ht="30" customHeight="1">
      <c r="A44" s="172">
        <v>39</v>
      </c>
      <c r="B44" s="292">
        <v>1896</v>
      </c>
      <c r="C44" s="172" t="s">
        <v>543</v>
      </c>
      <c r="D44" s="173">
        <v>18560000</v>
      </c>
      <c r="E44" s="173">
        <v>18560000</v>
      </c>
      <c r="F44" s="173">
        <f t="shared" si="0"/>
        <v>0</v>
      </c>
      <c r="G44" s="173">
        <v>11600000</v>
      </c>
      <c r="H44" s="173">
        <v>1133099</v>
      </c>
      <c r="I44" s="173"/>
      <c r="J44" s="173">
        <v>501348.48</v>
      </c>
      <c r="K44" s="173">
        <f t="shared" si="2"/>
        <v>501348.48</v>
      </c>
      <c r="L44" s="173">
        <f t="shared" si="1"/>
        <v>1634447.48</v>
      </c>
      <c r="M44" s="173">
        <f t="shared" si="3"/>
        <v>9965552.5199999996</v>
      </c>
      <c r="N44" s="173">
        <v>3500000</v>
      </c>
      <c r="O44" s="173">
        <f t="shared" si="26"/>
        <v>3500000</v>
      </c>
      <c r="P44" s="173">
        <f t="shared" si="28"/>
        <v>3460000</v>
      </c>
      <c r="Q44" s="173">
        <f t="shared" si="6"/>
        <v>9965552.5199999996</v>
      </c>
      <c r="R44" s="173"/>
      <c r="S44" s="173"/>
      <c r="T44" s="173">
        <f t="shared" si="7"/>
        <v>0</v>
      </c>
      <c r="U44" s="173">
        <f t="shared" si="8"/>
        <v>0</v>
      </c>
      <c r="V44" s="173">
        <f t="shared" si="9"/>
        <v>3500000</v>
      </c>
      <c r="W44" s="173">
        <f t="shared" si="10"/>
        <v>3500000</v>
      </c>
      <c r="X44" s="173"/>
      <c r="Y44" s="173"/>
      <c r="Z44" s="173"/>
      <c r="AA44" s="172"/>
      <c r="AB44" s="172" t="s">
        <v>813</v>
      </c>
      <c r="AC44" s="172">
        <v>829000</v>
      </c>
      <c r="AD44" s="292"/>
      <c r="AE44" s="292"/>
      <c r="AF44" s="292"/>
      <c r="AG44" s="292"/>
      <c r="AH44" s="173">
        <f t="shared" si="30"/>
        <v>0</v>
      </c>
      <c r="AI44" s="173">
        <f t="shared" si="12"/>
        <v>3500000</v>
      </c>
      <c r="AJ44" s="173">
        <f t="shared" si="13"/>
        <v>3500000</v>
      </c>
      <c r="AK44" s="522"/>
      <c r="AL44" s="292"/>
      <c r="AM44" s="292"/>
      <c r="AN44" s="292"/>
      <c r="AO44" s="3"/>
      <c r="AP44" s="4">
        <f>M44</f>
        <v>9965552.5199999996</v>
      </c>
      <c r="AQ44" s="3"/>
      <c r="AR44" s="518">
        <f t="shared" si="25"/>
        <v>0</v>
      </c>
      <c r="AS44" s="173">
        <f t="shared" si="21"/>
        <v>9965552.5199999996</v>
      </c>
      <c r="AT44" s="173">
        <f t="shared" si="27"/>
        <v>9965552.5199999996</v>
      </c>
      <c r="AU44" s="173">
        <f t="shared" si="15"/>
        <v>6960000</v>
      </c>
      <c r="AV44" s="173">
        <f t="shared" si="16"/>
        <v>0</v>
      </c>
      <c r="AW44" s="173">
        <f t="shared" si="17"/>
        <v>0</v>
      </c>
      <c r="AX44" s="173"/>
      <c r="AY44" s="173"/>
      <c r="AZ44" s="173"/>
      <c r="BA44" s="173"/>
      <c r="BB44" s="173">
        <f t="shared" si="18"/>
        <v>0</v>
      </c>
      <c r="BC44" s="4">
        <f t="shared" si="19"/>
        <v>0</v>
      </c>
      <c r="BD44" s="4"/>
      <c r="BE44" s="4"/>
      <c r="BF44" s="4"/>
      <c r="BG44" s="10"/>
      <c r="BH44" s="4">
        <f t="shared" si="22"/>
        <v>0</v>
      </c>
      <c r="BI44" s="3"/>
      <c r="BJ44" s="4">
        <f t="shared" si="23"/>
        <v>0</v>
      </c>
      <c r="BK44" s="472">
        <f t="shared" si="24"/>
        <v>0</v>
      </c>
      <c r="BL44" s="4">
        <f t="shared" si="20"/>
        <v>0</v>
      </c>
      <c r="BM44" s="4"/>
      <c r="BN44" s="4"/>
      <c r="BO44" s="4"/>
      <c r="BP44" s="4"/>
    </row>
    <row r="45" spans="1:68" s="176" customFormat="1" ht="30" customHeight="1">
      <c r="A45" s="172">
        <v>40</v>
      </c>
      <c r="B45" s="172">
        <v>1904</v>
      </c>
      <c r="C45" s="172" t="s">
        <v>127</v>
      </c>
      <c r="D45" s="173">
        <v>5700000</v>
      </c>
      <c r="E45" s="173">
        <v>5700000</v>
      </c>
      <c r="F45" s="173">
        <f t="shared" si="0"/>
        <v>0</v>
      </c>
      <c r="G45" s="173">
        <v>5700000</v>
      </c>
      <c r="H45" s="173">
        <v>4032834.16</v>
      </c>
      <c r="I45" s="173"/>
      <c r="J45" s="173">
        <v>672355.71</v>
      </c>
      <c r="K45" s="173">
        <f t="shared" si="2"/>
        <v>672355.71</v>
      </c>
      <c r="L45" s="173">
        <f t="shared" si="1"/>
        <v>4705189.87</v>
      </c>
      <c r="M45" s="173">
        <f t="shared" si="3"/>
        <v>994810.12999999989</v>
      </c>
      <c r="N45" s="173"/>
      <c r="O45" s="173">
        <f t="shared" si="26"/>
        <v>0</v>
      </c>
      <c r="P45" s="173">
        <f t="shared" si="28"/>
        <v>0</v>
      </c>
      <c r="Q45" s="173">
        <f t="shared" si="6"/>
        <v>994810.12999999989</v>
      </c>
      <c r="R45" s="173"/>
      <c r="S45" s="173"/>
      <c r="T45" s="173">
        <f t="shared" si="7"/>
        <v>0</v>
      </c>
      <c r="U45" s="173">
        <f t="shared" si="8"/>
        <v>0</v>
      </c>
      <c r="V45" s="173">
        <f t="shared" si="9"/>
        <v>0</v>
      </c>
      <c r="W45" s="173">
        <f t="shared" si="10"/>
        <v>0</v>
      </c>
      <c r="X45" s="173"/>
      <c r="Y45" s="173"/>
      <c r="Z45" s="173"/>
      <c r="AA45" s="173"/>
      <c r="AB45" s="172" t="s">
        <v>690</v>
      </c>
      <c r="AC45" s="172">
        <v>742000</v>
      </c>
      <c r="AD45" s="292"/>
      <c r="AE45" s="292"/>
      <c r="AF45" s="292"/>
      <c r="AG45" s="292"/>
      <c r="AH45" s="173">
        <f t="shared" si="30"/>
        <v>0</v>
      </c>
      <c r="AI45" s="173">
        <f t="shared" si="12"/>
        <v>0</v>
      </c>
      <c r="AJ45" s="173">
        <f t="shared" si="13"/>
        <v>0</v>
      </c>
      <c r="AK45" s="522"/>
      <c r="AL45" s="172"/>
      <c r="AM45" s="172"/>
      <c r="AN45" s="172"/>
      <c r="AO45" s="3"/>
      <c r="AP45" s="4">
        <v>100000</v>
      </c>
      <c r="AQ45" s="172" t="s">
        <v>1101</v>
      </c>
      <c r="AR45" s="518">
        <f t="shared" si="25"/>
        <v>0</v>
      </c>
      <c r="AS45" s="173">
        <f>M45-570000-330000</f>
        <v>94810.129999999888</v>
      </c>
      <c r="AT45" s="173">
        <f t="shared" si="27"/>
        <v>94810.129999999888</v>
      </c>
      <c r="AU45" s="173">
        <f t="shared" si="15"/>
        <v>900000</v>
      </c>
      <c r="AV45" s="173">
        <f t="shared" si="16"/>
        <v>-900000</v>
      </c>
      <c r="AW45" s="173">
        <f t="shared" si="17"/>
        <v>-900000</v>
      </c>
      <c r="AX45" s="173"/>
      <c r="AY45" s="173"/>
      <c r="AZ45" s="173"/>
      <c r="BA45" s="173"/>
      <c r="BB45" s="173">
        <f t="shared" si="18"/>
        <v>-900000</v>
      </c>
      <c r="BC45" s="4">
        <f t="shared" si="19"/>
        <v>0</v>
      </c>
      <c r="BD45" s="4">
        <v>-900000</v>
      </c>
      <c r="BE45" s="4"/>
      <c r="BF45" s="4"/>
      <c r="BG45" s="10"/>
      <c r="BH45" s="4">
        <f t="shared" si="22"/>
        <v>-900000</v>
      </c>
      <c r="BI45" s="3"/>
      <c r="BJ45" s="4">
        <f t="shared" si="23"/>
        <v>-900000</v>
      </c>
      <c r="BK45" s="472">
        <f t="shared" si="24"/>
        <v>0</v>
      </c>
      <c r="BL45" s="4">
        <f t="shared" si="20"/>
        <v>-900000</v>
      </c>
      <c r="BM45" s="4"/>
      <c r="BN45" s="4"/>
      <c r="BO45" s="4"/>
      <c r="BP45" s="4"/>
    </row>
    <row r="46" spans="1:68" ht="30" customHeight="1">
      <c r="A46" s="172">
        <v>41</v>
      </c>
      <c r="B46" s="292">
        <v>1921</v>
      </c>
      <c r="C46" s="172" t="s">
        <v>135</v>
      </c>
      <c r="D46" s="173">
        <v>9716000</v>
      </c>
      <c r="E46" s="173">
        <v>9716000</v>
      </c>
      <c r="F46" s="173">
        <f t="shared" si="0"/>
        <v>0</v>
      </c>
      <c r="G46" s="173">
        <v>9276000</v>
      </c>
      <c r="H46" s="173">
        <v>4356979.5599999996</v>
      </c>
      <c r="I46" s="173"/>
      <c r="J46" s="173">
        <v>890410.99</v>
      </c>
      <c r="K46" s="173">
        <f t="shared" si="2"/>
        <v>890410.99</v>
      </c>
      <c r="L46" s="173">
        <f t="shared" si="1"/>
        <v>5247390.55</v>
      </c>
      <c r="M46" s="173">
        <f t="shared" si="3"/>
        <v>4028609.45</v>
      </c>
      <c r="N46" s="173">
        <f>300000+140000</f>
        <v>440000</v>
      </c>
      <c r="O46" s="173">
        <f t="shared" si="26"/>
        <v>440000</v>
      </c>
      <c r="P46" s="173">
        <f t="shared" si="28"/>
        <v>0</v>
      </c>
      <c r="Q46" s="173">
        <f t="shared" si="6"/>
        <v>4028609.45</v>
      </c>
      <c r="R46" s="173"/>
      <c r="S46" s="173"/>
      <c r="T46" s="173">
        <f t="shared" si="7"/>
        <v>0</v>
      </c>
      <c r="U46" s="173">
        <f t="shared" si="8"/>
        <v>0</v>
      </c>
      <c r="V46" s="173">
        <f t="shared" si="9"/>
        <v>440000</v>
      </c>
      <c r="W46" s="173">
        <f t="shared" si="10"/>
        <v>1007551</v>
      </c>
      <c r="X46" s="173"/>
      <c r="Y46" s="173"/>
      <c r="Z46" s="173"/>
      <c r="AA46" s="173">
        <v>-567551</v>
      </c>
      <c r="AB46" s="172" t="s">
        <v>814</v>
      </c>
      <c r="AC46" s="172">
        <v>829000</v>
      </c>
      <c r="AD46" s="292"/>
      <c r="AE46" s="292"/>
      <c r="AF46" s="292"/>
      <c r="AG46" s="292"/>
      <c r="AH46" s="173">
        <f t="shared" si="30"/>
        <v>0</v>
      </c>
      <c r="AI46" s="173">
        <f t="shared" si="12"/>
        <v>440000</v>
      </c>
      <c r="AJ46" s="173">
        <f>AI46-AN46</f>
        <v>1007551</v>
      </c>
      <c r="AK46" s="522"/>
      <c r="AL46" s="292"/>
      <c r="AM46" s="292"/>
      <c r="AN46" s="210">
        <v>-567551</v>
      </c>
      <c r="AO46" s="4">
        <f>AI46</f>
        <v>440000</v>
      </c>
      <c r="AP46" s="4">
        <f>M46</f>
        <v>4028609.45</v>
      </c>
      <c r="AQ46" s="523"/>
      <c r="AR46" s="518">
        <f t="shared" si="25"/>
        <v>440000</v>
      </c>
      <c r="AS46" s="173">
        <f>M46</f>
        <v>4028609.45</v>
      </c>
      <c r="AT46" s="173">
        <f t="shared" si="27"/>
        <v>4468609.45</v>
      </c>
      <c r="AU46" s="173">
        <f t="shared" si="15"/>
        <v>0</v>
      </c>
      <c r="AV46" s="173">
        <f t="shared" si="16"/>
        <v>440000</v>
      </c>
      <c r="AW46" s="173">
        <f t="shared" si="17"/>
        <v>1007551</v>
      </c>
      <c r="AX46" s="173"/>
      <c r="AY46" s="173"/>
      <c r="AZ46" s="173"/>
      <c r="BA46" s="173">
        <v>-567551</v>
      </c>
      <c r="BB46" s="173">
        <f t="shared" si="18"/>
        <v>0</v>
      </c>
      <c r="BC46" s="4">
        <f t="shared" si="19"/>
        <v>440000</v>
      </c>
      <c r="BD46" s="4">
        <v>440000</v>
      </c>
      <c r="BE46" s="4"/>
      <c r="BF46" s="4"/>
      <c r="BG46" s="10"/>
      <c r="BH46" s="4">
        <f t="shared" si="22"/>
        <v>440000</v>
      </c>
      <c r="BI46" s="3"/>
      <c r="BJ46" s="4">
        <f t="shared" si="23"/>
        <v>440000</v>
      </c>
      <c r="BK46" s="472">
        <f t="shared" si="24"/>
        <v>0</v>
      </c>
      <c r="BL46" s="4">
        <f t="shared" si="20"/>
        <v>1007550</v>
      </c>
      <c r="BM46" s="4"/>
      <c r="BN46" s="4"/>
      <c r="BO46" s="4"/>
      <c r="BP46" s="4">
        <v>-567550</v>
      </c>
    </row>
    <row r="47" spans="1:68" ht="30" customHeight="1">
      <c r="A47" s="172">
        <v>42</v>
      </c>
      <c r="B47" s="292">
        <v>1936</v>
      </c>
      <c r="C47" s="172" t="s">
        <v>180</v>
      </c>
      <c r="D47" s="173">
        <v>6082795</v>
      </c>
      <c r="E47" s="173">
        <v>6082795</v>
      </c>
      <c r="F47" s="173">
        <f t="shared" si="0"/>
        <v>0</v>
      </c>
      <c r="G47" s="173">
        <v>700000</v>
      </c>
      <c r="H47" s="173">
        <v>313933</v>
      </c>
      <c r="I47" s="173"/>
      <c r="J47" s="173"/>
      <c r="K47" s="173">
        <f t="shared" si="2"/>
        <v>0</v>
      </c>
      <c r="L47" s="173">
        <f t="shared" si="1"/>
        <v>313933</v>
      </c>
      <c r="M47" s="173">
        <f t="shared" si="3"/>
        <v>386067</v>
      </c>
      <c r="N47" s="173"/>
      <c r="O47" s="173">
        <f t="shared" si="26"/>
        <v>0</v>
      </c>
      <c r="P47" s="173">
        <f t="shared" si="28"/>
        <v>5382795</v>
      </c>
      <c r="Q47" s="173">
        <f t="shared" si="6"/>
        <v>386067</v>
      </c>
      <c r="R47" s="173"/>
      <c r="S47" s="173"/>
      <c r="T47" s="173">
        <f t="shared" si="7"/>
        <v>0</v>
      </c>
      <c r="U47" s="173">
        <f t="shared" si="8"/>
        <v>0</v>
      </c>
      <c r="V47" s="173">
        <f t="shared" si="9"/>
        <v>0</v>
      </c>
      <c r="W47" s="173">
        <f t="shared" si="10"/>
        <v>0</v>
      </c>
      <c r="X47" s="173"/>
      <c r="Y47" s="173"/>
      <c r="Z47" s="173"/>
      <c r="AA47" s="172"/>
      <c r="AB47" s="293" t="s">
        <v>463</v>
      </c>
      <c r="AC47" s="172">
        <v>732000</v>
      </c>
      <c r="AD47" s="292"/>
      <c r="AE47" s="292"/>
      <c r="AF47" s="292"/>
      <c r="AG47" s="292"/>
      <c r="AH47" s="173">
        <f t="shared" si="30"/>
        <v>0</v>
      </c>
      <c r="AI47" s="173">
        <f t="shared" si="12"/>
        <v>0</v>
      </c>
      <c r="AJ47" s="173">
        <f t="shared" si="13"/>
        <v>0</v>
      </c>
      <c r="AK47" s="522"/>
      <c r="AL47" s="292"/>
      <c r="AM47" s="292"/>
      <c r="AN47" s="173"/>
      <c r="AO47" s="3"/>
      <c r="AP47" s="4">
        <f>M47</f>
        <v>386067</v>
      </c>
      <c r="AQ47" s="172" t="s">
        <v>1111</v>
      </c>
      <c r="AR47" s="518">
        <f t="shared" si="25"/>
        <v>0</v>
      </c>
      <c r="AS47" s="173">
        <f t="shared" si="21"/>
        <v>386067</v>
      </c>
      <c r="AT47" s="173">
        <f t="shared" si="27"/>
        <v>386067</v>
      </c>
      <c r="AU47" s="173">
        <f t="shared" si="15"/>
        <v>5382795</v>
      </c>
      <c r="AV47" s="173">
        <f t="shared" si="16"/>
        <v>0</v>
      </c>
      <c r="AW47" s="173">
        <f t="shared" si="17"/>
        <v>0</v>
      </c>
      <c r="AX47" s="173"/>
      <c r="AY47" s="173"/>
      <c r="AZ47" s="173"/>
      <c r="BA47" s="173"/>
      <c r="BB47" s="173">
        <f t="shared" si="18"/>
        <v>0</v>
      </c>
      <c r="BC47" s="4">
        <f t="shared" si="19"/>
        <v>0</v>
      </c>
      <c r="BD47" s="4"/>
      <c r="BE47" s="4"/>
      <c r="BF47" s="4"/>
      <c r="BG47" s="10"/>
      <c r="BH47" s="4">
        <f t="shared" si="22"/>
        <v>0</v>
      </c>
      <c r="BI47" s="3"/>
      <c r="BJ47" s="4">
        <f t="shared" si="23"/>
        <v>0</v>
      </c>
      <c r="BK47" s="472">
        <f t="shared" si="24"/>
        <v>0</v>
      </c>
      <c r="BL47" s="4">
        <f t="shared" si="20"/>
        <v>0</v>
      </c>
      <c r="BM47" s="4"/>
      <c r="BN47" s="4"/>
      <c r="BO47" s="4"/>
      <c r="BP47" s="4"/>
    </row>
    <row r="48" spans="1:68" ht="30" customHeight="1">
      <c r="A48" s="172">
        <v>43</v>
      </c>
      <c r="B48" s="292">
        <v>1953</v>
      </c>
      <c r="C48" s="172" t="s">
        <v>544</v>
      </c>
      <c r="D48" s="173">
        <v>5300000</v>
      </c>
      <c r="E48" s="173">
        <v>5300000</v>
      </c>
      <c r="F48" s="173">
        <f t="shared" si="0"/>
        <v>0</v>
      </c>
      <c r="G48" s="173">
        <v>5300000</v>
      </c>
      <c r="H48" s="173">
        <v>3084860</v>
      </c>
      <c r="I48" s="173"/>
      <c r="J48" s="173">
        <v>332883.02</v>
      </c>
      <c r="K48" s="173">
        <f t="shared" si="2"/>
        <v>332883.02</v>
      </c>
      <c r="L48" s="173">
        <f t="shared" si="1"/>
        <v>3417743.02</v>
      </c>
      <c r="M48" s="173">
        <f t="shared" si="3"/>
        <v>1882256.98</v>
      </c>
      <c r="N48" s="173"/>
      <c r="O48" s="173">
        <f t="shared" si="26"/>
        <v>0</v>
      </c>
      <c r="P48" s="173">
        <f t="shared" si="28"/>
        <v>0</v>
      </c>
      <c r="Q48" s="173">
        <f t="shared" si="6"/>
        <v>1882256.98</v>
      </c>
      <c r="R48" s="173"/>
      <c r="S48" s="173"/>
      <c r="T48" s="173">
        <f t="shared" si="7"/>
        <v>0</v>
      </c>
      <c r="U48" s="173">
        <f t="shared" si="8"/>
        <v>0</v>
      </c>
      <c r="V48" s="173">
        <f t="shared" si="9"/>
        <v>0</v>
      </c>
      <c r="W48" s="173">
        <f t="shared" si="10"/>
        <v>0</v>
      </c>
      <c r="X48" s="173"/>
      <c r="Y48" s="173"/>
      <c r="Z48" s="173"/>
      <c r="AA48" s="172"/>
      <c r="AB48" s="326" t="s">
        <v>598</v>
      </c>
      <c r="AC48" s="172">
        <v>742000</v>
      </c>
      <c r="AD48" s="292"/>
      <c r="AE48" s="292"/>
      <c r="AF48" s="292"/>
      <c r="AG48" s="292"/>
      <c r="AH48" s="173">
        <f t="shared" si="30"/>
        <v>0</v>
      </c>
      <c r="AI48" s="173">
        <f t="shared" si="12"/>
        <v>0</v>
      </c>
      <c r="AJ48" s="173">
        <f t="shared" si="13"/>
        <v>0</v>
      </c>
      <c r="AK48" s="522"/>
      <c r="AL48" s="292"/>
      <c r="AM48" s="292"/>
      <c r="AN48" s="292"/>
      <c r="AO48" s="7"/>
      <c r="AP48" s="4">
        <f>M48</f>
        <v>1882256.98</v>
      </c>
      <c r="AQ48" s="172" t="s">
        <v>1112</v>
      </c>
      <c r="AR48" s="518">
        <f t="shared" si="25"/>
        <v>0</v>
      </c>
      <c r="AS48" s="173">
        <f t="shared" si="21"/>
        <v>1882256.98</v>
      </c>
      <c r="AT48" s="173">
        <f t="shared" si="27"/>
        <v>1882256.98</v>
      </c>
      <c r="AU48" s="173">
        <f t="shared" si="15"/>
        <v>0</v>
      </c>
      <c r="AV48" s="173">
        <f t="shared" si="16"/>
        <v>0</v>
      </c>
      <c r="AW48" s="173">
        <f t="shared" si="17"/>
        <v>0</v>
      </c>
      <c r="AX48" s="173"/>
      <c r="AY48" s="173"/>
      <c r="AZ48" s="173"/>
      <c r="BA48" s="173"/>
      <c r="BB48" s="173">
        <f t="shared" si="18"/>
        <v>0</v>
      </c>
      <c r="BC48" s="4">
        <f t="shared" si="19"/>
        <v>0</v>
      </c>
      <c r="BD48" s="4"/>
      <c r="BE48" s="4"/>
      <c r="BF48" s="4"/>
      <c r="BG48" s="10"/>
      <c r="BH48" s="4">
        <f t="shared" si="22"/>
        <v>0</v>
      </c>
      <c r="BI48" s="3"/>
      <c r="BJ48" s="4">
        <f t="shared" si="23"/>
        <v>0</v>
      </c>
      <c r="BK48" s="472">
        <f t="shared" si="24"/>
        <v>0</v>
      </c>
      <c r="BL48" s="4">
        <f t="shared" si="20"/>
        <v>0</v>
      </c>
      <c r="BM48" s="4"/>
      <c r="BN48" s="4"/>
      <c r="BO48" s="4"/>
      <c r="BP48" s="4"/>
    </row>
    <row r="49" spans="1:68" s="176" customFormat="1" ht="30" customHeight="1">
      <c r="A49" s="172">
        <v>44</v>
      </c>
      <c r="B49" s="172">
        <v>1954</v>
      </c>
      <c r="C49" s="172" t="s">
        <v>155</v>
      </c>
      <c r="D49" s="173">
        <v>2000000</v>
      </c>
      <c r="E49" s="173">
        <v>2000000</v>
      </c>
      <c r="F49" s="173">
        <f t="shared" si="0"/>
        <v>0</v>
      </c>
      <c r="G49" s="173">
        <v>2000000</v>
      </c>
      <c r="H49" s="173">
        <v>615155</v>
      </c>
      <c r="I49" s="173"/>
      <c r="J49" s="173">
        <v>1377764.98</v>
      </c>
      <c r="K49" s="173">
        <f t="shared" si="2"/>
        <v>1377764.98</v>
      </c>
      <c r="L49" s="173">
        <f t="shared" si="1"/>
        <v>1992919.98</v>
      </c>
      <c r="M49" s="173">
        <f t="shared" si="3"/>
        <v>7080.0200000000186</v>
      </c>
      <c r="N49" s="173"/>
      <c r="O49" s="173">
        <f t="shared" si="26"/>
        <v>0</v>
      </c>
      <c r="P49" s="173">
        <f t="shared" si="28"/>
        <v>0</v>
      </c>
      <c r="Q49" s="173">
        <f t="shared" si="6"/>
        <v>7080.0200000000186</v>
      </c>
      <c r="R49" s="173"/>
      <c r="S49" s="173"/>
      <c r="T49" s="173">
        <f t="shared" si="7"/>
        <v>0</v>
      </c>
      <c r="U49" s="173">
        <f t="shared" si="8"/>
        <v>0</v>
      </c>
      <c r="V49" s="173">
        <f t="shared" si="9"/>
        <v>0</v>
      </c>
      <c r="W49" s="173">
        <f t="shared" si="10"/>
        <v>0</v>
      </c>
      <c r="X49" s="173"/>
      <c r="Y49" s="173"/>
      <c r="Z49" s="173"/>
      <c r="AA49" s="172"/>
      <c r="AB49" s="293" t="s">
        <v>691</v>
      </c>
      <c r="AC49" s="172">
        <v>742000</v>
      </c>
      <c r="AD49" s="292"/>
      <c r="AE49" s="292"/>
      <c r="AF49" s="292"/>
      <c r="AG49" s="292"/>
      <c r="AH49" s="173">
        <f t="shared" si="30"/>
        <v>0</v>
      </c>
      <c r="AI49" s="173">
        <f t="shared" si="12"/>
        <v>0</v>
      </c>
      <c r="AJ49" s="173">
        <f t="shared" si="13"/>
        <v>0</v>
      </c>
      <c r="AK49" s="522"/>
      <c r="AL49" s="172"/>
      <c r="AM49" s="172"/>
      <c r="AN49" s="172"/>
      <c r="AO49" s="7"/>
      <c r="AP49" s="3"/>
      <c r="AQ49" s="172"/>
      <c r="AR49" s="518">
        <f t="shared" si="25"/>
        <v>0</v>
      </c>
      <c r="AS49" s="173">
        <f t="shared" si="21"/>
        <v>7080.0200000000186</v>
      </c>
      <c r="AT49" s="173">
        <f t="shared" si="27"/>
        <v>7080.0200000000186</v>
      </c>
      <c r="AU49" s="173">
        <f t="shared" si="15"/>
        <v>0</v>
      </c>
      <c r="AV49" s="173">
        <f t="shared" si="16"/>
        <v>0</v>
      </c>
      <c r="AW49" s="173">
        <f t="shared" si="17"/>
        <v>0</v>
      </c>
      <c r="AX49" s="173"/>
      <c r="AY49" s="173"/>
      <c r="AZ49" s="173"/>
      <c r="BA49" s="173"/>
      <c r="BB49" s="173">
        <f t="shared" si="18"/>
        <v>0</v>
      </c>
      <c r="BC49" s="4">
        <f t="shared" si="19"/>
        <v>0</v>
      </c>
      <c r="BD49" s="4"/>
      <c r="BE49" s="4"/>
      <c r="BF49" s="4"/>
      <c r="BG49" s="10"/>
      <c r="BH49" s="4">
        <f t="shared" si="22"/>
        <v>0</v>
      </c>
      <c r="BI49" s="3"/>
      <c r="BJ49" s="4">
        <f t="shared" si="23"/>
        <v>0</v>
      </c>
      <c r="BK49" s="472">
        <f t="shared" si="24"/>
        <v>0</v>
      </c>
      <c r="BL49" s="4">
        <f t="shared" si="20"/>
        <v>0</v>
      </c>
      <c r="BM49" s="4"/>
      <c r="BN49" s="4"/>
      <c r="BO49" s="4"/>
      <c r="BP49" s="4"/>
    </row>
    <row r="50" spans="1:68" ht="30" customHeight="1">
      <c r="A50" s="172">
        <v>45</v>
      </c>
      <c r="B50" s="292">
        <v>1955</v>
      </c>
      <c r="C50" s="172" t="s">
        <v>1599</v>
      </c>
      <c r="D50" s="173">
        <v>250000</v>
      </c>
      <c r="E50" s="173">
        <v>250000</v>
      </c>
      <c r="F50" s="173">
        <f t="shared" si="0"/>
        <v>0</v>
      </c>
      <c r="G50" s="173">
        <v>250000</v>
      </c>
      <c r="H50" s="173">
        <v>9922</v>
      </c>
      <c r="I50" s="173"/>
      <c r="J50" s="173">
        <v>95495.4</v>
      </c>
      <c r="K50" s="173">
        <f t="shared" si="2"/>
        <v>95495.4</v>
      </c>
      <c r="L50" s="173">
        <f t="shared" si="1"/>
        <v>105417.4</v>
      </c>
      <c r="M50" s="173">
        <f t="shared" si="3"/>
        <v>144582.6</v>
      </c>
      <c r="N50" s="173"/>
      <c r="O50" s="173">
        <f t="shared" si="26"/>
        <v>0</v>
      </c>
      <c r="P50" s="173">
        <f t="shared" si="28"/>
        <v>0</v>
      </c>
      <c r="Q50" s="173">
        <f t="shared" si="6"/>
        <v>144582.6</v>
      </c>
      <c r="R50" s="173"/>
      <c r="S50" s="173"/>
      <c r="T50" s="173">
        <f t="shared" si="7"/>
        <v>0</v>
      </c>
      <c r="U50" s="173">
        <f t="shared" si="8"/>
        <v>0</v>
      </c>
      <c r="V50" s="173">
        <f t="shared" si="9"/>
        <v>0</v>
      </c>
      <c r="W50" s="173">
        <f t="shared" si="10"/>
        <v>0</v>
      </c>
      <c r="X50" s="173"/>
      <c r="Y50" s="173"/>
      <c r="Z50" s="173"/>
      <c r="AA50" s="172"/>
      <c r="AB50" s="293" t="s">
        <v>692</v>
      </c>
      <c r="AC50" s="172">
        <v>742000</v>
      </c>
      <c r="AD50" s="292"/>
      <c r="AE50" s="292"/>
      <c r="AF50" s="292"/>
      <c r="AG50" s="292"/>
      <c r="AH50" s="173">
        <f t="shared" si="30"/>
        <v>0</v>
      </c>
      <c r="AI50" s="173">
        <f t="shared" si="12"/>
        <v>0</v>
      </c>
      <c r="AJ50" s="173">
        <f t="shared" si="13"/>
        <v>0</v>
      </c>
      <c r="AK50" s="522"/>
      <c r="AL50" s="292"/>
      <c r="AM50" s="292"/>
      <c r="AN50" s="292"/>
      <c r="AO50" s="7"/>
      <c r="AP50" s="3"/>
      <c r="AQ50" s="172"/>
      <c r="AR50" s="518">
        <f t="shared" si="25"/>
        <v>0</v>
      </c>
      <c r="AS50" s="173">
        <f>M50-140000</f>
        <v>4582.6000000000058</v>
      </c>
      <c r="AT50" s="173">
        <f t="shared" si="27"/>
        <v>4582.6000000000058</v>
      </c>
      <c r="AU50" s="173">
        <f t="shared" si="15"/>
        <v>140000</v>
      </c>
      <c r="AV50" s="173">
        <f t="shared" si="16"/>
        <v>-140000</v>
      </c>
      <c r="AW50" s="173">
        <f t="shared" si="17"/>
        <v>-140000</v>
      </c>
      <c r="AX50" s="173"/>
      <c r="AY50" s="173"/>
      <c r="AZ50" s="173"/>
      <c r="BA50" s="173"/>
      <c r="BB50" s="173">
        <f t="shared" si="18"/>
        <v>-140000</v>
      </c>
      <c r="BC50" s="4">
        <f t="shared" si="19"/>
        <v>0</v>
      </c>
      <c r="BD50" s="4">
        <v>-140000</v>
      </c>
      <c r="BE50" s="4"/>
      <c r="BF50" s="4"/>
      <c r="BG50" s="10"/>
      <c r="BH50" s="4">
        <f t="shared" si="22"/>
        <v>-140000</v>
      </c>
      <c r="BI50" s="3"/>
      <c r="BJ50" s="4">
        <f t="shared" si="23"/>
        <v>-140000</v>
      </c>
      <c r="BK50" s="472">
        <f t="shared" si="24"/>
        <v>0</v>
      </c>
      <c r="BL50" s="4">
        <f t="shared" si="20"/>
        <v>-140000</v>
      </c>
      <c r="BM50" s="4"/>
      <c r="BN50" s="4"/>
      <c r="BO50" s="4"/>
      <c r="BP50" s="4"/>
    </row>
    <row r="51" spans="1:68" ht="30" customHeight="1">
      <c r="A51" s="172">
        <v>46</v>
      </c>
      <c r="B51" s="292">
        <v>1957</v>
      </c>
      <c r="C51" s="172" t="s">
        <v>379</v>
      </c>
      <c r="D51" s="173">
        <v>60000000</v>
      </c>
      <c r="E51" s="173">
        <v>60000000</v>
      </c>
      <c r="F51" s="173">
        <f t="shared" si="0"/>
        <v>0</v>
      </c>
      <c r="G51" s="173">
        <v>31000000</v>
      </c>
      <c r="H51" s="173">
        <v>2699975.36</v>
      </c>
      <c r="I51" s="173"/>
      <c r="J51" s="173">
        <v>1710163.83</v>
      </c>
      <c r="K51" s="173">
        <f t="shared" si="2"/>
        <v>1710163.83</v>
      </c>
      <c r="L51" s="173">
        <f t="shared" si="1"/>
        <v>4410139.1899999995</v>
      </c>
      <c r="M51" s="519">
        <f>Q51+T51</f>
        <v>26589860.810000002</v>
      </c>
      <c r="N51" s="519">
        <v>-2000000</v>
      </c>
      <c r="O51" s="519">
        <f t="shared" si="26"/>
        <v>-2000000</v>
      </c>
      <c r="P51" s="519">
        <f t="shared" si="28"/>
        <v>31000000</v>
      </c>
      <c r="Q51" s="519">
        <f t="shared" si="6"/>
        <v>26589860.810000002</v>
      </c>
      <c r="R51" s="519"/>
      <c r="S51" s="519"/>
      <c r="T51" s="519">
        <f t="shared" si="7"/>
        <v>0</v>
      </c>
      <c r="U51" s="519">
        <f t="shared" si="8"/>
        <v>0</v>
      </c>
      <c r="V51" s="519">
        <f t="shared" si="9"/>
        <v>-2000000</v>
      </c>
      <c r="W51" s="519">
        <f t="shared" si="10"/>
        <v>-2000000</v>
      </c>
      <c r="X51" s="519"/>
      <c r="Y51" s="519"/>
      <c r="Z51" s="519"/>
      <c r="AA51" s="499"/>
      <c r="AB51" s="499" t="s">
        <v>897</v>
      </c>
      <c r="AC51" s="499">
        <v>810000</v>
      </c>
      <c r="AD51" s="500"/>
      <c r="AE51" s="500"/>
      <c r="AF51" s="500"/>
      <c r="AG51" s="500"/>
      <c r="AH51" s="519">
        <f t="shared" si="30"/>
        <v>0</v>
      </c>
      <c r="AI51" s="519">
        <f t="shared" si="12"/>
        <v>-2000000</v>
      </c>
      <c r="AJ51" s="173">
        <f t="shared" si="13"/>
        <v>-2000000</v>
      </c>
      <c r="AK51" s="522"/>
      <c r="AL51" s="292"/>
      <c r="AM51" s="292"/>
      <c r="AN51" s="292"/>
      <c r="AO51" s="3"/>
      <c r="AP51" s="3"/>
      <c r="AQ51" s="172"/>
      <c r="AR51" s="518">
        <v>-2000000</v>
      </c>
      <c r="AS51" s="173">
        <f>M51-24580000</f>
        <v>2009860.8100000024</v>
      </c>
      <c r="AT51" s="173">
        <f t="shared" si="27"/>
        <v>9860.8100000023842</v>
      </c>
      <c r="AU51" s="173">
        <f t="shared" si="15"/>
        <v>55580000</v>
      </c>
      <c r="AV51" s="173">
        <f t="shared" si="16"/>
        <v>-26580000</v>
      </c>
      <c r="AW51" s="173">
        <f t="shared" si="17"/>
        <v>-26580000</v>
      </c>
      <c r="AX51" s="173"/>
      <c r="AY51" s="173"/>
      <c r="AZ51" s="173"/>
      <c r="BA51" s="173"/>
      <c r="BB51" s="173">
        <f t="shared" si="18"/>
        <v>-24580000</v>
      </c>
      <c r="BC51" s="4">
        <f t="shared" si="19"/>
        <v>-2000000</v>
      </c>
      <c r="BD51" s="4">
        <v>-26580000</v>
      </c>
      <c r="BE51" s="4"/>
      <c r="BF51" s="4"/>
      <c r="BG51" s="10"/>
      <c r="BH51" s="4">
        <f t="shared" si="22"/>
        <v>-26580000</v>
      </c>
      <c r="BI51" s="3"/>
      <c r="BJ51" s="4">
        <f t="shared" si="23"/>
        <v>-26580000</v>
      </c>
      <c r="BK51" s="472">
        <f t="shared" si="24"/>
        <v>0</v>
      </c>
      <c r="BL51" s="4">
        <f t="shared" si="20"/>
        <v>-26580000</v>
      </c>
      <c r="BM51" s="4"/>
      <c r="BN51" s="4"/>
      <c r="BO51" s="4"/>
      <c r="BP51" s="4"/>
    </row>
    <row r="52" spans="1:68" ht="30" customHeight="1">
      <c r="A52" s="172">
        <v>47</v>
      </c>
      <c r="B52" s="292">
        <v>1972</v>
      </c>
      <c r="C52" s="172" t="s">
        <v>380</v>
      </c>
      <c r="D52" s="173">
        <v>4470000</v>
      </c>
      <c r="E52" s="173">
        <v>4470000</v>
      </c>
      <c r="F52" s="173">
        <f t="shared" si="0"/>
        <v>0</v>
      </c>
      <c r="G52" s="173">
        <v>4470000</v>
      </c>
      <c r="H52" s="173">
        <v>3363233.92</v>
      </c>
      <c r="I52" s="173"/>
      <c r="J52" s="173">
        <v>365859</v>
      </c>
      <c r="K52" s="173">
        <f t="shared" si="2"/>
        <v>365859</v>
      </c>
      <c r="L52" s="173">
        <f t="shared" si="1"/>
        <v>3729092.92</v>
      </c>
      <c r="M52" s="173">
        <f t="shared" si="3"/>
        <v>740907.08000000007</v>
      </c>
      <c r="N52" s="173"/>
      <c r="O52" s="173">
        <f t="shared" si="26"/>
        <v>0</v>
      </c>
      <c r="P52" s="173">
        <f t="shared" si="28"/>
        <v>0</v>
      </c>
      <c r="Q52" s="173">
        <f t="shared" si="6"/>
        <v>740907.08000000007</v>
      </c>
      <c r="R52" s="173"/>
      <c r="S52" s="173"/>
      <c r="T52" s="173">
        <f t="shared" si="7"/>
        <v>0</v>
      </c>
      <c r="U52" s="173">
        <f t="shared" si="8"/>
        <v>0</v>
      </c>
      <c r="V52" s="173">
        <f t="shared" si="9"/>
        <v>0</v>
      </c>
      <c r="W52" s="173">
        <f t="shared" si="10"/>
        <v>0</v>
      </c>
      <c r="X52" s="173"/>
      <c r="Y52" s="173"/>
      <c r="Z52" s="173"/>
      <c r="AA52" s="172"/>
      <c r="AB52" s="172" t="s">
        <v>535</v>
      </c>
      <c r="AC52" s="172">
        <v>746000</v>
      </c>
      <c r="AD52" s="292"/>
      <c r="AE52" s="292"/>
      <c r="AF52" s="292"/>
      <c r="AG52" s="292"/>
      <c r="AH52" s="173">
        <f t="shared" si="30"/>
        <v>0</v>
      </c>
      <c r="AI52" s="173">
        <f t="shared" si="12"/>
        <v>0</v>
      </c>
      <c r="AJ52" s="173">
        <f t="shared" si="13"/>
        <v>0</v>
      </c>
      <c r="AK52" s="522"/>
      <c r="AL52" s="292"/>
      <c r="AM52" s="292"/>
      <c r="AN52" s="173"/>
      <c r="AO52" s="3"/>
      <c r="AP52" s="4">
        <f>M52</f>
        <v>740907.08000000007</v>
      </c>
      <c r="AQ52" s="172" t="s">
        <v>1101</v>
      </c>
      <c r="AR52" s="518">
        <f t="shared" si="25"/>
        <v>0</v>
      </c>
      <c r="AS52" s="173">
        <f t="shared" si="21"/>
        <v>740907.08000000007</v>
      </c>
      <c r="AT52" s="173">
        <f t="shared" si="27"/>
        <v>740907.08000000007</v>
      </c>
      <c r="AU52" s="173">
        <f t="shared" si="15"/>
        <v>0</v>
      </c>
      <c r="AV52" s="173">
        <f t="shared" si="16"/>
        <v>0</v>
      </c>
      <c r="AW52" s="173">
        <f t="shared" si="17"/>
        <v>0</v>
      </c>
      <c r="AX52" s="173"/>
      <c r="AY52" s="173"/>
      <c r="AZ52" s="173"/>
      <c r="BA52" s="173"/>
      <c r="BB52" s="173">
        <f t="shared" si="18"/>
        <v>0</v>
      </c>
      <c r="BC52" s="4">
        <f t="shared" si="19"/>
        <v>0</v>
      </c>
      <c r="BD52" s="4"/>
      <c r="BE52" s="4"/>
      <c r="BF52" s="4"/>
      <c r="BG52" s="10"/>
      <c r="BH52" s="4">
        <f t="shared" si="22"/>
        <v>0</v>
      </c>
      <c r="BI52" s="3"/>
      <c r="BJ52" s="4">
        <f t="shared" si="23"/>
        <v>0</v>
      </c>
      <c r="BK52" s="472">
        <f t="shared" si="24"/>
        <v>0</v>
      </c>
      <c r="BL52" s="4">
        <f t="shared" si="20"/>
        <v>0</v>
      </c>
      <c r="BM52" s="4"/>
      <c r="BN52" s="4"/>
      <c r="BO52" s="4"/>
      <c r="BP52" s="4"/>
    </row>
    <row r="53" spans="1:68" ht="30" customHeight="1">
      <c r="A53" s="172">
        <v>48</v>
      </c>
      <c r="B53" s="292">
        <v>1991</v>
      </c>
      <c r="C53" s="172" t="s">
        <v>1113</v>
      </c>
      <c r="D53" s="173">
        <v>2000000</v>
      </c>
      <c r="E53" s="173">
        <v>2000000</v>
      </c>
      <c r="F53" s="173">
        <f t="shared" si="0"/>
        <v>0</v>
      </c>
      <c r="G53" s="173">
        <v>100000</v>
      </c>
      <c r="H53" s="173">
        <v>98201</v>
      </c>
      <c r="I53" s="173"/>
      <c r="J53" s="173"/>
      <c r="K53" s="173">
        <f t="shared" si="2"/>
        <v>0</v>
      </c>
      <c r="L53" s="173">
        <f t="shared" si="1"/>
        <v>98201</v>
      </c>
      <c r="M53" s="173">
        <f t="shared" si="3"/>
        <v>1799</v>
      </c>
      <c r="N53" s="173"/>
      <c r="O53" s="173">
        <f t="shared" si="26"/>
        <v>0</v>
      </c>
      <c r="P53" s="173">
        <f t="shared" si="28"/>
        <v>1900000</v>
      </c>
      <c r="Q53" s="173">
        <f t="shared" si="6"/>
        <v>1799</v>
      </c>
      <c r="R53" s="173"/>
      <c r="S53" s="173"/>
      <c r="T53" s="173">
        <f t="shared" si="7"/>
        <v>0</v>
      </c>
      <c r="U53" s="173">
        <f t="shared" si="8"/>
        <v>0</v>
      </c>
      <c r="V53" s="173">
        <f t="shared" si="9"/>
        <v>0</v>
      </c>
      <c r="W53" s="173">
        <f t="shared" si="10"/>
        <v>0</v>
      </c>
      <c r="X53" s="173"/>
      <c r="Y53" s="173"/>
      <c r="Z53" s="173"/>
      <c r="AA53" s="172"/>
      <c r="AB53" s="291"/>
      <c r="AC53" s="172">
        <v>823000</v>
      </c>
      <c r="AD53" s="292"/>
      <c r="AE53" s="292"/>
      <c r="AF53" s="292"/>
      <c r="AG53" s="292"/>
      <c r="AH53" s="173">
        <f t="shared" si="30"/>
        <v>0</v>
      </c>
      <c r="AI53" s="173">
        <f t="shared" si="12"/>
        <v>0</v>
      </c>
      <c r="AJ53" s="173">
        <f t="shared" si="13"/>
        <v>0</v>
      </c>
      <c r="AK53" s="522"/>
      <c r="AL53" s="292"/>
      <c r="AM53" s="292"/>
      <c r="AN53" s="173"/>
      <c r="AO53" s="3"/>
      <c r="AP53" s="3"/>
      <c r="AQ53" s="172"/>
      <c r="AR53" s="518">
        <f t="shared" si="25"/>
        <v>0</v>
      </c>
      <c r="AS53" s="173">
        <f t="shared" si="21"/>
        <v>1799</v>
      </c>
      <c r="AT53" s="173">
        <f t="shared" si="27"/>
        <v>1799</v>
      </c>
      <c r="AU53" s="173">
        <f t="shared" si="15"/>
        <v>1900000</v>
      </c>
      <c r="AV53" s="173">
        <f t="shared" si="16"/>
        <v>0</v>
      </c>
      <c r="AW53" s="173">
        <f t="shared" si="17"/>
        <v>0</v>
      </c>
      <c r="AX53" s="173"/>
      <c r="AY53" s="173"/>
      <c r="AZ53" s="173"/>
      <c r="BA53" s="173"/>
      <c r="BB53" s="173">
        <f t="shared" si="18"/>
        <v>0</v>
      </c>
      <c r="BC53" s="4">
        <f t="shared" si="19"/>
        <v>0</v>
      </c>
      <c r="BD53" s="4"/>
      <c r="BE53" s="4"/>
      <c r="BF53" s="4"/>
      <c r="BG53" s="10"/>
      <c r="BH53" s="4">
        <f t="shared" si="22"/>
        <v>0</v>
      </c>
      <c r="BI53" s="3"/>
      <c r="BJ53" s="4">
        <f t="shared" si="23"/>
        <v>0</v>
      </c>
      <c r="BK53" s="472">
        <f t="shared" si="24"/>
        <v>0</v>
      </c>
      <c r="BL53" s="4">
        <f t="shared" si="20"/>
        <v>0</v>
      </c>
      <c r="BM53" s="4"/>
      <c r="BN53" s="4"/>
      <c r="BO53" s="4"/>
      <c r="BP53" s="4"/>
    </row>
    <row r="54" spans="1:68" s="183" customFormat="1" ht="30" customHeight="1">
      <c r="A54" s="172">
        <v>49</v>
      </c>
      <c r="B54" s="172">
        <v>1998</v>
      </c>
      <c r="C54" s="172" t="s">
        <v>298</v>
      </c>
      <c r="D54" s="173">
        <v>4630000</v>
      </c>
      <c r="E54" s="173">
        <v>4630000</v>
      </c>
      <c r="F54" s="173">
        <f>D54-E54</f>
        <v>0</v>
      </c>
      <c r="G54" s="173">
        <v>1000000</v>
      </c>
      <c r="H54" s="173">
        <v>12799</v>
      </c>
      <c r="I54" s="173"/>
      <c r="J54" s="173">
        <v>137199.82</v>
      </c>
      <c r="K54" s="173">
        <f t="shared" si="2"/>
        <v>137199.82</v>
      </c>
      <c r="L54" s="173">
        <f t="shared" si="1"/>
        <v>149998.82</v>
      </c>
      <c r="M54" s="173">
        <f t="shared" si="3"/>
        <v>850001.17999999993</v>
      </c>
      <c r="N54" s="173">
        <v>2630000</v>
      </c>
      <c r="O54" s="173">
        <f t="shared" si="26"/>
        <v>2630000</v>
      </c>
      <c r="P54" s="173">
        <f t="shared" si="28"/>
        <v>1000000</v>
      </c>
      <c r="Q54" s="173">
        <f t="shared" si="6"/>
        <v>850001.17999999993</v>
      </c>
      <c r="R54" s="173"/>
      <c r="S54" s="173"/>
      <c r="T54" s="173">
        <f t="shared" si="7"/>
        <v>0</v>
      </c>
      <c r="U54" s="173">
        <f>Q54-M54+T54</f>
        <v>0</v>
      </c>
      <c r="V54" s="173">
        <f>N54-U54</f>
        <v>2630000</v>
      </c>
      <c r="W54" s="173">
        <f>V54-Z54-Y54-AA54-X54</f>
        <v>2630000</v>
      </c>
      <c r="X54" s="173"/>
      <c r="Y54" s="173"/>
      <c r="Z54" s="173"/>
      <c r="AA54" s="172"/>
      <c r="AB54" s="172" t="s">
        <v>862</v>
      </c>
      <c r="AC54" s="172">
        <v>870000</v>
      </c>
      <c r="AD54" s="292"/>
      <c r="AE54" s="292"/>
      <c r="AF54" s="292"/>
      <c r="AG54" s="292"/>
      <c r="AH54" s="173">
        <f t="shared" si="30"/>
        <v>0</v>
      </c>
      <c r="AI54" s="173">
        <f t="shared" si="12"/>
        <v>2630000</v>
      </c>
      <c r="AJ54" s="173">
        <f t="shared" si="13"/>
        <v>2630000</v>
      </c>
      <c r="AK54" s="522"/>
      <c r="AL54" s="185"/>
      <c r="AM54" s="185"/>
      <c r="AN54" s="185"/>
      <c r="AO54" s="3"/>
      <c r="AP54" s="3"/>
      <c r="AQ54" s="172"/>
      <c r="AR54" s="518">
        <f t="shared" si="25"/>
        <v>0</v>
      </c>
      <c r="AS54" s="173">
        <f>M54-850000</f>
        <v>1.1799999999348074</v>
      </c>
      <c r="AT54" s="173">
        <f t="shared" si="27"/>
        <v>1.1799999999348074</v>
      </c>
      <c r="AU54" s="173">
        <f t="shared" si="15"/>
        <v>4480000</v>
      </c>
      <c r="AV54" s="173">
        <f t="shared" si="16"/>
        <v>-850000</v>
      </c>
      <c r="AW54" s="173">
        <f t="shared" si="17"/>
        <v>-150000</v>
      </c>
      <c r="AX54" s="173">
        <v>-700000</v>
      </c>
      <c r="AY54" s="173"/>
      <c r="AZ54" s="173"/>
      <c r="BA54" s="173"/>
      <c r="BB54" s="173">
        <f t="shared" si="18"/>
        <v>-850000</v>
      </c>
      <c r="BC54" s="4">
        <f t="shared" si="19"/>
        <v>0</v>
      </c>
      <c r="BD54" s="4">
        <v>-850000</v>
      </c>
      <c r="BE54" s="4"/>
      <c r="BF54" s="4"/>
      <c r="BG54" s="10"/>
      <c r="BH54" s="4">
        <f t="shared" si="22"/>
        <v>-850000</v>
      </c>
      <c r="BI54" s="3"/>
      <c r="BJ54" s="4">
        <f t="shared" si="23"/>
        <v>-850000</v>
      </c>
      <c r="BK54" s="472">
        <f t="shared" si="24"/>
        <v>0</v>
      </c>
      <c r="BL54" s="4">
        <f t="shared" si="20"/>
        <v>-150000</v>
      </c>
      <c r="BM54" s="4">
        <v>-700000</v>
      </c>
      <c r="BN54" s="4"/>
      <c r="BO54" s="4"/>
      <c r="BP54" s="4"/>
    </row>
    <row r="55" spans="1:68" s="183" customFormat="1" ht="30" customHeight="1">
      <c r="A55" s="172">
        <v>50</v>
      </c>
      <c r="B55" s="172">
        <v>2002</v>
      </c>
      <c r="C55" s="172" t="s">
        <v>196</v>
      </c>
      <c r="D55" s="173">
        <v>1500000</v>
      </c>
      <c r="E55" s="173">
        <v>1500000</v>
      </c>
      <c r="F55" s="173">
        <f t="shared" si="0"/>
        <v>0</v>
      </c>
      <c r="G55" s="173">
        <v>1500000</v>
      </c>
      <c r="H55" s="173">
        <v>133342</v>
      </c>
      <c r="I55" s="173"/>
      <c r="J55" s="173">
        <v>557724.39</v>
      </c>
      <c r="K55" s="173">
        <f t="shared" si="2"/>
        <v>557724.39</v>
      </c>
      <c r="L55" s="173">
        <f t="shared" si="1"/>
        <v>691066.39</v>
      </c>
      <c r="M55" s="173">
        <f t="shared" si="3"/>
        <v>808933.61</v>
      </c>
      <c r="N55" s="173"/>
      <c r="O55" s="173">
        <f t="shared" si="26"/>
        <v>0</v>
      </c>
      <c r="P55" s="173">
        <f t="shared" si="28"/>
        <v>0</v>
      </c>
      <c r="Q55" s="173">
        <f t="shared" si="6"/>
        <v>808933.61</v>
      </c>
      <c r="R55" s="173"/>
      <c r="S55" s="173"/>
      <c r="T55" s="173">
        <f t="shared" si="7"/>
        <v>0</v>
      </c>
      <c r="U55" s="173">
        <f t="shared" si="8"/>
        <v>0</v>
      </c>
      <c r="V55" s="173">
        <f t="shared" si="9"/>
        <v>0</v>
      </c>
      <c r="W55" s="173">
        <f t="shared" si="10"/>
        <v>0</v>
      </c>
      <c r="X55" s="173"/>
      <c r="Y55" s="173"/>
      <c r="Z55" s="173"/>
      <c r="AA55" s="172"/>
      <c r="AB55" s="172" t="s">
        <v>693</v>
      </c>
      <c r="AC55" s="172">
        <v>742000</v>
      </c>
      <c r="AD55" s="292"/>
      <c r="AE55" s="292"/>
      <c r="AF55" s="292"/>
      <c r="AG55" s="292"/>
      <c r="AH55" s="173">
        <f t="shared" si="30"/>
        <v>0</v>
      </c>
      <c r="AI55" s="173">
        <f t="shared" si="12"/>
        <v>0</v>
      </c>
      <c r="AJ55" s="173">
        <f t="shared" si="13"/>
        <v>0</v>
      </c>
      <c r="AK55" s="522"/>
      <c r="AL55" s="185"/>
      <c r="AM55" s="185"/>
      <c r="AN55" s="185"/>
      <c r="AO55" s="3"/>
      <c r="AP55" s="3"/>
      <c r="AQ55" s="172"/>
      <c r="AR55" s="518">
        <f t="shared" si="25"/>
        <v>0</v>
      </c>
      <c r="AS55" s="173">
        <f>M55-800000</f>
        <v>8933.609999999986</v>
      </c>
      <c r="AT55" s="173">
        <f t="shared" si="27"/>
        <v>8933.609999999986</v>
      </c>
      <c r="AU55" s="173">
        <f t="shared" si="15"/>
        <v>800000</v>
      </c>
      <c r="AV55" s="173">
        <f t="shared" si="16"/>
        <v>-800000</v>
      </c>
      <c r="AW55" s="173">
        <f t="shared" si="17"/>
        <v>-800000</v>
      </c>
      <c r="AX55" s="173"/>
      <c r="AY55" s="173"/>
      <c r="AZ55" s="173"/>
      <c r="BA55" s="173"/>
      <c r="BB55" s="173">
        <f t="shared" si="18"/>
        <v>-800000</v>
      </c>
      <c r="BC55" s="4">
        <f t="shared" si="19"/>
        <v>0</v>
      </c>
      <c r="BD55" s="4">
        <v>-800000</v>
      </c>
      <c r="BE55" s="4"/>
      <c r="BF55" s="4"/>
      <c r="BG55" s="10"/>
      <c r="BH55" s="4">
        <f t="shared" si="22"/>
        <v>-800000</v>
      </c>
      <c r="BI55" s="3"/>
      <c r="BJ55" s="4">
        <f t="shared" si="23"/>
        <v>-800000</v>
      </c>
      <c r="BK55" s="472">
        <f t="shared" si="24"/>
        <v>0</v>
      </c>
      <c r="BL55" s="4">
        <f t="shared" si="20"/>
        <v>-800000</v>
      </c>
      <c r="BM55" s="4"/>
      <c r="BN55" s="4"/>
      <c r="BO55" s="4"/>
      <c r="BP55" s="4"/>
    </row>
    <row r="56" spans="1:68" s="183" customFormat="1" ht="30" customHeight="1">
      <c r="A56" s="172">
        <v>51</v>
      </c>
      <c r="B56" s="172">
        <v>2008</v>
      </c>
      <c r="C56" s="172" t="s">
        <v>356</v>
      </c>
      <c r="D56" s="173">
        <v>2500000</v>
      </c>
      <c r="E56" s="173">
        <v>2500000</v>
      </c>
      <c r="F56" s="173">
        <f t="shared" si="0"/>
        <v>0</v>
      </c>
      <c r="G56" s="173">
        <v>0</v>
      </c>
      <c r="H56" s="173">
        <v>0</v>
      </c>
      <c r="I56" s="173"/>
      <c r="J56" s="173"/>
      <c r="K56" s="173">
        <f t="shared" si="2"/>
        <v>0</v>
      </c>
      <c r="L56" s="173">
        <f t="shared" si="1"/>
        <v>0</v>
      </c>
      <c r="M56" s="173">
        <f t="shared" si="3"/>
        <v>0</v>
      </c>
      <c r="N56" s="173">
        <f>2500000-2500000</f>
        <v>0</v>
      </c>
      <c r="O56" s="173">
        <f t="shared" si="26"/>
        <v>0</v>
      </c>
      <c r="P56" s="173">
        <f t="shared" si="28"/>
        <v>2500000</v>
      </c>
      <c r="Q56" s="173">
        <f t="shared" si="6"/>
        <v>0</v>
      </c>
      <c r="R56" s="173"/>
      <c r="S56" s="173"/>
      <c r="T56" s="173">
        <f>SUM(R56:S56)</f>
        <v>0</v>
      </c>
      <c r="U56" s="173">
        <f t="shared" si="8"/>
        <v>0</v>
      </c>
      <c r="V56" s="173">
        <f t="shared" si="9"/>
        <v>0</v>
      </c>
      <c r="W56" s="173">
        <f t="shared" si="10"/>
        <v>0</v>
      </c>
      <c r="X56" s="173"/>
      <c r="Y56" s="173"/>
      <c r="Z56" s="173"/>
      <c r="AA56" s="172"/>
      <c r="AB56" s="423"/>
      <c r="AC56" s="172">
        <v>742000</v>
      </c>
      <c r="AD56" s="292"/>
      <c r="AE56" s="292"/>
      <c r="AF56" s="292"/>
      <c r="AG56" s="292"/>
      <c r="AH56" s="173">
        <f t="shared" si="30"/>
        <v>0</v>
      </c>
      <c r="AI56" s="173">
        <f t="shared" si="12"/>
        <v>0</v>
      </c>
      <c r="AJ56" s="173">
        <f t="shared" si="13"/>
        <v>0</v>
      </c>
      <c r="AK56" s="522"/>
      <c r="AL56" s="185"/>
      <c r="AM56" s="185"/>
      <c r="AN56" s="185"/>
      <c r="AO56" s="3"/>
      <c r="AP56" s="3"/>
      <c r="AQ56" s="172"/>
      <c r="AR56" s="518">
        <f t="shared" si="25"/>
        <v>0</v>
      </c>
      <c r="AS56" s="173">
        <f t="shared" si="21"/>
        <v>0</v>
      </c>
      <c r="AT56" s="173">
        <f t="shared" si="27"/>
        <v>0</v>
      </c>
      <c r="AU56" s="173">
        <f t="shared" si="15"/>
        <v>2500000</v>
      </c>
      <c r="AV56" s="173">
        <f t="shared" si="16"/>
        <v>0</v>
      </c>
      <c r="AW56" s="173">
        <f t="shared" si="17"/>
        <v>0</v>
      </c>
      <c r="AX56" s="173"/>
      <c r="AY56" s="173"/>
      <c r="AZ56" s="173"/>
      <c r="BA56" s="173"/>
      <c r="BB56" s="173">
        <f t="shared" si="18"/>
        <v>0</v>
      </c>
      <c r="BC56" s="4">
        <f t="shared" si="19"/>
        <v>0</v>
      </c>
      <c r="BD56" s="4"/>
      <c r="BE56" s="4"/>
      <c r="BF56" s="4"/>
      <c r="BG56" s="10"/>
      <c r="BH56" s="4">
        <f t="shared" si="22"/>
        <v>0</v>
      </c>
      <c r="BI56" s="3"/>
      <c r="BJ56" s="4">
        <f t="shared" si="23"/>
        <v>0</v>
      </c>
      <c r="BK56" s="472">
        <f t="shared" si="24"/>
        <v>0</v>
      </c>
      <c r="BL56" s="4">
        <f t="shared" si="20"/>
        <v>0</v>
      </c>
      <c r="BM56" s="4"/>
      <c r="BN56" s="4"/>
      <c r="BO56" s="4"/>
      <c r="BP56" s="4"/>
    </row>
    <row r="57" spans="1:68" s="5" customFormat="1" ht="30" customHeight="1">
      <c r="A57" s="172">
        <v>52</v>
      </c>
      <c r="B57" s="3">
        <v>2010</v>
      </c>
      <c r="C57" s="3" t="s">
        <v>357</v>
      </c>
      <c r="D57" s="4">
        <v>8000000</v>
      </c>
      <c r="E57" s="4">
        <v>8000000</v>
      </c>
      <c r="F57" s="4">
        <f t="shared" si="0"/>
        <v>0</v>
      </c>
      <c r="G57" s="4">
        <v>500000</v>
      </c>
      <c r="H57" s="4">
        <v>0</v>
      </c>
      <c r="I57" s="4"/>
      <c r="J57" s="4"/>
      <c r="K57" s="173">
        <f t="shared" si="2"/>
        <v>0</v>
      </c>
      <c r="L57" s="173">
        <f t="shared" si="1"/>
        <v>0</v>
      </c>
      <c r="M57" s="173">
        <f t="shared" si="3"/>
        <v>500000</v>
      </c>
      <c r="N57" s="4">
        <f>12400000-12400000</f>
        <v>0</v>
      </c>
      <c r="O57" s="173">
        <f t="shared" si="26"/>
        <v>0</v>
      </c>
      <c r="P57" s="173">
        <f t="shared" si="28"/>
        <v>7500000</v>
      </c>
      <c r="Q57" s="173">
        <f t="shared" si="6"/>
        <v>500000</v>
      </c>
      <c r="R57" s="4"/>
      <c r="S57" s="4"/>
      <c r="T57" s="4">
        <f t="shared" ref="T57:T62" si="31">SUM(R57:S57)</f>
        <v>0</v>
      </c>
      <c r="U57" s="4">
        <f t="shared" si="8"/>
        <v>0</v>
      </c>
      <c r="V57" s="4">
        <f t="shared" si="9"/>
        <v>0</v>
      </c>
      <c r="W57" s="4">
        <f>V57-AA57-X57-Z57</f>
        <v>0</v>
      </c>
      <c r="X57" s="4"/>
      <c r="Y57" s="4"/>
      <c r="Z57" s="4"/>
      <c r="AA57" s="3"/>
      <c r="AB57" s="3" t="s">
        <v>815</v>
      </c>
      <c r="AC57" s="3">
        <v>742000</v>
      </c>
      <c r="AD57" s="292"/>
      <c r="AE57" s="292"/>
      <c r="AF57" s="292"/>
      <c r="AG57" s="292"/>
      <c r="AH57" s="173">
        <f t="shared" si="30"/>
        <v>0</v>
      </c>
      <c r="AI57" s="173">
        <f t="shared" si="12"/>
        <v>0</v>
      </c>
      <c r="AJ57" s="173">
        <f t="shared" si="13"/>
        <v>0</v>
      </c>
      <c r="AK57" s="3"/>
      <c r="AL57" s="3"/>
      <c r="AM57" s="3"/>
      <c r="AN57" s="3"/>
      <c r="AO57" s="3"/>
      <c r="AP57" s="3"/>
      <c r="AQ57" s="185"/>
      <c r="AR57" s="518">
        <f t="shared" si="25"/>
        <v>0</v>
      </c>
      <c r="AS57" s="173">
        <f>M57-500000</f>
        <v>0</v>
      </c>
      <c r="AT57" s="173">
        <f t="shared" si="27"/>
        <v>0</v>
      </c>
      <c r="AU57" s="173">
        <f t="shared" si="15"/>
        <v>8000000</v>
      </c>
      <c r="AV57" s="173">
        <f t="shared" si="16"/>
        <v>-500000</v>
      </c>
      <c r="AW57" s="173">
        <f t="shared" si="17"/>
        <v>-500000</v>
      </c>
      <c r="AX57" s="173"/>
      <c r="AY57" s="173"/>
      <c r="AZ57" s="173"/>
      <c r="BA57" s="173"/>
      <c r="BB57" s="173">
        <f t="shared" si="18"/>
        <v>-500000</v>
      </c>
      <c r="BC57" s="4">
        <f t="shared" si="19"/>
        <v>0</v>
      </c>
      <c r="BD57" s="4">
        <v>-500000</v>
      </c>
      <c r="BE57" s="4"/>
      <c r="BF57" s="4"/>
      <c r="BG57" s="10"/>
      <c r="BH57" s="4">
        <f t="shared" si="22"/>
        <v>-500000</v>
      </c>
      <c r="BI57" s="3"/>
      <c r="BJ57" s="4">
        <f t="shared" si="23"/>
        <v>-500000</v>
      </c>
      <c r="BK57" s="472">
        <f t="shared" si="24"/>
        <v>0</v>
      </c>
      <c r="BL57" s="4">
        <f t="shared" si="20"/>
        <v>-500000</v>
      </c>
      <c r="BM57" s="4"/>
      <c r="BN57" s="4"/>
      <c r="BO57" s="4"/>
      <c r="BP57" s="4"/>
    </row>
    <row r="58" spans="1:68" s="5" customFormat="1" ht="30" customHeight="1">
      <c r="A58" s="172">
        <v>53</v>
      </c>
      <c r="B58" s="3">
        <v>2011</v>
      </c>
      <c r="C58" s="3" t="s">
        <v>304</v>
      </c>
      <c r="D58" s="4">
        <v>80000000</v>
      </c>
      <c r="E58" s="4">
        <v>80000000</v>
      </c>
      <c r="F58" s="4">
        <f t="shared" si="0"/>
        <v>0</v>
      </c>
      <c r="G58" s="4">
        <v>0</v>
      </c>
      <c r="H58" s="4">
        <v>0</v>
      </c>
      <c r="I58" s="4"/>
      <c r="J58" s="4"/>
      <c r="K58" s="173">
        <f t="shared" si="2"/>
        <v>0</v>
      </c>
      <c r="L58" s="173">
        <f t="shared" si="1"/>
        <v>0</v>
      </c>
      <c r="M58" s="173">
        <f t="shared" si="3"/>
        <v>0</v>
      </c>
      <c r="N58" s="4">
        <v>5000000</v>
      </c>
      <c r="O58" s="173">
        <f t="shared" si="26"/>
        <v>5000000</v>
      </c>
      <c r="P58" s="173">
        <f t="shared" si="28"/>
        <v>75000000</v>
      </c>
      <c r="Q58" s="173">
        <f t="shared" si="6"/>
        <v>0</v>
      </c>
      <c r="R58" s="4"/>
      <c r="S58" s="4"/>
      <c r="T58" s="4">
        <f t="shared" si="31"/>
        <v>0</v>
      </c>
      <c r="U58" s="4">
        <f t="shared" si="8"/>
        <v>0</v>
      </c>
      <c r="V58" s="4">
        <f t="shared" si="9"/>
        <v>5000000</v>
      </c>
      <c r="W58" s="4">
        <f>V58-AA58-X58-Z58</f>
        <v>5000000</v>
      </c>
      <c r="X58" s="4"/>
      <c r="Y58" s="4"/>
      <c r="Z58" s="4"/>
      <c r="AA58" s="3"/>
      <c r="AB58" s="3" t="s">
        <v>816</v>
      </c>
      <c r="AC58" s="3">
        <v>742000</v>
      </c>
      <c r="AD58" s="292"/>
      <c r="AE58" s="292"/>
      <c r="AF58" s="292"/>
      <c r="AG58" s="292"/>
      <c r="AH58" s="173">
        <f t="shared" si="30"/>
        <v>0</v>
      </c>
      <c r="AI58" s="173">
        <f t="shared" si="12"/>
        <v>5000000</v>
      </c>
      <c r="AJ58" s="173">
        <f t="shared" si="13"/>
        <v>5000000</v>
      </c>
      <c r="AK58" s="3"/>
      <c r="AL58" s="3"/>
      <c r="AM58" s="3"/>
      <c r="AN58" s="3"/>
      <c r="AO58" s="4">
        <v>2000000</v>
      </c>
      <c r="AP58" s="3"/>
      <c r="AQ58" s="185"/>
      <c r="AR58" s="518">
        <f t="shared" si="25"/>
        <v>2000000</v>
      </c>
      <c r="AS58" s="173">
        <f t="shared" si="21"/>
        <v>0</v>
      </c>
      <c r="AT58" s="173">
        <f t="shared" si="27"/>
        <v>2000000</v>
      </c>
      <c r="AU58" s="173">
        <f t="shared" si="15"/>
        <v>78000000</v>
      </c>
      <c r="AV58" s="173">
        <f t="shared" si="16"/>
        <v>2000000</v>
      </c>
      <c r="AW58" s="173">
        <f t="shared" si="17"/>
        <v>2000000</v>
      </c>
      <c r="AX58" s="173"/>
      <c r="AY58" s="173"/>
      <c r="AZ58" s="173"/>
      <c r="BA58" s="173"/>
      <c r="BB58" s="173">
        <f t="shared" si="18"/>
        <v>0</v>
      </c>
      <c r="BC58" s="4">
        <f t="shared" si="19"/>
        <v>2000000</v>
      </c>
      <c r="BD58" s="4">
        <v>2000000</v>
      </c>
      <c r="BE58" s="4"/>
      <c r="BF58" s="4"/>
      <c r="BG58" s="10"/>
      <c r="BH58" s="4">
        <f t="shared" si="22"/>
        <v>2000000</v>
      </c>
      <c r="BI58" s="3"/>
      <c r="BJ58" s="4">
        <f t="shared" si="23"/>
        <v>2000000</v>
      </c>
      <c r="BK58" s="472">
        <f t="shared" si="24"/>
        <v>0</v>
      </c>
      <c r="BL58" s="4">
        <f t="shared" si="20"/>
        <v>2000000</v>
      </c>
      <c r="BM58" s="4"/>
      <c r="BN58" s="4"/>
      <c r="BO58" s="4"/>
      <c r="BP58" s="4"/>
    </row>
    <row r="59" spans="1:68" s="183" customFormat="1" ht="30" customHeight="1">
      <c r="A59" s="172">
        <v>54</v>
      </c>
      <c r="B59" s="172">
        <v>2015</v>
      </c>
      <c r="C59" s="326" t="s">
        <v>617</v>
      </c>
      <c r="D59" s="173">
        <v>25000000</v>
      </c>
      <c r="E59" s="173">
        <v>25000000</v>
      </c>
      <c r="F59" s="173">
        <f t="shared" si="0"/>
        <v>0</v>
      </c>
      <c r="G59" s="173">
        <v>10500000</v>
      </c>
      <c r="H59" s="173">
        <v>312679</v>
      </c>
      <c r="I59" s="173"/>
      <c r="J59" s="173">
        <v>82338.59</v>
      </c>
      <c r="K59" s="173">
        <f t="shared" si="2"/>
        <v>82338.59</v>
      </c>
      <c r="L59" s="173">
        <f t="shared" si="1"/>
        <v>395017.58999999997</v>
      </c>
      <c r="M59" s="173">
        <f>Q59+T59</f>
        <v>10104982.41</v>
      </c>
      <c r="N59" s="173">
        <v>9500000</v>
      </c>
      <c r="O59" s="173">
        <f t="shared" si="26"/>
        <v>9500000</v>
      </c>
      <c r="P59" s="173">
        <f t="shared" si="28"/>
        <v>5000000</v>
      </c>
      <c r="Q59" s="173">
        <f t="shared" si="6"/>
        <v>10104982.41</v>
      </c>
      <c r="R59" s="4"/>
      <c r="S59" s="173"/>
      <c r="T59" s="4">
        <f t="shared" si="31"/>
        <v>0</v>
      </c>
      <c r="U59" s="173">
        <f t="shared" si="8"/>
        <v>0</v>
      </c>
      <c r="V59" s="173">
        <f t="shared" si="9"/>
        <v>9500000</v>
      </c>
      <c r="W59" s="173">
        <f t="shared" si="10"/>
        <v>9500000</v>
      </c>
      <c r="X59" s="173"/>
      <c r="Y59" s="173"/>
      <c r="Z59" s="173"/>
      <c r="AA59" s="172"/>
      <c r="AB59" s="172" t="s">
        <v>863</v>
      </c>
      <c r="AC59" s="172">
        <v>810000</v>
      </c>
      <c r="AD59" s="292"/>
      <c r="AE59" s="292"/>
      <c r="AF59" s="292"/>
      <c r="AG59" s="292"/>
      <c r="AH59" s="173">
        <f t="shared" si="30"/>
        <v>0</v>
      </c>
      <c r="AI59" s="173">
        <f t="shared" si="12"/>
        <v>9500000</v>
      </c>
      <c r="AJ59" s="173">
        <f t="shared" si="13"/>
        <v>9500000</v>
      </c>
      <c r="AK59" s="522"/>
      <c r="AL59" s="172"/>
      <c r="AM59" s="172"/>
      <c r="AN59" s="172"/>
      <c r="AO59" s="4"/>
      <c r="AP59" s="4">
        <f>M59</f>
        <v>10104982.41</v>
      </c>
      <c r="AQ59" s="172" t="s">
        <v>1114</v>
      </c>
      <c r="AR59" s="518">
        <f t="shared" si="25"/>
        <v>0</v>
      </c>
      <c r="AS59" s="173">
        <f t="shared" si="21"/>
        <v>10104982.41</v>
      </c>
      <c r="AT59" s="173">
        <f t="shared" si="27"/>
        <v>10104982.41</v>
      </c>
      <c r="AU59" s="173">
        <f t="shared" si="15"/>
        <v>14500000</v>
      </c>
      <c r="AV59" s="173">
        <f t="shared" si="16"/>
        <v>0</v>
      </c>
      <c r="AW59" s="173">
        <f t="shared" si="17"/>
        <v>0</v>
      </c>
      <c r="AX59" s="173"/>
      <c r="AY59" s="173"/>
      <c r="AZ59" s="173"/>
      <c r="BA59" s="173"/>
      <c r="BB59" s="173">
        <f t="shared" si="18"/>
        <v>0</v>
      </c>
      <c r="BC59" s="4">
        <f t="shared" si="19"/>
        <v>0</v>
      </c>
      <c r="BD59" s="4"/>
      <c r="BE59" s="4"/>
      <c r="BF59" s="4"/>
      <c r="BG59" s="10"/>
      <c r="BH59" s="4">
        <f t="shared" si="22"/>
        <v>0</v>
      </c>
      <c r="BI59" s="3"/>
      <c r="BJ59" s="4">
        <f t="shared" si="23"/>
        <v>0</v>
      </c>
      <c r="BK59" s="472">
        <f t="shared" si="24"/>
        <v>0</v>
      </c>
      <c r="BL59" s="4">
        <f t="shared" si="20"/>
        <v>0</v>
      </c>
      <c r="BM59" s="4"/>
      <c r="BN59" s="4"/>
      <c r="BO59" s="4"/>
      <c r="BP59" s="4"/>
    </row>
    <row r="60" spans="1:68" s="177" customFormat="1" ht="30" customHeight="1">
      <c r="A60" s="172">
        <v>55</v>
      </c>
      <c r="B60" s="172">
        <v>2016</v>
      </c>
      <c r="C60" s="326" t="s">
        <v>1600</v>
      </c>
      <c r="D60" s="173">
        <v>7340000</v>
      </c>
      <c r="E60" s="173">
        <v>7340000</v>
      </c>
      <c r="F60" s="173">
        <f t="shared" si="0"/>
        <v>0</v>
      </c>
      <c r="G60" s="173">
        <v>7340000</v>
      </c>
      <c r="H60" s="173">
        <v>7036453</v>
      </c>
      <c r="I60" s="173"/>
      <c r="J60" s="173"/>
      <c r="K60" s="173">
        <f t="shared" si="2"/>
        <v>0</v>
      </c>
      <c r="L60" s="173">
        <f t="shared" si="1"/>
        <v>7036453</v>
      </c>
      <c r="M60" s="173">
        <f t="shared" si="3"/>
        <v>303547</v>
      </c>
      <c r="N60" s="173"/>
      <c r="O60" s="173">
        <f t="shared" si="26"/>
        <v>0</v>
      </c>
      <c r="P60" s="173">
        <f t="shared" si="28"/>
        <v>0</v>
      </c>
      <c r="Q60" s="173">
        <f t="shared" si="6"/>
        <v>303547</v>
      </c>
      <c r="R60" s="173"/>
      <c r="S60" s="173"/>
      <c r="T60" s="4">
        <f t="shared" si="31"/>
        <v>0</v>
      </c>
      <c r="U60" s="173">
        <f t="shared" si="8"/>
        <v>0</v>
      </c>
      <c r="V60" s="173">
        <f t="shared" si="9"/>
        <v>0</v>
      </c>
      <c r="W60" s="173">
        <f t="shared" si="10"/>
        <v>-244101</v>
      </c>
      <c r="X60" s="173"/>
      <c r="Y60" s="173"/>
      <c r="Z60" s="173"/>
      <c r="AA60" s="173">
        <v>244101</v>
      </c>
      <c r="AB60" s="172" t="s">
        <v>694</v>
      </c>
      <c r="AC60" s="172">
        <v>810000</v>
      </c>
      <c r="AD60" s="292"/>
      <c r="AE60" s="292"/>
      <c r="AF60" s="292"/>
      <c r="AG60" s="292"/>
      <c r="AH60" s="173">
        <f t="shared" si="30"/>
        <v>0</v>
      </c>
      <c r="AI60" s="173">
        <f t="shared" si="12"/>
        <v>0</v>
      </c>
      <c r="AJ60" s="173">
        <f>AI60-AN60</f>
        <v>-244101</v>
      </c>
      <c r="AK60" s="522"/>
      <c r="AL60" s="178"/>
      <c r="AM60" s="178"/>
      <c r="AN60" s="173">
        <v>244101</v>
      </c>
      <c r="AO60" s="3"/>
      <c r="AP60" s="4"/>
      <c r="AQ60" s="3"/>
      <c r="AR60" s="518">
        <f t="shared" si="25"/>
        <v>0</v>
      </c>
      <c r="AS60" s="173">
        <f>M60-300000</f>
        <v>3547</v>
      </c>
      <c r="AT60" s="173">
        <f t="shared" si="27"/>
        <v>3547</v>
      </c>
      <c r="AU60" s="173">
        <f t="shared" si="15"/>
        <v>300000</v>
      </c>
      <c r="AV60" s="173">
        <f t="shared" si="16"/>
        <v>-300000</v>
      </c>
      <c r="AW60" s="173">
        <f t="shared" si="17"/>
        <v>-300000</v>
      </c>
      <c r="AX60" s="173"/>
      <c r="AY60" s="173"/>
      <c r="AZ60" s="173"/>
      <c r="BA60" s="173"/>
      <c r="BB60" s="173">
        <f t="shared" si="18"/>
        <v>-300000</v>
      </c>
      <c r="BC60" s="4">
        <f t="shared" si="19"/>
        <v>0</v>
      </c>
      <c r="BD60" s="4">
        <v>-300000</v>
      </c>
      <c r="BE60" s="4"/>
      <c r="BF60" s="4"/>
      <c r="BG60" s="10"/>
      <c r="BH60" s="4">
        <f t="shared" si="22"/>
        <v>-300000</v>
      </c>
      <c r="BI60" s="3"/>
      <c r="BJ60" s="4">
        <f t="shared" si="23"/>
        <v>-300000</v>
      </c>
      <c r="BK60" s="472">
        <f t="shared" si="24"/>
        <v>0</v>
      </c>
      <c r="BL60" s="4">
        <f t="shared" si="20"/>
        <v>-300000</v>
      </c>
      <c r="BM60" s="4"/>
      <c r="BN60" s="4"/>
      <c r="BO60" s="4"/>
      <c r="BP60" s="4"/>
    </row>
    <row r="61" spans="1:68" ht="30" customHeight="1">
      <c r="A61" s="172">
        <v>56</v>
      </c>
      <c r="B61" s="172">
        <v>2017</v>
      </c>
      <c r="C61" s="172" t="s">
        <v>381</v>
      </c>
      <c r="D61" s="173">
        <v>30000000</v>
      </c>
      <c r="E61" s="173">
        <v>30000000</v>
      </c>
      <c r="F61" s="173">
        <f t="shared" si="0"/>
        <v>0</v>
      </c>
      <c r="G61" s="173">
        <v>2000000</v>
      </c>
      <c r="H61" s="173">
        <v>619144.75</v>
      </c>
      <c r="I61" s="173"/>
      <c r="J61" s="173"/>
      <c r="K61" s="173">
        <f t="shared" si="2"/>
        <v>0</v>
      </c>
      <c r="L61" s="173">
        <f t="shared" si="1"/>
        <v>619144.75</v>
      </c>
      <c r="M61" s="173">
        <f t="shared" si="3"/>
        <v>1380855.25</v>
      </c>
      <c r="N61" s="173"/>
      <c r="O61" s="173">
        <f t="shared" si="26"/>
        <v>0</v>
      </c>
      <c r="P61" s="173">
        <f t="shared" si="28"/>
        <v>28000000</v>
      </c>
      <c r="Q61" s="173">
        <f t="shared" si="6"/>
        <v>1380855.25</v>
      </c>
      <c r="R61" s="4"/>
      <c r="S61" s="173"/>
      <c r="T61" s="4">
        <f t="shared" si="31"/>
        <v>0</v>
      </c>
      <c r="U61" s="173">
        <f t="shared" si="8"/>
        <v>0</v>
      </c>
      <c r="V61" s="173">
        <f t="shared" si="9"/>
        <v>0</v>
      </c>
      <c r="W61" s="173">
        <f t="shared" si="10"/>
        <v>0</v>
      </c>
      <c r="X61" s="173"/>
      <c r="Y61" s="173"/>
      <c r="Z61" s="173"/>
      <c r="AA61" s="172"/>
      <c r="AB61" s="172" t="s">
        <v>536</v>
      </c>
      <c r="AC61" s="172">
        <v>824000</v>
      </c>
      <c r="AD61" s="292"/>
      <c r="AE61" s="292"/>
      <c r="AF61" s="292"/>
      <c r="AG61" s="292"/>
      <c r="AH61" s="173">
        <f t="shared" si="30"/>
        <v>0</v>
      </c>
      <c r="AI61" s="173">
        <f t="shared" si="12"/>
        <v>0</v>
      </c>
      <c r="AJ61" s="173">
        <f t="shared" si="13"/>
        <v>0</v>
      </c>
      <c r="AK61" s="522"/>
      <c r="AL61" s="172"/>
      <c r="AM61" s="172"/>
      <c r="AN61" s="172"/>
      <c r="AO61" s="7"/>
      <c r="AP61" s="4">
        <f>M61</f>
        <v>1380855.25</v>
      </c>
      <c r="AQ61" s="3"/>
      <c r="AR61" s="518">
        <f t="shared" si="25"/>
        <v>0</v>
      </c>
      <c r="AS61" s="173">
        <f t="shared" si="21"/>
        <v>1380855.25</v>
      </c>
      <c r="AT61" s="173">
        <f t="shared" si="27"/>
        <v>1380855.25</v>
      </c>
      <c r="AU61" s="173">
        <f t="shared" si="15"/>
        <v>28000000</v>
      </c>
      <c r="AV61" s="173">
        <f t="shared" si="16"/>
        <v>0</v>
      </c>
      <c r="AW61" s="173">
        <f t="shared" si="17"/>
        <v>0</v>
      </c>
      <c r="AX61" s="173"/>
      <c r="AY61" s="173"/>
      <c r="AZ61" s="173"/>
      <c r="BA61" s="173"/>
      <c r="BB61" s="173">
        <f t="shared" si="18"/>
        <v>0</v>
      </c>
      <c r="BC61" s="4">
        <f t="shared" si="19"/>
        <v>0</v>
      </c>
      <c r="BD61" s="4"/>
      <c r="BE61" s="4"/>
      <c r="BF61" s="4"/>
      <c r="BG61" s="10"/>
      <c r="BH61" s="4">
        <f t="shared" si="22"/>
        <v>0</v>
      </c>
      <c r="BI61" s="33"/>
      <c r="BJ61" s="4">
        <f t="shared" si="23"/>
        <v>0</v>
      </c>
      <c r="BK61" s="472">
        <f t="shared" si="24"/>
        <v>0</v>
      </c>
      <c r="BL61" s="4">
        <f t="shared" si="20"/>
        <v>0</v>
      </c>
      <c r="BM61" s="4"/>
      <c r="BN61" s="4"/>
      <c r="BO61" s="4"/>
      <c r="BP61" s="4"/>
    </row>
    <row r="62" spans="1:68" ht="30" customHeight="1">
      <c r="A62" s="172">
        <v>57</v>
      </c>
      <c r="B62" s="172">
        <v>2018</v>
      </c>
      <c r="C62" s="172" t="s">
        <v>382</v>
      </c>
      <c r="D62" s="173">
        <v>10000000</v>
      </c>
      <c r="E62" s="173">
        <v>10000000</v>
      </c>
      <c r="F62" s="173">
        <f t="shared" si="0"/>
        <v>0</v>
      </c>
      <c r="G62" s="173">
        <v>4600000</v>
      </c>
      <c r="H62" s="173">
        <v>1261740</v>
      </c>
      <c r="I62" s="173"/>
      <c r="J62" s="173">
        <v>985534.9</v>
      </c>
      <c r="K62" s="173">
        <f t="shared" si="2"/>
        <v>985534.9</v>
      </c>
      <c r="L62" s="173">
        <f t="shared" si="1"/>
        <v>2247274.9</v>
      </c>
      <c r="M62" s="173">
        <f t="shared" si="3"/>
        <v>2352725.1</v>
      </c>
      <c r="N62" s="173">
        <f>5400000-3400000</f>
        <v>2000000</v>
      </c>
      <c r="O62" s="173">
        <f t="shared" si="26"/>
        <v>2000000</v>
      </c>
      <c r="P62" s="173">
        <f t="shared" si="28"/>
        <v>3400000</v>
      </c>
      <c r="Q62" s="173">
        <f t="shared" si="6"/>
        <v>2352725.1</v>
      </c>
      <c r="R62" s="4"/>
      <c r="S62" s="173"/>
      <c r="T62" s="4">
        <f t="shared" si="31"/>
        <v>0</v>
      </c>
      <c r="U62" s="173">
        <f t="shared" si="8"/>
        <v>0</v>
      </c>
      <c r="V62" s="173">
        <f t="shared" si="9"/>
        <v>2000000</v>
      </c>
      <c r="W62" s="173">
        <f t="shared" si="10"/>
        <v>2000000</v>
      </c>
      <c r="X62" s="173"/>
      <c r="Y62" s="173"/>
      <c r="Z62" s="173"/>
      <c r="AA62" s="172"/>
      <c r="AB62" s="297" t="s">
        <v>817</v>
      </c>
      <c r="AC62" s="172">
        <v>742000</v>
      </c>
      <c r="AD62" s="292"/>
      <c r="AE62" s="292"/>
      <c r="AF62" s="292"/>
      <c r="AG62" s="292"/>
      <c r="AH62" s="173">
        <f t="shared" si="30"/>
        <v>0</v>
      </c>
      <c r="AI62" s="173">
        <f t="shared" si="12"/>
        <v>2000000</v>
      </c>
      <c r="AJ62" s="173">
        <f t="shared" si="13"/>
        <v>2000000</v>
      </c>
      <c r="AK62" s="522"/>
      <c r="AL62" s="292"/>
      <c r="AM62" s="292"/>
      <c r="AN62" s="292"/>
      <c r="AO62" s="4">
        <f>AI62</f>
        <v>2000000</v>
      </c>
      <c r="AP62" s="4">
        <f>M62</f>
        <v>2352725.1</v>
      </c>
      <c r="AQ62" s="172"/>
      <c r="AR62" s="518">
        <f t="shared" si="25"/>
        <v>2000000</v>
      </c>
      <c r="AS62" s="173">
        <f t="shared" si="21"/>
        <v>2352725.1</v>
      </c>
      <c r="AT62" s="173">
        <f t="shared" si="27"/>
        <v>4352725.0999999996</v>
      </c>
      <c r="AU62" s="173">
        <f t="shared" si="15"/>
        <v>3400000</v>
      </c>
      <c r="AV62" s="173">
        <f t="shared" si="16"/>
        <v>1999999.9999999995</v>
      </c>
      <c r="AW62" s="173">
        <f t="shared" si="17"/>
        <v>1999999.9999999995</v>
      </c>
      <c r="AX62" s="173"/>
      <c r="AY62" s="173"/>
      <c r="AZ62" s="173"/>
      <c r="BA62" s="173"/>
      <c r="BB62" s="173">
        <f t="shared" si="18"/>
        <v>0</v>
      </c>
      <c r="BC62" s="4">
        <f t="shared" si="19"/>
        <v>2000000</v>
      </c>
      <c r="BD62" s="4">
        <v>2000000</v>
      </c>
      <c r="BE62" s="4"/>
      <c r="BF62" s="4"/>
      <c r="BG62" s="10"/>
      <c r="BH62" s="4">
        <f t="shared" si="22"/>
        <v>2000000</v>
      </c>
      <c r="BI62" s="3"/>
      <c r="BJ62" s="4">
        <f t="shared" si="23"/>
        <v>2000000</v>
      </c>
      <c r="BK62" s="472">
        <f t="shared" si="24"/>
        <v>0</v>
      </c>
      <c r="BL62" s="4">
        <f t="shared" si="20"/>
        <v>2000000</v>
      </c>
      <c r="BM62" s="4"/>
      <c r="BN62" s="4"/>
      <c r="BO62" s="4"/>
      <c r="BP62" s="4"/>
    </row>
    <row r="63" spans="1:68" ht="30" customHeight="1">
      <c r="A63" s="172">
        <v>58</v>
      </c>
      <c r="B63" s="172">
        <v>2019</v>
      </c>
      <c r="C63" s="172" t="s">
        <v>383</v>
      </c>
      <c r="D63" s="173">
        <v>1200000</v>
      </c>
      <c r="E63" s="173">
        <v>1200000</v>
      </c>
      <c r="F63" s="173">
        <f t="shared" si="0"/>
        <v>0</v>
      </c>
      <c r="G63" s="173">
        <v>1200000</v>
      </c>
      <c r="H63" s="173">
        <v>586398</v>
      </c>
      <c r="I63" s="173"/>
      <c r="J63" s="173">
        <v>613598.77</v>
      </c>
      <c r="K63" s="173">
        <f t="shared" ref="K63:K107" si="32">SUM(I63:J63)</f>
        <v>613598.77</v>
      </c>
      <c r="L63" s="173">
        <f t="shared" si="1"/>
        <v>1199996.77</v>
      </c>
      <c r="M63" s="173">
        <f t="shared" si="3"/>
        <v>3.2299999999813735</v>
      </c>
      <c r="N63" s="173"/>
      <c r="O63" s="173">
        <f t="shared" si="26"/>
        <v>0</v>
      </c>
      <c r="P63" s="173">
        <f t="shared" si="28"/>
        <v>0</v>
      </c>
      <c r="Q63" s="173">
        <f t="shared" si="6"/>
        <v>3.2299999999813735</v>
      </c>
      <c r="R63" s="4"/>
      <c r="S63" s="173"/>
      <c r="T63" s="173">
        <f t="shared" si="7"/>
        <v>0</v>
      </c>
      <c r="U63" s="173">
        <f t="shared" si="8"/>
        <v>0</v>
      </c>
      <c r="V63" s="173">
        <f t="shared" si="9"/>
        <v>0</v>
      </c>
      <c r="W63" s="173">
        <f t="shared" si="10"/>
        <v>0</v>
      </c>
      <c r="X63" s="173"/>
      <c r="Y63" s="173"/>
      <c r="Z63" s="173"/>
      <c r="AA63" s="172"/>
      <c r="AB63" s="172" t="s">
        <v>923</v>
      </c>
      <c r="AC63" s="172">
        <v>742000</v>
      </c>
      <c r="AD63" s="292"/>
      <c r="AE63" s="292"/>
      <c r="AF63" s="292"/>
      <c r="AG63" s="292"/>
      <c r="AH63" s="173">
        <f t="shared" si="30"/>
        <v>0</v>
      </c>
      <c r="AI63" s="173">
        <f t="shared" si="12"/>
        <v>0</v>
      </c>
      <c r="AJ63" s="173">
        <f t="shared" si="13"/>
        <v>0</v>
      </c>
      <c r="AK63" s="522"/>
      <c r="AL63" s="292"/>
      <c r="AM63" s="292"/>
      <c r="AN63" s="292"/>
      <c r="AO63" s="3"/>
      <c r="AP63" s="3"/>
      <c r="AQ63" s="178"/>
      <c r="AR63" s="518">
        <f t="shared" si="25"/>
        <v>0</v>
      </c>
      <c r="AS63" s="173">
        <f t="shared" si="21"/>
        <v>3.2299999999813735</v>
      </c>
      <c r="AT63" s="173">
        <f t="shared" si="27"/>
        <v>3.2299999999813735</v>
      </c>
      <c r="AU63" s="173">
        <f t="shared" si="15"/>
        <v>0</v>
      </c>
      <c r="AV63" s="173">
        <f t="shared" si="16"/>
        <v>0</v>
      </c>
      <c r="AW63" s="173">
        <f t="shared" si="17"/>
        <v>0</v>
      </c>
      <c r="AX63" s="173"/>
      <c r="AY63" s="173"/>
      <c r="AZ63" s="173"/>
      <c r="BA63" s="173"/>
      <c r="BB63" s="173">
        <f t="shared" si="18"/>
        <v>0</v>
      </c>
      <c r="BC63" s="4">
        <f t="shared" si="19"/>
        <v>0</v>
      </c>
      <c r="BD63" s="4"/>
      <c r="BE63" s="4"/>
      <c r="BF63" s="4"/>
      <c r="BG63" s="10"/>
      <c r="BH63" s="4">
        <f t="shared" si="22"/>
        <v>0</v>
      </c>
      <c r="BI63" s="3"/>
      <c r="BJ63" s="4">
        <f t="shared" si="23"/>
        <v>0</v>
      </c>
      <c r="BK63" s="472">
        <f t="shared" si="24"/>
        <v>0</v>
      </c>
      <c r="BL63" s="4">
        <f t="shared" si="20"/>
        <v>0</v>
      </c>
      <c r="BM63" s="4"/>
      <c r="BN63" s="4"/>
      <c r="BO63" s="4"/>
      <c r="BP63" s="4"/>
    </row>
    <row r="64" spans="1:68" s="176" customFormat="1" ht="30" customHeight="1">
      <c r="A64" s="172">
        <v>59</v>
      </c>
      <c r="B64" s="172">
        <v>2021</v>
      </c>
      <c r="C64" s="172" t="s">
        <v>305</v>
      </c>
      <c r="D64" s="173">
        <v>8200000</v>
      </c>
      <c r="E64" s="173">
        <v>8200000</v>
      </c>
      <c r="F64" s="173">
        <f t="shared" si="0"/>
        <v>0</v>
      </c>
      <c r="G64" s="173">
        <v>500000</v>
      </c>
      <c r="H64" s="173">
        <v>40865</v>
      </c>
      <c r="I64" s="173"/>
      <c r="J64" s="173">
        <v>109135.4</v>
      </c>
      <c r="K64" s="173">
        <f t="shared" si="32"/>
        <v>109135.4</v>
      </c>
      <c r="L64" s="173">
        <f t="shared" si="1"/>
        <v>150000.4</v>
      </c>
      <c r="M64" s="173">
        <f t="shared" si="3"/>
        <v>349999.6</v>
      </c>
      <c r="N64" s="173"/>
      <c r="O64" s="173">
        <f t="shared" si="26"/>
        <v>0</v>
      </c>
      <c r="P64" s="173">
        <f t="shared" si="28"/>
        <v>7700000</v>
      </c>
      <c r="Q64" s="173">
        <f t="shared" si="6"/>
        <v>349999.6</v>
      </c>
      <c r="R64" s="4"/>
      <c r="S64" s="173"/>
      <c r="T64" s="173">
        <f t="shared" si="7"/>
        <v>0</v>
      </c>
      <c r="U64" s="173">
        <f t="shared" si="8"/>
        <v>0</v>
      </c>
      <c r="V64" s="173">
        <f t="shared" si="9"/>
        <v>0</v>
      </c>
      <c r="W64" s="173">
        <f t="shared" si="10"/>
        <v>0</v>
      </c>
      <c r="X64" s="173"/>
      <c r="Y64" s="173"/>
      <c r="Z64" s="173"/>
      <c r="AA64" s="172"/>
      <c r="AB64" s="172" t="s">
        <v>858</v>
      </c>
      <c r="AC64" s="172">
        <v>850000</v>
      </c>
      <c r="AD64" s="292"/>
      <c r="AE64" s="292"/>
      <c r="AF64" s="292"/>
      <c r="AG64" s="292"/>
      <c r="AH64" s="173">
        <f t="shared" si="30"/>
        <v>0</v>
      </c>
      <c r="AI64" s="173">
        <f t="shared" si="12"/>
        <v>0</v>
      </c>
      <c r="AJ64" s="173">
        <f t="shared" si="13"/>
        <v>0</v>
      </c>
      <c r="AK64" s="522"/>
      <c r="AL64" s="172"/>
      <c r="AM64" s="172"/>
      <c r="AN64" s="172"/>
      <c r="AO64" s="3"/>
      <c r="AP64" s="3"/>
      <c r="AQ64" s="172"/>
      <c r="AR64" s="518">
        <f t="shared" si="25"/>
        <v>0</v>
      </c>
      <c r="AS64" s="173">
        <f>M64-350000</f>
        <v>-0.40000000002328306</v>
      </c>
      <c r="AT64" s="173">
        <f t="shared" si="27"/>
        <v>-0.40000000002328306</v>
      </c>
      <c r="AU64" s="173">
        <f t="shared" si="15"/>
        <v>8050000</v>
      </c>
      <c r="AV64" s="173">
        <f t="shared" si="16"/>
        <v>-350000</v>
      </c>
      <c r="AW64" s="173">
        <f t="shared" si="17"/>
        <v>-350000</v>
      </c>
      <c r="AX64" s="173"/>
      <c r="AY64" s="173"/>
      <c r="AZ64" s="173"/>
      <c r="BA64" s="173"/>
      <c r="BB64" s="173">
        <f t="shared" si="18"/>
        <v>-350000</v>
      </c>
      <c r="BC64" s="4">
        <f t="shared" si="19"/>
        <v>0</v>
      </c>
      <c r="BD64" s="4">
        <v>-350000</v>
      </c>
      <c r="BE64" s="4"/>
      <c r="BF64" s="4"/>
      <c r="BG64" s="10"/>
      <c r="BH64" s="4">
        <f t="shared" si="22"/>
        <v>-350000</v>
      </c>
      <c r="BI64" s="40"/>
      <c r="BJ64" s="4">
        <f t="shared" si="23"/>
        <v>-350000</v>
      </c>
      <c r="BK64" s="472">
        <f t="shared" si="24"/>
        <v>0</v>
      </c>
      <c r="BL64" s="4">
        <f t="shared" si="20"/>
        <v>-350000</v>
      </c>
      <c r="BM64" s="4"/>
      <c r="BN64" s="4"/>
      <c r="BO64" s="4"/>
      <c r="BP64" s="4"/>
    </row>
    <row r="65" spans="1:68" s="176" customFormat="1" ht="30" customHeight="1">
      <c r="A65" s="172">
        <v>60</v>
      </c>
      <c r="B65" s="172">
        <v>2022</v>
      </c>
      <c r="C65" s="172" t="s">
        <v>545</v>
      </c>
      <c r="D65" s="173">
        <v>20000000</v>
      </c>
      <c r="E65" s="173">
        <v>20000000</v>
      </c>
      <c r="F65" s="173">
        <f t="shared" si="0"/>
        <v>0</v>
      </c>
      <c r="G65" s="173">
        <v>20000000</v>
      </c>
      <c r="H65" s="173">
        <v>8371</v>
      </c>
      <c r="I65" s="173"/>
      <c r="J65" s="173">
        <v>97045.65</v>
      </c>
      <c r="K65" s="173">
        <f t="shared" si="32"/>
        <v>97045.65</v>
      </c>
      <c r="L65" s="173">
        <f t="shared" si="1"/>
        <v>105416.65</v>
      </c>
      <c r="M65" s="173">
        <f t="shared" si="3"/>
        <v>19894583.350000001</v>
      </c>
      <c r="N65" s="173"/>
      <c r="O65" s="173">
        <f t="shared" si="26"/>
        <v>0</v>
      </c>
      <c r="P65" s="173">
        <f t="shared" si="28"/>
        <v>0</v>
      </c>
      <c r="Q65" s="173">
        <f t="shared" si="6"/>
        <v>19894583.350000001</v>
      </c>
      <c r="R65" s="4"/>
      <c r="S65" s="173"/>
      <c r="T65" s="173">
        <f>SUM(R65:S65)</f>
        <v>0</v>
      </c>
      <c r="U65" s="173">
        <f t="shared" si="8"/>
        <v>0</v>
      </c>
      <c r="V65" s="4">
        <f t="shared" si="9"/>
        <v>0</v>
      </c>
      <c r="W65" s="173">
        <f t="shared" si="10"/>
        <v>0</v>
      </c>
      <c r="X65" s="173"/>
      <c r="Y65" s="173"/>
      <c r="Z65" s="173"/>
      <c r="AA65" s="172"/>
      <c r="AB65" s="172" t="s">
        <v>794</v>
      </c>
      <c r="AC65" s="172">
        <v>829000</v>
      </c>
      <c r="AD65" s="292"/>
      <c r="AE65" s="292"/>
      <c r="AF65" s="292"/>
      <c r="AG65" s="292"/>
      <c r="AH65" s="173">
        <f t="shared" si="30"/>
        <v>0</v>
      </c>
      <c r="AI65" s="173">
        <f t="shared" si="12"/>
        <v>0</v>
      </c>
      <c r="AJ65" s="173">
        <f t="shared" si="13"/>
        <v>0</v>
      </c>
      <c r="AK65" s="522"/>
      <c r="AL65" s="172"/>
      <c r="AM65" s="172"/>
      <c r="AN65" s="172"/>
      <c r="AO65" s="3"/>
      <c r="AP65" s="4">
        <v>12000000</v>
      </c>
      <c r="AQ65" s="172" t="s">
        <v>1115</v>
      </c>
      <c r="AR65" s="518">
        <f t="shared" si="25"/>
        <v>0</v>
      </c>
      <c r="AS65" s="173">
        <f>M65-7900000</f>
        <v>11994583.350000001</v>
      </c>
      <c r="AT65" s="173">
        <f t="shared" si="27"/>
        <v>11994583.350000001</v>
      </c>
      <c r="AU65" s="173">
        <f t="shared" si="15"/>
        <v>7900000</v>
      </c>
      <c r="AV65" s="173">
        <f t="shared" si="16"/>
        <v>-7900000</v>
      </c>
      <c r="AW65" s="173">
        <f t="shared" si="17"/>
        <v>-7900000</v>
      </c>
      <c r="AX65" s="173"/>
      <c r="AY65" s="173"/>
      <c r="AZ65" s="173"/>
      <c r="BA65" s="173"/>
      <c r="BB65" s="173">
        <f t="shared" si="18"/>
        <v>-7900000</v>
      </c>
      <c r="BC65" s="4">
        <f t="shared" si="19"/>
        <v>0</v>
      </c>
      <c r="BD65" s="4">
        <v>-7900000</v>
      </c>
      <c r="BE65" s="4"/>
      <c r="BF65" s="4"/>
      <c r="BG65" s="10"/>
      <c r="BH65" s="4">
        <f t="shared" si="22"/>
        <v>-7900000</v>
      </c>
      <c r="BI65" s="40"/>
      <c r="BJ65" s="4">
        <f t="shared" si="23"/>
        <v>-7900000</v>
      </c>
      <c r="BK65" s="472">
        <f t="shared" si="24"/>
        <v>0</v>
      </c>
      <c r="BL65" s="4">
        <f t="shared" si="20"/>
        <v>-7900000</v>
      </c>
      <c r="BM65" s="4"/>
      <c r="BN65" s="4"/>
      <c r="BO65" s="4"/>
      <c r="BP65" s="4"/>
    </row>
    <row r="66" spans="1:68" s="176" customFormat="1" ht="30" customHeight="1">
      <c r="A66" s="172">
        <v>61</v>
      </c>
      <c r="B66" s="172">
        <v>2023</v>
      </c>
      <c r="C66" s="172" t="s">
        <v>384</v>
      </c>
      <c r="D66" s="173">
        <v>7340000</v>
      </c>
      <c r="E66" s="173">
        <v>7340000</v>
      </c>
      <c r="F66" s="173">
        <f t="shared" si="0"/>
        <v>0</v>
      </c>
      <c r="G66" s="173">
        <v>3000000</v>
      </c>
      <c r="H66" s="173">
        <v>225703</v>
      </c>
      <c r="I66" s="173"/>
      <c r="J66" s="173"/>
      <c r="K66" s="173">
        <f t="shared" si="32"/>
        <v>0</v>
      </c>
      <c r="L66" s="173">
        <f t="shared" si="1"/>
        <v>225703</v>
      </c>
      <c r="M66" s="519">
        <f>Q66+T66</f>
        <v>2774297</v>
      </c>
      <c r="N66" s="519">
        <v>-2660000</v>
      </c>
      <c r="O66" s="519">
        <f t="shared" si="26"/>
        <v>-2660000</v>
      </c>
      <c r="P66" s="519">
        <f t="shared" si="28"/>
        <v>7000000</v>
      </c>
      <c r="Q66" s="519">
        <f t="shared" si="6"/>
        <v>2774297</v>
      </c>
      <c r="R66" s="74"/>
      <c r="S66" s="519"/>
      <c r="T66" s="519">
        <f>SUM(R66:S66)</f>
        <v>0</v>
      </c>
      <c r="U66" s="519">
        <f t="shared" si="8"/>
        <v>0</v>
      </c>
      <c r="V66" s="519">
        <f t="shared" si="9"/>
        <v>-2660000</v>
      </c>
      <c r="W66" s="519">
        <f t="shared" si="10"/>
        <v>-2660000</v>
      </c>
      <c r="X66" s="519"/>
      <c r="Y66" s="519"/>
      <c r="Z66" s="519"/>
      <c r="AA66" s="499"/>
      <c r="AB66" s="499" t="s">
        <v>859</v>
      </c>
      <c r="AC66" s="499">
        <v>810000</v>
      </c>
      <c r="AD66" s="500"/>
      <c r="AE66" s="500"/>
      <c r="AF66" s="500"/>
      <c r="AG66" s="500"/>
      <c r="AH66" s="519">
        <f t="shared" si="30"/>
        <v>0</v>
      </c>
      <c r="AI66" s="519">
        <f t="shared" si="12"/>
        <v>-2660000</v>
      </c>
      <c r="AJ66" s="173">
        <f t="shared" si="13"/>
        <v>-2660000</v>
      </c>
      <c r="AK66" s="522"/>
      <c r="AL66" s="172"/>
      <c r="AM66" s="172"/>
      <c r="AN66" s="172"/>
      <c r="AO66" s="3"/>
      <c r="AP66" s="4"/>
      <c r="AQ66" s="172"/>
      <c r="AR66" s="518">
        <v>-2660000</v>
      </c>
      <c r="AS66" s="173">
        <f>M66-110000</f>
        <v>2664297</v>
      </c>
      <c r="AT66" s="173">
        <f t="shared" si="27"/>
        <v>4297</v>
      </c>
      <c r="AU66" s="173">
        <f t="shared" si="15"/>
        <v>7110000</v>
      </c>
      <c r="AV66" s="173">
        <f t="shared" si="16"/>
        <v>-2770000</v>
      </c>
      <c r="AW66" s="173">
        <f t="shared" si="17"/>
        <v>-2770000</v>
      </c>
      <c r="AX66" s="173"/>
      <c r="AY66" s="173"/>
      <c r="AZ66" s="173"/>
      <c r="BA66" s="173"/>
      <c r="BB66" s="173">
        <f t="shared" si="18"/>
        <v>-110000</v>
      </c>
      <c r="BC66" s="4">
        <f t="shared" si="19"/>
        <v>-2660000</v>
      </c>
      <c r="BD66" s="4">
        <v>-2770000</v>
      </c>
      <c r="BE66" s="4"/>
      <c r="BF66" s="4"/>
      <c r="BG66" s="10"/>
      <c r="BH66" s="4">
        <f t="shared" si="22"/>
        <v>-2770000</v>
      </c>
      <c r="BI66" s="40"/>
      <c r="BJ66" s="4">
        <f t="shared" si="23"/>
        <v>-2770000</v>
      </c>
      <c r="BK66" s="472">
        <f t="shared" si="24"/>
        <v>0</v>
      </c>
      <c r="BL66" s="4">
        <f t="shared" si="20"/>
        <v>-2770000</v>
      </c>
      <c r="BM66" s="4"/>
      <c r="BN66" s="4"/>
      <c r="BO66" s="4"/>
      <c r="BP66" s="4"/>
    </row>
    <row r="67" spans="1:68" s="176" customFormat="1" ht="30" customHeight="1">
      <c r="A67" s="172">
        <v>62</v>
      </c>
      <c r="B67" s="172">
        <v>2024</v>
      </c>
      <c r="C67" s="172" t="s">
        <v>385</v>
      </c>
      <c r="D67" s="173">
        <v>7340000</v>
      </c>
      <c r="E67" s="173">
        <v>7340000</v>
      </c>
      <c r="F67" s="173">
        <f t="shared" si="0"/>
        <v>0</v>
      </c>
      <c r="G67" s="173">
        <v>700000</v>
      </c>
      <c r="H67" s="173">
        <v>175290</v>
      </c>
      <c r="I67" s="173"/>
      <c r="J67" s="173">
        <v>74623.41</v>
      </c>
      <c r="K67" s="173">
        <f t="shared" si="32"/>
        <v>74623.41</v>
      </c>
      <c r="L67" s="173">
        <f t="shared" si="1"/>
        <v>249913.41</v>
      </c>
      <c r="M67" s="173">
        <f t="shared" ref="M67:M107" si="33">Q67+T67</f>
        <v>450086.58999999997</v>
      </c>
      <c r="N67" s="173">
        <v>6640000</v>
      </c>
      <c r="O67" s="173">
        <f t="shared" si="26"/>
        <v>6640000</v>
      </c>
      <c r="P67" s="173">
        <f t="shared" si="28"/>
        <v>0</v>
      </c>
      <c r="Q67" s="173">
        <f t="shared" si="6"/>
        <v>450086.58999999997</v>
      </c>
      <c r="R67" s="4"/>
      <c r="S67" s="173"/>
      <c r="T67" s="173">
        <f t="shared" ref="T67:T77" si="34">SUM(R67:S67)</f>
        <v>0</v>
      </c>
      <c r="U67" s="173">
        <f t="shared" si="8"/>
        <v>0</v>
      </c>
      <c r="V67" s="173">
        <f t="shared" si="9"/>
        <v>6640000</v>
      </c>
      <c r="W67" s="173">
        <f t="shared" si="10"/>
        <v>6640000</v>
      </c>
      <c r="X67" s="173"/>
      <c r="Y67" s="173"/>
      <c r="Z67" s="173"/>
      <c r="AA67" s="172"/>
      <c r="AB67" s="172" t="s">
        <v>695</v>
      </c>
      <c r="AC67" s="172">
        <v>810000</v>
      </c>
      <c r="AD67" s="292"/>
      <c r="AE67" s="292"/>
      <c r="AF67" s="292"/>
      <c r="AG67" s="292"/>
      <c r="AH67" s="173">
        <f t="shared" si="30"/>
        <v>0</v>
      </c>
      <c r="AI67" s="173">
        <f t="shared" si="12"/>
        <v>6640000</v>
      </c>
      <c r="AJ67" s="173">
        <f t="shared" si="13"/>
        <v>6640000</v>
      </c>
      <c r="AK67" s="522"/>
      <c r="AL67" s="172"/>
      <c r="AM67" s="172"/>
      <c r="AN67" s="172"/>
      <c r="AO67" s="4">
        <f>AI67</f>
        <v>6640000</v>
      </c>
      <c r="AP67" s="4">
        <f>M67</f>
        <v>450086.58999999997</v>
      </c>
      <c r="AQ67" s="499" t="s">
        <v>1116</v>
      </c>
      <c r="AR67" s="518">
        <f t="shared" si="25"/>
        <v>6640000</v>
      </c>
      <c r="AS67" s="173">
        <f t="shared" si="21"/>
        <v>450086.58999999997</v>
      </c>
      <c r="AT67" s="173">
        <f t="shared" si="27"/>
        <v>7090086.5899999999</v>
      </c>
      <c r="AU67" s="173">
        <f t="shared" si="15"/>
        <v>0</v>
      </c>
      <c r="AV67" s="173">
        <f t="shared" si="16"/>
        <v>6640000</v>
      </c>
      <c r="AW67" s="173">
        <f t="shared" si="17"/>
        <v>6640000</v>
      </c>
      <c r="AX67" s="173"/>
      <c r="AY67" s="173"/>
      <c r="AZ67" s="173"/>
      <c r="BA67" s="173"/>
      <c r="BB67" s="173">
        <f t="shared" si="18"/>
        <v>0</v>
      </c>
      <c r="BC67" s="4">
        <f t="shared" si="19"/>
        <v>6640000</v>
      </c>
      <c r="BD67" s="4">
        <v>6640000</v>
      </c>
      <c r="BE67" s="4"/>
      <c r="BF67" s="4"/>
      <c r="BG67" s="10"/>
      <c r="BH67" s="4">
        <f t="shared" si="22"/>
        <v>6640000</v>
      </c>
      <c r="BI67" s="40"/>
      <c r="BJ67" s="4">
        <f t="shared" si="23"/>
        <v>6640000</v>
      </c>
      <c r="BK67" s="472">
        <f t="shared" si="24"/>
        <v>0</v>
      </c>
      <c r="BL67" s="4">
        <f t="shared" si="20"/>
        <v>6640000</v>
      </c>
      <c r="BM67" s="4"/>
      <c r="BN67" s="4"/>
      <c r="BO67" s="4"/>
      <c r="BP67" s="4"/>
    </row>
    <row r="68" spans="1:68" s="176" customFormat="1" ht="30" customHeight="1">
      <c r="A68" s="172">
        <v>63</v>
      </c>
      <c r="B68" s="172">
        <v>2025</v>
      </c>
      <c r="C68" s="172" t="s">
        <v>386</v>
      </c>
      <c r="D68" s="173">
        <v>2600000</v>
      </c>
      <c r="E68" s="173">
        <v>2600000</v>
      </c>
      <c r="F68" s="173">
        <f t="shared" si="0"/>
        <v>0</v>
      </c>
      <c r="G68" s="173">
        <v>2600000</v>
      </c>
      <c r="H68" s="173">
        <v>285811.26</v>
      </c>
      <c r="I68" s="173"/>
      <c r="J68" s="173">
        <v>764902.34</v>
      </c>
      <c r="K68" s="173">
        <f t="shared" si="32"/>
        <v>764902.34</v>
      </c>
      <c r="L68" s="173">
        <f t="shared" si="1"/>
        <v>1050713.6000000001</v>
      </c>
      <c r="M68" s="173">
        <f t="shared" si="33"/>
        <v>1549286.3999999999</v>
      </c>
      <c r="N68" s="173"/>
      <c r="O68" s="173">
        <f t="shared" si="26"/>
        <v>0</v>
      </c>
      <c r="P68" s="173">
        <f t="shared" si="28"/>
        <v>0</v>
      </c>
      <c r="Q68" s="173">
        <f t="shared" si="6"/>
        <v>1549286.3999999999</v>
      </c>
      <c r="R68" s="4"/>
      <c r="S68" s="173"/>
      <c r="T68" s="173">
        <f t="shared" si="34"/>
        <v>0</v>
      </c>
      <c r="U68" s="173">
        <f t="shared" si="8"/>
        <v>0</v>
      </c>
      <c r="V68" s="173">
        <f t="shared" si="9"/>
        <v>0</v>
      </c>
      <c r="W68" s="173">
        <f t="shared" si="10"/>
        <v>0</v>
      </c>
      <c r="X68" s="173"/>
      <c r="Y68" s="173"/>
      <c r="Z68" s="173"/>
      <c r="AA68" s="172"/>
      <c r="AB68" s="172" t="s">
        <v>464</v>
      </c>
      <c r="AC68" s="172">
        <v>810000</v>
      </c>
      <c r="AD68" s="292"/>
      <c r="AE68" s="292"/>
      <c r="AF68" s="292"/>
      <c r="AG68" s="292"/>
      <c r="AH68" s="173">
        <f t="shared" si="30"/>
        <v>0</v>
      </c>
      <c r="AI68" s="173">
        <f t="shared" si="12"/>
        <v>0</v>
      </c>
      <c r="AJ68" s="173">
        <f t="shared" si="13"/>
        <v>0</v>
      </c>
      <c r="AK68" s="522"/>
      <c r="AL68" s="172"/>
      <c r="AM68" s="172"/>
      <c r="AN68" s="172"/>
      <c r="AO68" s="7"/>
      <c r="AP68" s="4">
        <f>M68</f>
        <v>1549286.3999999999</v>
      </c>
      <c r="AQ68" s="172" t="s">
        <v>1102</v>
      </c>
      <c r="AR68" s="518">
        <f t="shared" si="25"/>
        <v>0</v>
      </c>
      <c r="AS68" s="173">
        <f t="shared" si="21"/>
        <v>1549286.3999999999</v>
      </c>
      <c r="AT68" s="173">
        <f t="shared" si="27"/>
        <v>1549286.3999999999</v>
      </c>
      <c r="AU68" s="173">
        <f t="shared" si="15"/>
        <v>0</v>
      </c>
      <c r="AV68" s="173">
        <f t="shared" si="16"/>
        <v>0</v>
      </c>
      <c r="AW68" s="173">
        <f t="shared" si="17"/>
        <v>0</v>
      </c>
      <c r="AX68" s="173"/>
      <c r="AY68" s="173"/>
      <c r="AZ68" s="173"/>
      <c r="BA68" s="173"/>
      <c r="BB68" s="173">
        <f t="shared" si="18"/>
        <v>0</v>
      </c>
      <c r="BC68" s="4">
        <f t="shared" si="19"/>
        <v>0</v>
      </c>
      <c r="BD68" s="4"/>
      <c r="BE68" s="4"/>
      <c r="BF68" s="4"/>
      <c r="BG68" s="10"/>
      <c r="BH68" s="4">
        <f t="shared" si="22"/>
        <v>0</v>
      </c>
      <c r="BI68" s="40"/>
      <c r="BJ68" s="4">
        <f t="shared" si="23"/>
        <v>0</v>
      </c>
      <c r="BK68" s="472">
        <f t="shared" si="24"/>
        <v>0</v>
      </c>
      <c r="BL68" s="4">
        <f t="shared" si="20"/>
        <v>0</v>
      </c>
      <c r="BM68" s="4"/>
      <c r="BN68" s="4"/>
      <c r="BO68" s="4"/>
      <c r="BP68" s="4"/>
    </row>
    <row r="69" spans="1:68" s="176" customFormat="1" ht="30" customHeight="1">
      <c r="A69" s="172">
        <v>64</v>
      </c>
      <c r="B69" s="172">
        <v>2026</v>
      </c>
      <c r="C69" s="172" t="s">
        <v>696</v>
      </c>
      <c r="D69" s="173">
        <v>8200000</v>
      </c>
      <c r="E69" s="173">
        <v>8200000</v>
      </c>
      <c r="F69" s="173">
        <f t="shared" si="0"/>
        <v>0</v>
      </c>
      <c r="G69" s="173">
        <v>8200000</v>
      </c>
      <c r="H69" s="173">
        <v>7419151</v>
      </c>
      <c r="I69" s="173"/>
      <c r="J69" s="173">
        <v>393257.65</v>
      </c>
      <c r="K69" s="173">
        <f t="shared" si="32"/>
        <v>393257.65</v>
      </c>
      <c r="L69" s="173">
        <f t="shared" si="1"/>
        <v>7812408.6500000004</v>
      </c>
      <c r="M69" s="173">
        <f t="shared" si="33"/>
        <v>387591.34999999963</v>
      </c>
      <c r="N69" s="173"/>
      <c r="O69" s="173">
        <f t="shared" si="26"/>
        <v>0</v>
      </c>
      <c r="P69" s="173">
        <f t="shared" si="28"/>
        <v>0</v>
      </c>
      <c r="Q69" s="173">
        <f t="shared" si="6"/>
        <v>387591.34999999963</v>
      </c>
      <c r="R69" s="4"/>
      <c r="S69" s="173"/>
      <c r="T69" s="173">
        <f t="shared" si="34"/>
        <v>0</v>
      </c>
      <c r="U69" s="173">
        <f t="shared" si="8"/>
        <v>0</v>
      </c>
      <c r="V69" s="173">
        <f t="shared" si="9"/>
        <v>0</v>
      </c>
      <c r="W69" s="173">
        <f t="shared" si="10"/>
        <v>0</v>
      </c>
      <c r="X69" s="173"/>
      <c r="Y69" s="173"/>
      <c r="Z69" s="173"/>
      <c r="AA69" s="172"/>
      <c r="AB69" s="172" t="s">
        <v>465</v>
      </c>
      <c r="AC69" s="172">
        <v>810000</v>
      </c>
      <c r="AD69" s="292"/>
      <c r="AE69" s="292"/>
      <c r="AF69" s="292"/>
      <c r="AG69" s="292"/>
      <c r="AH69" s="173">
        <f t="shared" si="30"/>
        <v>0</v>
      </c>
      <c r="AI69" s="173">
        <f t="shared" si="12"/>
        <v>0</v>
      </c>
      <c r="AJ69" s="173">
        <f t="shared" si="13"/>
        <v>0</v>
      </c>
      <c r="AK69" s="522"/>
      <c r="AL69" s="172"/>
      <c r="AM69" s="172"/>
      <c r="AN69" s="172"/>
      <c r="AO69" s="3"/>
      <c r="AP69" s="4">
        <f>M69</f>
        <v>387591.34999999963</v>
      </c>
      <c r="AQ69" s="172" t="s">
        <v>1102</v>
      </c>
      <c r="AR69" s="518">
        <f t="shared" si="25"/>
        <v>0</v>
      </c>
      <c r="AS69" s="173">
        <f t="shared" si="21"/>
        <v>387591.34999999963</v>
      </c>
      <c r="AT69" s="173">
        <f t="shared" si="27"/>
        <v>387591.34999999963</v>
      </c>
      <c r="AU69" s="173">
        <f t="shared" si="15"/>
        <v>0</v>
      </c>
      <c r="AV69" s="173">
        <f t="shared" si="16"/>
        <v>0</v>
      </c>
      <c r="AW69" s="173">
        <f t="shared" si="17"/>
        <v>0</v>
      </c>
      <c r="AX69" s="173"/>
      <c r="AY69" s="173"/>
      <c r="AZ69" s="173"/>
      <c r="BA69" s="173"/>
      <c r="BB69" s="173">
        <f t="shared" si="18"/>
        <v>0</v>
      </c>
      <c r="BC69" s="4">
        <f t="shared" si="19"/>
        <v>0</v>
      </c>
      <c r="BD69" s="4"/>
      <c r="BE69" s="4"/>
      <c r="BF69" s="4"/>
      <c r="BG69" s="10"/>
      <c r="BH69" s="4">
        <f t="shared" si="22"/>
        <v>0</v>
      </c>
      <c r="BI69" s="424"/>
      <c r="BJ69" s="4">
        <f t="shared" si="23"/>
        <v>0</v>
      </c>
      <c r="BK69" s="472">
        <f t="shared" si="24"/>
        <v>0</v>
      </c>
      <c r="BL69" s="4">
        <f t="shared" si="20"/>
        <v>0</v>
      </c>
      <c r="BM69" s="4"/>
      <c r="BN69" s="4"/>
      <c r="BO69" s="4"/>
      <c r="BP69" s="4"/>
    </row>
    <row r="70" spans="1:68" s="5" customFormat="1" ht="30" customHeight="1">
      <c r="A70" s="172">
        <v>65</v>
      </c>
      <c r="B70" s="31">
        <v>2051</v>
      </c>
      <c r="C70" s="3" t="s">
        <v>1601</v>
      </c>
      <c r="D70" s="4">
        <v>2600000</v>
      </c>
      <c r="E70" s="4">
        <v>2600000</v>
      </c>
      <c r="F70" s="4">
        <f t="shared" si="0"/>
        <v>0</v>
      </c>
      <c r="G70" s="4">
        <v>400000</v>
      </c>
      <c r="H70" s="4">
        <v>158941.07999999999</v>
      </c>
      <c r="I70" s="4">
        <v>13162.5</v>
      </c>
      <c r="J70" s="4"/>
      <c r="K70" s="4">
        <f>SUM(I70:J70)</f>
        <v>13162.5</v>
      </c>
      <c r="L70" s="4">
        <f>H70+K70</f>
        <v>172103.58</v>
      </c>
      <c r="M70" s="4">
        <f>Q70+T70</f>
        <v>227896.42</v>
      </c>
      <c r="N70" s="4">
        <f>2200000-2200000</f>
        <v>0</v>
      </c>
      <c r="O70" s="173">
        <f t="shared" si="26"/>
        <v>0</v>
      </c>
      <c r="P70" s="173">
        <f t="shared" si="28"/>
        <v>2200000</v>
      </c>
      <c r="Q70" s="173">
        <f t="shared" si="6"/>
        <v>227896.42</v>
      </c>
      <c r="R70" s="4"/>
      <c r="S70" s="4"/>
      <c r="T70" s="4">
        <f>SUM(R70:S70)</f>
        <v>0</v>
      </c>
      <c r="U70" s="4">
        <f>Q70-M70+T70</f>
        <v>0</v>
      </c>
      <c r="V70" s="173">
        <f t="shared" si="9"/>
        <v>0</v>
      </c>
      <c r="W70" s="4">
        <f>V70-AA70-X70-Z70</f>
        <v>0</v>
      </c>
      <c r="X70" s="4"/>
      <c r="Y70" s="4"/>
      <c r="Z70" s="4"/>
      <c r="AA70" s="4"/>
      <c r="AB70" s="3" t="s">
        <v>860</v>
      </c>
      <c r="AC70" s="3">
        <v>746000</v>
      </c>
      <c r="AD70" s="292"/>
      <c r="AE70" s="292"/>
      <c r="AF70" s="292"/>
      <c r="AG70" s="292"/>
      <c r="AH70" s="173">
        <f t="shared" si="30"/>
        <v>0</v>
      </c>
      <c r="AI70" s="173">
        <f t="shared" si="12"/>
        <v>0</v>
      </c>
      <c r="AJ70" s="173">
        <f t="shared" si="13"/>
        <v>0</v>
      </c>
      <c r="AK70" s="3"/>
      <c r="AL70" s="3"/>
      <c r="AM70" s="3"/>
      <c r="AN70" s="3"/>
      <c r="AO70" s="7"/>
      <c r="AP70" s="4"/>
      <c r="AQ70" s="172"/>
      <c r="AR70" s="518">
        <f t="shared" si="25"/>
        <v>0</v>
      </c>
      <c r="AS70" s="173">
        <f>M70-220000</f>
        <v>7896.4200000000128</v>
      </c>
      <c r="AT70" s="173">
        <f t="shared" si="27"/>
        <v>7896.4200000000128</v>
      </c>
      <c r="AU70" s="173">
        <f t="shared" si="15"/>
        <v>2420000</v>
      </c>
      <c r="AV70" s="173">
        <f t="shared" si="16"/>
        <v>-220000</v>
      </c>
      <c r="AW70" s="173">
        <f t="shared" si="17"/>
        <v>-220000</v>
      </c>
      <c r="AX70" s="173"/>
      <c r="AY70" s="173"/>
      <c r="AZ70" s="173"/>
      <c r="BA70" s="173"/>
      <c r="BB70" s="173">
        <f t="shared" si="18"/>
        <v>-220000</v>
      </c>
      <c r="BC70" s="4">
        <f t="shared" si="19"/>
        <v>0</v>
      </c>
      <c r="BD70" s="4">
        <v>-220000</v>
      </c>
      <c r="BE70" s="4"/>
      <c r="BF70" s="4"/>
      <c r="BG70" s="10"/>
      <c r="BH70" s="4">
        <f t="shared" si="22"/>
        <v>-220000</v>
      </c>
      <c r="BI70" s="424"/>
      <c r="BJ70" s="4">
        <f t="shared" si="23"/>
        <v>-220000</v>
      </c>
      <c r="BK70" s="472">
        <f t="shared" si="24"/>
        <v>0</v>
      </c>
      <c r="BL70" s="4">
        <f t="shared" si="20"/>
        <v>-220000</v>
      </c>
      <c r="BM70" s="4"/>
      <c r="BN70" s="4"/>
      <c r="BO70" s="4"/>
      <c r="BP70" s="4"/>
    </row>
    <row r="71" spans="1:68" ht="30" customHeight="1">
      <c r="A71" s="172">
        <v>66</v>
      </c>
      <c r="B71" s="292">
        <v>2058</v>
      </c>
      <c r="C71" s="172" t="s">
        <v>1602</v>
      </c>
      <c r="D71" s="173">
        <v>2330000</v>
      </c>
      <c r="E71" s="173">
        <v>2330000</v>
      </c>
      <c r="F71" s="173">
        <f t="shared" si="0"/>
        <v>0</v>
      </c>
      <c r="G71" s="173">
        <v>130000</v>
      </c>
      <c r="H71" s="173">
        <v>33485</v>
      </c>
      <c r="I71" s="173"/>
      <c r="J71" s="173">
        <v>91313.82</v>
      </c>
      <c r="K71" s="173">
        <f t="shared" si="32"/>
        <v>91313.82</v>
      </c>
      <c r="L71" s="173">
        <f t="shared" ref="L71:L107" si="35">K71+H71</f>
        <v>124798.82</v>
      </c>
      <c r="M71" s="173">
        <f t="shared" si="33"/>
        <v>5201.179999999993</v>
      </c>
      <c r="N71" s="173"/>
      <c r="O71" s="173">
        <f t="shared" si="26"/>
        <v>0</v>
      </c>
      <c r="P71" s="173">
        <f t="shared" si="28"/>
        <v>2200000</v>
      </c>
      <c r="Q71" s="173">
        <f t="shared" ref="Q71:Q107" si="36">G71-L71</f>
        <v>5201.179999999993</v>
      </c>
      <c r="R71" s="4"/>
      <c r="S71" s="173"/>
      <c r="T71" s="173">
        <f t="shared" si="34"/>
        <v>0</v>
      </c>
      <c r="U71" s="173">
        <f t="shared" ref="U71:U77" si="37">Q71-M71+T71</f>
        <v>0</v>
      </c>
      <c r="V71" s="173">
        <f t="shared" ref="V71:V107" si="38">N71-U71</f>
        <v>0</v>
      </c>
      <c r="W71" s="173">
        <f t="shared" ref="W71:W82" si="39">V71-Z71-Y71-AA71-X71</f>
        <v>0</v>
      </c>
      <c r="X71" s="173"/>
      <c r="Y71" s="173"/>
      <c r="Z71" s="173"/>
      <c r="AA71" s="172"/>
      <c r="AB71" s="172" t="s">
        <v>792</v>
      </c>
      <c r="AC71" s="172">
        <v>826000</v>
      </c>
      <c r="AD71" s="292"/>
      <c r="AE71" s="292"/>
      <c r="AF71" s="292"/>
      <c r="AG71" s="292"/>
      <c r="AH71" s="173">
        <f t="shared" si="30"/>
        <v>0</v>
      </c>
      <c r="AI71" s="173">
        <f t="shared" ref="AI71:AI107" si="40">V71-AH71</f>
        <v>0</v>
      </c>
      <c r="AJ71" s="173">
        <f t="shared" ref="AJ71:AJ103" si="41">AI71</f>
        <v>0</v>
      </c>
      <c r="AK71" s="522"/>
      <c r="AL71" s="292"/>
      <c r="AM71" s="292"/>
      <c r="AN71" s="292"/>
      <c r="AO71" s="3"/>
      <c r="AP71" s="3"/>
      <c r="AQ71" s="172"/>
      <c r="AR71" s="518">
        <f t="shared" si="25"/>
        <v>0</v>
      </c>
      <c r="AS71" s="173">
        <f t="shared" ref="AS71:AS107" si="42">M71</f>
        <v>5201.179999999993</v>
      </c>
      <c r="AT71" s="173">
        <f t="shared" si="27"/>
        <v>5201.179999999993</v>
      </c>
      <c r="AU71" s="173">
        <f t="shared" ref="AU71:AU107" si="43">D71-L71-AT71</f>
        <v>2200000</v>
      </c>
      <c r="AV71" s="173">
        <f t="shared" ref="AV71:AV107" si="44">AR71+AS71-M71</f>
        <v>0</v>
      </c>
      <c r="AW71" s="173">
        <f t="shared" ref="AW71:AW107" si="45">AR71+AS71-M71-AX71-BA71</f>
        <v>0</v>
      </c>
      <c r="AX71" s="173"/>
      <c r="AY71" s="173"/>
      <c r="AZ71" s="173"/>
      <c r="BA71" s="173"/>
      <c r="BB71" s="173">
        <f t="shared" ref="BB71:BB107" si="46">AS71-M71</f>
        <v>0</v>
      </c>
      <c r="BC71" s="4">
        <f t="shared" ref="BC71:BC107" si="47">AR71</f>
        <v>0</v>
      </c>
      <c r="BD71" s="4"/>
      <c r="BE71" s="4"/>
      <c r="BF71" s="4"/>
      <c r="BG71" s="10"/>
      <c r="BH71" s="4">
        <f t="shared" si="22"/>
        <v>0</v>
      </c>
      <c r="BI71" s="424"/>
      <c r="BJ71" s="4">
        <f t="shared" si="23"/>
        <v>0</v>
      </c>
      <c r="BK71" s="472">
        <f t="shared" si="24"/>
        <v>0</v>
      </c>
      <c r="BL71" s="4">
        <f t="shared" ref="BL71:BL107" si="48">BJ71-BP71-BM71</f>
        <v>0</v>
      </c>
      <c r="BM71" s="4"/>
      <c r="BN71" s="4"/>
      <c r="BO71" s="4"/>
      <c r="BP71" s="4"/>
    </row>
    <row r="72" spans="1:68" ht="30" customHeight="1">
      <c r="A72" s="172">
        <v>67</v>
      </c>
      <c r="B72" s="292">
        <v>2059</v>
      </c>
      <c r="C72" s="172" t="s">
        <v>359</v>
      </c>
      <c r="D72" s="173">
        <v>2610000</v>
      </c>
      <c r="E72" s="173">
        <v>2610000</v>
      </c>
      <c r="F72" s="173">
        <f t="shared" si="0"/>
        <v>0</v>
      </c>
      <c r="G72" s="173">
        <v>350000</v>
      </c>
      <c r="H72" s="173">
        <v>122156</v>
      </c>
      <c r="I72" s="173"/>
      <c r="J72" s="173">
        <v>227657.24</v>
      </c>
      <c r="K72" s="173">
        <f t="shared" si="32"/>
        <v>227657.24</v>
      </c>
      <c r="L72" s="173">
        <f t="shared" si="35"/>
        <v>349813.24</v>
      </c>
      <c r="M72" s="173">
        <f t="shared" si="33"/>
        <v>186.76000000000931</v>
      </c>
      <c r="N72" s="173">
        <v>500000</v>
      </c>
      <c r="O72" s="173">
        <f t="shared" si="26"/>
        <v>500000</v>
      </c>
      <c r="P72" s="173">
        <f t="shared" si="28"/>
        <v>1760000</v>
      </c>
      <c r="Q72" s="173">
        <f t="shared" si="36"/>
        <v>186.76000000000931</v>
      </c>
      <c r="R72" s="4"/>
      <c r="S72" s="173"/>
      <c r="T72" s="173">
        <f t="shared" si="34"/>
        <v>0</v>
      </c>
      <c r="U72" s="173">
        <f t="shared" si="37"/>
        <v>0</v>
      </c>
      <c r="V72" s="173">
        <f t="shared" si="38"/>
        <v>500000</v>
      </c>
      <c r="W72" s="173">
        <f t="shared" si="39"/>
        <v>500000</v>
      </c>
      <c r="X72" s="173"/>
      <c r="Y72" s="173"/>
      <c r="Z72" s="173"/>
      <c r="AA72" s="172"/>
      <c r="AB72" s="172" t="s">
        <v>818</v>
      </c>
      <c r="AC72" s="172">
        <v>826000</v>
      </c>
      <c r="AD72" s="292"/>
      <c r="AE72" s="292"/>
      <c r="AF72" s="292"/>
      <c r="AG72" s="292"/>
      <c r="AH72" s="173">
        <f t="shared" si="30"/>
        <v>0</v>
      </c>
      <c r="AI72" s="173">
        <f t="shared" si="40"/>
        <v>500000</v>
      </c>
      <c r="AJ72" s="173">
        <f t="shared" si="41"/>
        <v>500000</v>
      </c>
      <c r="AK72" s="522"/>
      <c r="AL72" s="292"/>
      <c r="AM72" s="292"/>
      <c r="AN72" s="292"/>
      <c r="AO72" s="3"/>
      <c r="AP72" s="3"/>
      <c r="AQ72" s="172"/>
      <c r="AR72" s="518">
        <f t="shared" si="25"/>
        <v>0</v>
      </c>
      <c r="AS72" s="173">
        <f t="shared" si="42"/>
        <v>186.76000000000931</v>
      </c>
      <c r="AT72" s="173">
        <f t="shared" si="27"/>
        <v>186.76000000000931</v>
      </c>
      <c r="AU72" s="173">
        <f t="shared" si="43"/>
        <v>2260000</v>
      </c>
      <c r="AV72" s="173">
        <f t="shared" si="44"/>
        <v>0</v>
      </c>
      <c r="AW72" s="173">
        <f t="shared" si="45"/>
        <v>0</v>
      </c>
      <c r="AX72" s="173"/>
      <c r="AY72" s="173"/>
      <c r="AZ72" s="173"/>
      <c r="BA72" s="173"/>
      <c r="BB72" s="173">
        <f t="shared" si="46"/>
        <v>0</v>
      </c>
      <c r="BC72" s="4">
        <f t="shared" si="47"/>
        <v>0</v>
      </c>
      <c r="BD72" s="4"/>
      <c r="BE72" s="4"/>
      <c r="BF72" s="4"/>
      <c r="BG72" s="10"/>
      <c r="BH72" s="4">
        <f t="shared" ref="BH72:BH107" si="49">SUM(BD72:BG72)</f>
        <v>0</v>
      </c>
      <c r="BI72" s="40"/>
      <c r="BJ72" s="4">
        <f t="shared" ref="BJ72:BJ107" si="50">BH72+BI72</f>
        <v>0</v>
      </c>
      <c r="BK72" s="472">
        <f t="shared" ref="BK72:BK107" si="51">AV72-BJ72</f>
        <v>0</v>
      </c>
      <c r="BL72" s="4">
        <f t="shared" si="48"/>
        <v>0</v>
      </c>
      <c r="BM72" s="4"/>
      <c r="BN72" s="4"/>
      <c r="BO72" s="4"/>
      <c r="BP72" s="4"/>
    </row>
    <row r="73" spans="1:68" ht="30" customHeight="1">
      <c r="A73" s="172">
        <v>68</v>
      </c>
      <c r="B73" s="292">
        <v>2064</v>
      </c>
      <c r="C73" s="172" t="s">
        <v>300</v>
      </c>
      <c r="D73" s="173">
        <v>6281000</v>
      </c>
      <c r="E73" s="173">
        <v>6281000</v>
      </c>
      <c r="F73" s="173">
        <f t="shared" si="0"/>
        <v>0</v>
      </c>
      <c r="G73" s="173">
        <v>864000</v>
      </c>
      <c r="H73" s="173">
        <v>833705</v>
      </c>
      <c r="I73" s="173"/>
      <c r="J73" s="173">
        <v>21262.06</v>
      </c>
      <c r="K73" s="173">
        <f t="shared" si="32"/>
        <v>21262.06</v>
      </c>
      <c r="L73" s="173">
        <f t="shared" si="35"/>
        <v>854967.06</v>
      </c>
      <c r="M73" s="173">
        <f t="shared" si="33"/>
        <v>9032.9399999999441</v>
      </c>
      <c r="N73" s="173">
        <v>5417000</v>
      </c>
      <c r="O73" s="173">
        <f t="shared" si="26"/>
        <v>5417000</v>
      </c>
      <c r="P73" s="173">
        <f t="shared" si="28"/>
        <v>0</v>
      </c>
      <c r="Q73" s="173">
        <f t="shared" si="36"/>
        <v>9032.9399999999441</v>
      </c>
      <c r="R73" s="173"/>
      <c r="S73" s="173"/>
      <c r="T73" s="173">
        <f t="shared" si="34"/>
        <v>0</v>
      </c>
      <c r="U73" s="173">
        <f t="shared" si="37"/>
        <v>0</v>
      </c>
      <c r="V73" s="173">
        <f t="shared" si="38"/>
        <v>5417000</v>
      </c>
      <c r="W73" s="173">
        <f t="shared" si="39"/>
        <v>5417000</v>
      </c>
      <c r="X73" s="173"/>
      <c r="Y73" s="173"/>
      <c r="Z73" s="173"/>
      <c r="AA73" s="172"/>
      <c r="AB73" s="172" t="s">
        <v>537</v>
      </c>
      <c r="AC73" s="172">
        <v>829000</v>
      </c>
      <c r="AD73" s="292"/>
      <c r="AE73" s="292"/>
      <c r="AF73" s="292"/>
      <c r="AG73" s="292"/>
      <c r="AH73" s="173">
        <f t="shared" si="30"/>
        <v>0</v>
      </c>
      <c r="AI73" s="173">
        <f t="shared" si="40"/>
        <v>5417000</v>
      </c>
      <c r="AJ73" s="173">
        <f t="shared" si="41"/>
        <v>5417000</v>
      </c>
      <c r="AK73" s="522"/>
      <c r="AL73" s="292"/>
      <c r="AM73" s="292"/>
      <c r="AN73" s="292"/>
      <c r="AO73" s="7"/>
      <c r="AP73" s="3"/>
      <c r="AQ73" s="3"/>
      <c r="AR73" s="518">
        <f t="shared" ref="AR73:AR104" si="52">AO73</f>
        <v>0</v>
      </c>
      <c r="AS73" s="173">
        <f t="shared" si="42"/>
        <v>9032.9399999999441</v>
      </c>
      <c r="AT73" s="173">
        <f t="shared" si="27"/>
        <v>9032.9399999999441</v>
      </c>
      <c r="AU73" s="173">
        <f t="shared" si="43"/>
        <v>5417000</v>
      </c>
      <c r="AV73" s="173">
        <f t="shared" si="44"/>
        <v>0</v>
      </c>
      <c r="AW73" s="173">
        <f t="shared" si="45"/>
        <v>0</v>
      </c>
      <c r="AX73" s="173"/>
      <c r="AY73" s="173"/>
      <c r="AZ73" s="173"/>
      <c r="BA73" s="173"/>
      <c r="BB73" s="173">
        <f t="shared" si="46"/>
        <v>0</v>
      </c>
      <c r="BC73" s="4">
        <f t="shared" si="47"/>
        <v>0</v>
      </c>
      <c r="BD73" s="4"/>
      <c r="BE73" s="4"/>
      <c r="BF73" s="4"/>
      <c r="BG73" s="10"/>
      <c r="BH73" s="4">
        <f t="shared" si="49"/>
        <v>0</v>
      </c>
      <c r="BI73" s="40"/>
      <c r="BJ73" s="4">
        <f t="shared" si="50"/>
        <v>0</v>
      </c>
      <c r="BK73" s="472">
        <f t="shared" si="51"/>
        <v>0</v>
      </c>
      <c r="BL73" s="4">
        <f t="shared" si="48"/>
        <v>0</v>
      </c>
      <c r="BM73" s="4"/>
      <c r="BN73" s="4"/>
      <c r="BO73" s="4"/>
      <c r="BP73" s="4"/>
    </row>
    <row r="74" spans="1:68" ht="30" customHeight="1">
      <c r="A74" s="172">
        <v>69</v>
      </c>
      <c r="B74" s="292">
        <v>2073</v>
      </c>
      <c r="C74" s="172" t="s">
        <v>697</v>
      </c>
      <c r="D74" s="173">
        <v>11350000</v>
      </c>
      <c r="E74" s="173">
        <v>11350000</v>
      </c>
      <c r="F74" s="173">
        <f t="shared" si="0"/>
        <v>0</v>
      </c>
      <c r="G74" s="173">
        <v>850000</v>
      </c>
      <c r="H74" s="173">
        <v>23564</v>
      </c>
      <c r="I74" s="173"/>
      <c r="J74" s="173">
        <v>93436.2</v>
      </c>
      <c r="K74" s="173">
        <f t="shared" si="32"/>
        <v>93436.2</v>
      </c>
      <c r="L74" s="173">
        <f t="shared" si="35"/>
        <v>117000.2</v>
      </c>
      <c r="M74" s="173">
        <f t="shared" si="33"/>
        <v>732999.8</v>
      </c>
      <c r="N74" s="173">
        <v>10500000</v>
      </c>
      <c r="O74" s="173">
        <f t="shared" si="26"/>
        <v>10500000</v>
      </c>
      <c r="P74" s="173">
        <f t="shared" si="28"/>
        <v>0</v>
      </c>
      <c r="Q74" s="173">
        <f t="shared" si="36"/>
        <v>732999.8</v>
      </c>
      <c r="R74" s="173"/>
      <c r="S74" s="173"/>
      <c r="T74" s="173">
        <f t="shared" si="34"/>
        <v>0</v>
      </c>
      <c r="U74" s="173">
        <f t="shared" si="37"/>
        <v>0</v>
      </c>
      <c r="V74" s="173">
        <f t="shared" si="38"/>
        <v>10500000</v>
      </c>
      <c r="W74" s="173">
        <f t="shared" si="39"/>
        <v>10500000</v>
      </c>
      <c r="X74" s="173"/>
      <c r="Y74" s="173"/>
      <c r="Z74" s="173"/>
      <c r="AA74" s="172"/>
      <c r="AB74" s="172" t="s">
        <v>698</v>
      </c>
      <c r="AC74" s="172">
        <v>829000</v>
      </c>
      <c r="AD74" s="292"/>
      <c r="AE74" s="292"/>
      <c r="AF74" s="292"/>
      <c r="AG74" s="292"/>
      <c r="AH74" s="173">
        <f t="shared" si="30"/>
        <v>0</v>
      </c>
      <c r="AI74" s="173">
        <f t="shared" si="40"/>
        <v>10500000</v>
      </c>
      <c r="AJ74" s="173">
        <f t="shared" si="41"/>
        <v>10500000</v>
      </c>
      <c r="AK74" s="522"/>
      <c r="AL74" s="292"/>
      <c r="AM74" s="292"/>
      <c r="AN74" s="292"/>
      <c r="AO74" s="7"/>
      <c r="AP74" s="4">
        <f>M74</f>
        <v>732999.8</v>
      </c>
      <c r="AQ74" s="499" t="s">
        <v>1117</v>
      </c>
      <c r="AR74" s="518">
        <f t="shared" si="52"/>
        <v>0</v>
      </c>
      <c r="AS74" s="173">
        <f t="shared" si="42"/>
        <v>732999.8</v>
      </c>
      <c r="AT74" s="173">
        <f t="shared" si="27"/>
        <v>732999.8</v>
      </c>
      <c r="AU74" s="173">
        <f t="shared" si="43"/>
        <v>10500000</v>
      </c>
      <c r="AV74" s="173">
        <f t="shared" si="44"/>
        <v>0</v>
      </c>
      <c r="AW74" s="173">
        <f t="shared" si="45"/>
        <v>0</v>
      </c>
      <c r="AX74" s="173"/>
      <c r="AY74" s="173"/>
      <c r="AZ74" s="173"/>
      <c r="BA74" s="173"/>
      <c r="BB74" s="173">
        <f t="shared" si="46"/>
        <v>0</v>
      </c>
      <c r="BC74" s="4">
        <f t="shared" si="47"/>
        <v>0</v>
      </c>
      <c r="BD74" s="4"/>
      <c r="BE74" s="4"/>
      <c r="BF74" s="4"/>
      <c r="BG74" s="10"/>
      <c r="BH74" s="4">
        <f t="shared" si="49"/>
        <v>0</v>
      </c>
      <c r="BI74" s="40"/>
      <c r="BJ74" s="4">
        <f t="shared" si="50"/>
        <v>0</v>
      </c>
      <c r="BK74" s="472">
        <f t="shared" si="51"/>
        <v>0</v>
      </c>
      <c r="BL74" s="4">
        <f t="shared" si="48"/>
        <v>0</v>
      </c>
      <c r="BM74" s="4"/>
      <c r="BN74" s="4"/>
      <c r="BO74" s="4"/>
      <c r="BP74" s="4"/>
    </row>
    <row r="75" spans="1:68" ht="30" customHeight="1">
      <c r="A75" s="172">
        <v>70</v>
      </c>
      <c r="B75" s="292">
        <v>2076</v>
      </c>
      <c r="C75" s="172" t="s">
        <v>387</v>
      </c>
      <c r="D75" s="173">
        <v>1450000</v>
      </c>
      <c r="E75" s="173">
        <v>1450000</v>
      </c>
      <c r="F75" s="173">
        <f t="shared" si="0"/>
        <v>0</v>
      </c>
      <c r="G75" s="173">
        <v>1450000</v>
      </c>
      <c r="H75" s="173">
        <v>26168</v>
      </c>
      <c r="I75" s="173"/>
      <c r="J75" s="173">
        <v>223830.36</v>
      </c>
      <c r="K75" s="173">
        <f t="shared" si="32"/>
        <v>223830.36</v>
      </c>
      <c r="L75" s="173">
        <f t="shared" si="35"/>
        <v>249998.36</v>
      </c>
      <c r="M75" s="173">
        <f t="shared" si="33"/>
        <v>1200001.6400000001</v>
      </c>
      <c r="N75" s="173"/>
      <c r="O75" s="173">
        <f t="shared" si="26"/>
        <v>0</v>
      </c>
      <c r="P75" s="173">
        <f t="shared" si="28"/>
        <v>0</v>
      </c>
      <c r="Q75" s="173">
        <f t="shared" si="36"/>
        <v>1200001.6400000001</v>
      </c>
      <c r="R75" s="173"/>
      <c r="S75" s="173"/>
      <c r="T75" s="173">
        <f t="shared" si="34"/>
        <v>0</v>
      </c>
      <c r="U75" s="173">
        <f t="shared" si="37"/>
        <v>0</v>
      </c>
      <c r="V75" s="173">
        <f t="shared" si="38"/>
        <v>0</v>
      </c>
      <c r="W75" s="173">
        <f t="shared" si="39"/>
        <v>0</v>
      </c>
      <c r="X75" s="173"/>
      <c r="Y75" s="173"/>
      <c r="Z75" s="173"/>
      <c r="AA75" s="172"/>
      <c r="AB75" s="172" t="s">
        <v>466</v>
      </c>
      <c r="AC75" s="172">
        <v>850000</v>
      </c>
      <c r="AD75" s="292"/>
      <c r="AE75" s="292"/>
      <c r="AF75" s="292"/>
      <c r="AG75" s="292"/>
      <c r="AH75" s="173">
        <f t="shared" si="30"/>
        <v>0</v>
      </c>
      <c r="AI75" s="173">
        <f t="shared" si="40"/>
        <v>0</v>
      </c>
      <c r="AJ75" s="173">
        <f t="shared" si="41"/>
        <v>0</v>
      </c>
      <c r="AK75" s="522"/>
      <c r="AL75" s="292"/>
      <c r="AM75" s="292"/>
      <c r="AN75" s="292"/>
      <c r="AO75" s="7"/>
      <c r="AP75" s="4">
        <f>M75</f>
        <v>1200001.6400000001</v>
      </c>
      <c r="AQ75" s="172"/>
      <c r="AR75" s="518">
        <f t="shared" si="52"/>
        <v>0</v>
      </c>
      <c r="AS75" s="173">
        <f>M75</f>
        <v>1200001.6400000001</v>
      </c>
      <c r="AT75" s="173">
        <f t="shared" si="27"/>
        <v>1200001.6400000001</v>
      </c>
      <c r="AU75" s="173">
        <f t="shared" si="43"/>
        <v>0</v>
      </c>
      <c r="AV75" s="173">
        <f t="shared" si="44"/>
        <v>0</v>
      </c>
      <c r="AW75" s="173">
        <f t="shared" si="45"/>
        <v>0</v>
      </c>
      <c r="AX75" s="173"/>
      <c r="AY75" s="173"/>
      <c r="AZ75" s="173"/>
      <c r="BA75" s="173"/>
      <c r="BB75" s="173">
        <f t="shared" si="46"/>
        <v>0</v>
      </c>
      <c r="BC75" s="4">
        <f t="shared" si="47"/>
        <v>0</v>
      </c>
      <c r="BD75" s="4"/>
      <c r="BE75" s="4"/>
      <c r="BF75" s="4"/>
      <c r="BG75" s="10"/>
      <c r="BH75" s="4">
        <f t="shared" si="49"/>
        <v>0</v>
      </c>
      <c r="BI75" s="40"/>
      <c r="BJ75" s="4">
        <f t="shared" si="50"/>
        <v>0</v>
      </c>
      <c r="BK75" s="472">
        <f t="shared" si="51"/>
        <v>0</v>
      </c>
      <c r="BL75" s="4">
        <f t="shared" si="48"/>
        <v>0</v>
      </c>
      <c r="BM75" s="4"/>
      <c r="BN75" s="4"/>
      <c r="BO75" s="4"/>
      <c r="BP75" s="4"/>
    </row>
    <row r="76" spans="1:68" s="5" customFormat="1" ht="30" customHeight="1">
      <c r="A76" s="172">
        <v>71</v>
      </c>
      <c r="B76" s="3">
        <v>2078</v>
      </c>
      <c r="C76" s="3" t="s">
        <v>361</v>
      </c>
      <c r="D76" s="4">
        <v>4200000</v>
      </c>
      <c r="E76" s="4">
        <v>4200000</v>
      </c>
      <c r="F76" s="4">
        <f>D76-E76</f>
        <v>0</v>
      </c>
      <c r="G76" s="4">
        <v>1960000</v>
      </c>
      <c r="H76" s="4">
        <v>92764</v>
      </c>
      <c r="I76" s="4"/>
      <c r="J76" s="4">
        <v>57234.91</v>
      </c>
      <c r="K76" s="173">
        <f t="shared" si="32"/>
        <v>57234.91</v>
      </c>
      <c r="L76" s="173">
        <f t="shared" si="35"/>
        <v>149998.91</v>
      </c>
      <c r="M76" s="173">
        <f t="shared" si="33"/>
        <v>1810001.09</v>
      </c>
      <c r="N76" s="173"/>
      <c r="O76" s="173">
        <f t="shared" si="26"/>
        <v>0</v>
      </c>
      <c r="P76" s="173">
        <f t="shared" si="28"/>
        <v>2240000</v>
      </c>
      <c r="Q76" s="173">
        <f t="shared" si="36"/>
        <v>1810001.09</v>
      </c>
      <c r="R76" s="4"/>
      <c r="S76" s="4"/>
      <c r="T76" s="173">
        <f t="shared" si="34"/>
        <v>0</v>
      </c>
      <c r="U76" s="4"/>
      <c r="V76" s="4">
        <f t="shared" si="38"/>
        <v>0</v>
      </c>
      <c r="W76" s="4">
        <f>V76-AA76-X76-Z76</f>
        <v>0</v>
      </c>
      <c r="X76" s="4"/>
      <c r="Y76" s="4"/>
      <c r="Z76" s="4"/>
      <c r="AA76" s="3"/>
      <c r="AB76" s="3" t="s">
        <v>532</v>
      </c>
      <c r="AC76" s="3">
        <v>742000</v>
      </c>
      <c r="AD76" s="292"/>
      <c r="AE76" s="292"/>
      <c r="AF76" s="173"/>
      <c r="AG76" s="173"/>
      <c r="AH76" s="173">
        <f t="shared" si="30"/>
        <v>0</v>
      </c>
      <c r="AI76" s="173">
        <f t="shared" si="40"/>
        <v>0</v>
      </c>
      <c r="AJ76" s="173">
        <f t="shared" si="41"/>
        <v>0</v>
      </c>
      <c r="AK76" s="3"/>
      <c r="AL76" s="3"/>
      <c r="AM76" s="3"/>
      <c r="AN76" s="3"/>
      <c r="AO76" s="3"/>
      <c r="AP76" s="4">
        <f>M76</f>
        <v>1810001.09</v>
      </c>
      <c r="AQ76" s="172" t="s">
        <v>1118</v>
      </c>
      <c r="AR76" s="518">
        <f t="shared" si="52"/>
        <v>0</v>
      </c>
      <c r="AS76" s="173">
        <f t="shared" si="42"/>
        <v>1810001.09</v>
      </c>
      <c r="AT76" s="173">
        <f t="shared" si="27"/>
        <v>1810001.09</v>
      </c>
      <c r="AU76" s="173">
        <f t="shared" si="43"/>
        <v>2240000</v>
      </c>
      <c r="AV76" s="173">
        <f t="shared" si="44"/>
        <v>0</v>
      </c>
      <c r="AW76" s="173">
        <f t="shared" si="45"/>
        <v>0</v>
      </c>
      <c r="AX76" s="173"/>
      <c r="AY76" s="173"/>
      <c r="AZ76" s="173"/>
      <c r="BA76" s="173"/>
      <c r="BB76" s="173">
        <f t="shared" si="46"/>
        <v>0</v>
      </c>
      <c r="BC76" s="4">
        <f t="shared" si="47"/>
        <v>0</v>
      </c>
      <c r="BD76" s="4"/>
      <c r="BE76" s="4"/>
      <c r="BF76" s="4"/>
      <c r="BG76" s="10"/>
      <c r="BH76" s="4">
        <f t="shared" si="49"/>
        <v>0</v>
      </c>
      <c r="BI76" s="40"/>
      <c r="BJ76" s="4">
        <f t="shared" si="50"/>
        <v>0</v>
      </c>
      <c r="BK76" s="472">
        <f t="shared" si="51"/>
        <v>0</v>
      </c>
      <c r="BL76" s="4">
        <f t="shared" si="48"/>
        <v>0</v>
      </c>
      <c r="BM76" s="4"/>
      <c r="BN76" s="4"/>
      <c r="BO76" s="4"/>
      <c r="BP76" s="4"/>
    </row>
    <row r="77" spans="1:68" ht="30" customHeight="1">
      <c r="A77" s="172">
        <v>72</v>
      </c>
      <c r="B77" s="31">
        <v>2079</v>
      </c>
      <c r="C77" s="172" t="s">
        <v>388</v>
      </c>
      <c r="D77" s="173">
        <v>3100000</v>
      </c>
      <c r="E77" s="173">
        <v>3100000</v>
      </c>
      <c r="F77" s="173">
        <f t="shared" ref="F77:F107" si="53">D77-E77</f>
        <v>0</v>
      </c>
      <c r="G77" s="173">
        <v>500000</v>
      </c>
      <c r="H77" s="173">
        <v>49349</v>
      </c>
      <c r="I77" s="173"/>
      <c r="J77" s="173">
        <v>450650.83</v>
      </c>
      <c r="K77" s="173">
        <f t="shared" si="32"/>
        <v>450650.83</v>
      </c>
      <c r="L77" s="173">
        <f t="shared" si="35"/>
        <v>499999.83</v>
      </c>
      <c r="M77" s="173">
        <f t="shared" si="33"/>
        <v>0.16999999998370185</v>
      </c>
      <c r="N77" s="173">
        <f>2000000-1000000+1000000</f>
        <v>2000000</v>
      </c>
      <c r="O77" s="173">
        <f t="shared" si="26"/>
        <v>2000000</v>
      </c>
      <c r="P77" s="173">
        <f t="shared" si="28"/>
        <v>600000</v>
      </c>
      <c r="Q77" s="173">
        <f t="shared" si="36"/>
        <v>0.16999999998370185</v>
      </c>
      <c r="R77" s="173"/>
      <c r="S77" s="173"/>
      <c r="T77" s="173">
        <f t="shared" si="34"/>
        <v>0</v>
      </c>
      <c r="U77" s="173">
        <f t="shared" si="37"/>
        <v>0</v>
      </c>
      <c r="V77" s="173">
        <f t="shared" si="38"/>
        <v>2000000</v>
      </c>
      <c r="W77" s="173">
        <f t="shared" si="39"/>
        <v>1000000</v>
      </c>
      <c r="X77" s="173">
        <v>1000000</v>
      </c>
      <c r="Y77" s="173"/>
      <c r="Z77" s="173"/>
      <c r="AA77" s="172"/>
      <c r="AB77" s="293" t="s">
        <v>793</v>
      </c>
      <c r="AC77" s="172">
        <v>840000</v>
      </c>
      <c r="AD77" s="292"/>
      <c r="AE77" s="292"/>
      <c r="AF77" s="173"/>
      <c r="AG77" s="173"/>
      <c r="AH77" s="173">
        <f t="shared" si="30"/>
        <v>0</v>
      </c>
      <c r="AI77" s="173">
        <f t="shared" si="40"/>
        <v>2000000</v>
      </c>
      <c r="AJ77" s="173">
        <f>AI77-AK77</f>
        <v>1000000</v>
      </c>
      <c r="AK77" s="173">
        <v>1000000</v>
      </c>
      <c r="AL77" s="292"/>
      <c r="AM77" s="292"/>
      <c r="AN77" s="173"/>
      <c r="AO77" s="3"/>
      <c r="AP77" s="3"/>
      <c r="AQ77" s="172"/>
      <c r="AR77" s="518">
        <f t="shared" si="52"/>
        <v>0</v>
      </c>
      <c r="AS77" s="173">
        <f t="shared" si="42"/>
        <v>0.16999999998370185</v>
      </c>
      <c r="AT77" s="173">
        <f t="shared" si="27"/>
        <v>0.16999999998370185</v>
      </c>
      <c r="AU77" s="173">
        <f t="shared" si="43"/>
        <v>2600000</v>
      </c>
      <c r="AV77" s="173">
        <f t="shared" si="44"/>
        <v>0</v>
      </c>
      <c r="AW77" s="173">
        <f t="shared" si="45"/>
        <v>0</v>
      </c>
      <c r="AX77" s="173"/>
      <c r="AY77" s="173"/>
      <c r="AZ77" s="173"/>
      <c r="BA77" s="173"/>
      <c r="BB77" s="173">
        <f t="shared" si="46"/>
        <v>0</v>
      </c>
      <c r="BC77" s="4">
        <f t="shared" si="47"/>
        <v>0</v>
      </c>
      <c r="BD77" s="4"/>
      <c r="BE77" s="4"/>
      <c r="BF77" s="4"/>
      <c r="BG77" s="10"/>
      <c r="BH77" s="4">
        <f t="shared" si="49"/>
        <v>0</v>
      </c>
      <c r="BI77" s="40"/>
      <c r="BJ77" s="4">
        <f t="shared" si="50"/>
        <v>0</v>
      </c>
      <c r="BK77" s="472">
        <f t="shared" si="51"/>
        <v>0</v>
      </c>
      <c r="BL77" s="4">
        <f t="shared" si="48"/>
        <v>0</v>
      </c>
      <c r="BM77" s="4"/>
      <c r="BN77" s="4"/>
      <c r="BO77" s="4"/>
      <c r="BP77" s="4"/>
    </row>
    <row r="78" spans="1:68" ht="30" customHeight="1">
      <c r="A78" s="172">
        <v>73</v>
      </c>
      <c r="B78" s="31">
        <v>2080</v>
      </c>
      <c r="C78" s="172" t="s">
        <v>389</v>
      </c>
      <c r="D78" s="173">
        <v>2400000</v>
      </c>
      <c r="E78" s="173">
        <v>2400000</v>
      </c>
      <c r="F78" s="173">
        <f t="shared" si="53"/>
        <v>0</v>
      </c>
      <c r="G78" s="173">
        <v>2400000</v>
      </c>
      <c r="H78" s="173">
        <v>1547460.47</v>
      </c>
      <c r="I78" s="173"/>
      <c r="J78" s="173">
        <v>419909.32</v>
      </c>
      <c r="K78" s="173">
        <f t="shared" si="32"/>
        <v>419909.32</v>
      </c>
      <c r="L78" s="173">
        <f t="shared" si="35"/>
        <v>1967369.79</v>
      </c>
      <c r="M78" s="173">
        <f t="shared" si="33"/>
        <v>432630.20999999996</v>
      </c>
      <c r="N78" s="173">
        <v>350000</v>
      </c>
      <c r="O78" s="173">
        <f t="shared" si="26"/>
        <v>0</v>
      </c>
      <c r="P78" s="173">
        <f t="shared" si="28"/>
        <v>0</v>
      </c>
      <c r="Q78" s="173">
        <f t="shared" si="36"/>
        <v>432630.20999999996</v>
      </c>
      <c r="R78" s="173"/>
      <c r="S78" s="173"/>
      <c r="T78" s="173">
        <f t="shared" ref="T78:T83" si="54">SUM(R78:S78)</f>
        <v>0</v>
      </c>
      <c r="U78" s="173">
        <f>Q78-M78+T78</f>
        <v>0</v>
      </c>
      <c r="V78" s="173">
        <f t="shared" si="38"/>
        <v>350000</v>
      </c>
      <c r="W78" s="173">
        <f t="shared" si="39"/>
        <v>350000</v>
      </c>
      <c r="X78" s="173"/>
      <c r="Y78" s="173"/>
      <c r="Z78" s="173"/>
      <c r="AA78" s="172"/>
      <c r="AB78" s="172" t="s">
        <v>699</v>
      </c>
      <c r="AC78" s="172">
        <v>747000</v>
      </c>
      <c r="AD78" s="292"/>
      <c r="AE78" s="292"/>
      <c r="AF78" s="173">
        <v>350000</v>
      </c>
      <c r="AG78" s="173"/>
      <c r="AH78" s="173">
        <f t="shared" si="30"/>
        <v>350000</v>
      </c>
      <c r="AI78" s="173">
        <f t="shared" si="40"/>
        <v>0</v>
      </c>
      <c r="AJ78" s="173">
        <f t="shared" si="41"/>
        <v>0</v>
      </c>
      <c r="AK78" s="522"/>
      <c r="AL78" s="292"/>
      <c r="AM78" s="292"/>
      <c r="AN78" s="173"/>
      <c r="AO78" s="3"/>
      <c r="AP78" s="4">
        <f>M78</f>
        <v>432630.20999999996</v>
      </c>
      <c r="AQ78" s="172" t="s">
        <v>1101</v>
      </c>
      <c r="AR78" s="518">
        <f t="shared" si="52"/>
        <v>0</v>
      </c>
      <c r="AS78" s="173">
        <f t="shared" si="42"/>
        <v>432630.20999999996</v>
      </c>
      <c r="AT78" s="173">
        <f t="shared" si="27"/>
        <v>432630.20999999996</v>
      </c>
      <c r="AU78" s="173">
        <f t="shared" si="43"/>
        <v>0</v>
      </c>
      <c r="AV78" s="173">
        <f t="shared" si="44"/>
        <v>0</v>
      </c>
      <c r="AW78" s="173">
        <f t="shared" si="45"/>
        <v>0</v>
      </c>
      <c r="AX78" s="173"/>
      <c r="AY78" s="173"/>
      <c r="AZ78" s="173"/>
      <c r="BA78" s="173"/>
      <c r="BB78" s="173">
        <f t="shared" si="46"/>
        <v>0</v>
      </c>
      <c r="BC78" s="4">
        <f t="shared" si="47"/>
        <v>0</v>
      </c>
      <c r="BD78" s="4"/>
      <c r="BE78" s="4"/>
      <c r="BF78" s="4"/>
      <c r="BG78" s="10"/>
      <c r="BH78" s="4">
        <f t="shared" si="49"/>
        <v>0</v>
      </c>
      <c r="BI78" s="40"/>
      <c r="BJ78" s="4">
        <f t="shared" si="50"/>
        <v>0</v>
      </c>
      <c r="BK78" s="472">
        <f t="shared" si="51"/>
        <v>0</v>
      </c>
      <c r="BL78" s="4">
        <f t="shared" si="48"/>
        <v>0</v>
      </c>
      <c r="BM78" s="4"/>
      <c r="BN78" s="4"/>
      <c r="BO78" s="4"/>
      <c r="BP78" s="4"/>
    </row>
    <row r="79" spans="1:68" ht="30" customHeight="1">
      <c r="A79" s="172">
        <v>74</v>
      </c>
      <c r="B79" s="31">
        <v>2097</v>
      </c>
      <c r="C79" s="172" t="s">
        <v>390</v>
      </c>
      <c r="D79" s="173">
        <v>79000000</v>
      </c>
      <c r="E79" s="173">
        <v>79000000</v>
      </c>
      <c r="F79" s="173">
        <f t="shared" si="53"/>
        <v>0</v>
      </c>
      <c r="G79" s="173">
        <v>1000000</v>
      </c>
      <c r="H79" s="173">
        <v>520401</v>
      </c>
      <c r="I79" s="173"/>
      <c r="J79" s="173">
        <v>330001.73</v>
      </c>
      <c r="K79" s="173">
        <f t="shared" si="32"/>
        <v>330001.73</v>
      </c>
      <c r="L79" s="173">
        <f t="shared" si="35"/>
        <v>850402.73</v>
      </c>
      <c r="M79" s="173">
        <f t="shared" si="33"/>
        <v>149597.27000000002</v>
      </c>
      <c r="N79" s="173">
        <f>10000000-5000000</f>
        <v>5000000</v>
      </c>
      <c r="O79" s="173">
        <f t="shared" ref="O79:O107" si="55">N79-AH79</f>
        <v>5000000</v>
      </c>
      <c r="P79" s="173">
        <f t="shared" si="28"/>
        <v>73000000</v>
      </c>
      <c r="Q79" s="173">
        <f t="shared" si="36"/>
        <v>149597.27000000002</v>
      </c>
      <c r="R79" s="173"/>
      <c r="S79" s="173"/>
      <c r="T79" s="173">
        <f t="shared" si="54"/>
        <v>0</v>
      </c>
      <c r="U79" s="173">
        <f>Q79-M79+T79</f>
        <v>0</v>
      </c>
      <c r="V79" s="173">
        <f t="shared" si="38"/>
        <v>5000000</v>
      </c>
      <c r="W79" s="173">
        <f t="shared" si="39"/>
        <v>5000000</v>
      </c>
      <c r="X79" s="173"/>
      <c r="Y79" s="173"/>
      <c r="Z79" s="173"/>
      <c r="AA79" s="172"/>
      <c r="AB79" s="297" t="s">
        <v>819</v>
      </c>
      <c r="AC79" s="172">
        <v>810000</v>
      </c>
      <c r="AD79" s="292"/>
      <c r="AE79" s="292"/>
      <c r="AF79" s="173"/>
      <c r="AG79" s="173"/>
      <c r="AH79" s="173">
        <f t="shared" si="30"/>
        <v>0</v>
      </c>
      <c r="AI79" s="173">
        <f t="shared" si="40"/>
        <v>5000000</v>
      </c>
      <c r="AJ79" s="173">
        <f t="shared" si="41"/>
        <v>5000000</v>
      </c>
      <c r="AK79" s="522"/>
      <c r="AL79" s="292"/>
      <c r="AM79" s="292"/>
      <c r="AN79" s="173"/>
      <c r="AO79" s="4">
        <f>AI79</f>
        <v>5000000</v>
      </c>
      <c r="AP79" s="4">
        <v>149597</v>
      </c>
      <c r="AQ79" s="3"/>
      <c r="AR79" s="518">
        <f t="shared" si="52"/>
        <v>5000000</v>
      </c>
      <c r="AS79" s="173">
        <f t="shared" si="42"/>
        <v>149597.27000000002</v>
      </c>
      <c r="AT79" s="173">
        <f t="shared" si="27"/>
        <v>5149597.2699999996</v>
      </c>
      <c r="AU79" s="173">
        <f t="shared" si="43"/>
        <v>73000000</v>
      </c>
      <c r="AV79" s="173">
        <f t="shared" si="44"/>
        <v>5000000</v>
      </c>
      <c r="AW79" s="173">
        <f t="shared" si="45"/>
        <v>5000000</v>
      </c>
      <c r="AX79" s="173"/>
      <c r="AY79" s="173"/>
      <c r="AZ79" s="173"/>
      <c r="BA79" s="173"/>
      <c r="BB79" s="173">
        <f t="shared" si="46"/>
        <v>0</v>
      </c>
      <c r="BC79" s="4">
        <f t="shared" si="47"/>
        <v>5000000</v>
      </c>
      <c r="BD79" s="4">
        <v>5000000</v>
      </c>
      <c r="BE79" s="4"/>
      <c r="BF79" s="4"/>
      <c r="BG79" s="10"/>
      <c r="BH79" s="4">
        <f t="shared" si="49"/>
        <v>5000000</v>
      </c>
      <c r="BI79" s="40"/>
      <c r="BJ79" s="4">
        <f t="shared" si="50"/>
        <v>5000000</v>
      </c>
      <c r="BK79" s="472">
        <f t="shared" si="51"/>
        <v>0</v>
      </c>
      <c r="BL79" s="4">
        <f t="shared" si="48"/>
        <v>5000000</v>
      </c>
      <c r="BM79" s="4"/>
      <c r="BN79" s="4"/>
      <c r="BO79" s="4"/>
      <c r="BP79" s="4"/>
    </row>
    <row r="80" spans="1:68" ht="30" customHeight="1">
      <c r="A80" s="172">
        <v>75</v>
      </c>
      <c r="B80" s="31">
        <v>2099</v>
      </c>
      <c r="C80" s="172" t="s">
        <v>391</v>
      </c>
      <c r="D80" s="173">
        <v>12000000</v>
      </c>
      <c r="E80" s="173">
        <v>12000000</v>
      </c>
      <c r="F80" s="173">
        <f t="shared" si="53"/>
        <v>0</v>
      </c>
      <c r="G80" s="173">
        <v>6000000</v>
      </c>
      <c r="H80" s="173">
        <v>271556</v>
      </c>
      <c r="I80" s="173"/>
      <c r="J80" s="173">
        <v>224935.46</v>
      </c>
      <c r="K80" s="173">
        <f t="shared" si="32"/>
        <v>224935.46</v>
      </c>
      <c r="L80" s="173">
        <f t="shared" si="35"/>
        <v>496491.45999999996</v>
      </c>
      <c r="M80" s="519">
        <f>Q80+T80</f>
        <v>5503508.54</v>
      </c>
      <c r="N80" s="173"/>
      <c r="O80" s="173">
        <f t="shared" si="55"/>
        <v>0</v>
      </c>
      <c r="P80" s="173">
        <f t="shared" si="28"/>
        <v>5999999.9999999991</v>
      </c>
      <c r="Q80" s="173">
        <f t="shared" si="36"/>
        <v>5503508.54</v>
      </c>
      <c r="R80" s="173"/>
      <c r="S80" s="173"/>
      <c r="T80" s="173">
        <f t="shared" si="54"/>
        <v>0</v>
      </c>
      <c r="U80" s="173">
        <f>Q80-M80+T80</f>
        <v>0</v>
      </c>
      <c r="V80" s="173">
        <f t="shared" si="38"/>
        <v>0</v>
      </c>
      <c r="W80" s="173">
        <f t="shared" si="39"/>
        <v>0</v>
      </c>
      <c r="X80" s="173"/>
      <c r="Y80" s="173"/>
      <c r="Z80" s="173"/>
      <c r="AA80" s="172"/>
      <c r="AB80" s="326" t="s">
        <v>595</v>
      </c>
      <c r="AC80" s="172">
        <v>826000</v>
      </c>
      <c r="AD80" s="292"/>
      <c r="AE80" s="292"/>
      <c r="AF80" s="173"/>
      <c r="AG80" s="173"/>
      <c r="AH80" s="173">
        <f t="shared" si="30"/>
        <v>0</v>
      </c>
      <c r="AI80" s="173">
        <f t="shared" si="40"/>
        <v>0</v>
      </c>
      <c r="AJ80" s="173">
        <f t="shared" si="41"/>
        <v>0</v>
      </c>
      <c r="AK80" s="522"/>
      <c r="AL80" s="292"/>
      <c r="AM80" s="292"/>
      <c r="AN80" s="173"/>
      <c r="AO80" s="3"/>
      <c r="AP80" s="4">
        <v>250000</v>
      </c>
      <c r="AQ80" s="172"/>
      <c r="AR80" s="518">
        <f t="shared" si="52"/>
        <v>0</v>
      </c>
      <c r="AS80" s="173">
        <f>M80-5250000</f>
        <v>253508.54000000004</v>
      </c>
      <c r="AT80" s="173">
        <f t="shared" ref="AT80:AT107" si="56">SUM(AR80:AS80)</f>
        <v>253508.54000000004</v>
      </c>
      <c r="AU80" s="173">
        <f t="shared" si="43"/>
        <v>11250000</v>
      </c>
      <c r="AV80" s="173">
        <f t="shared" si="44"/>
        <v>-5250000</v>
      </c>
      <c r="AW80" s="173">
        <f t="shared" si="45"/>
        <v>-5250000</v>
      </c>
      <c r="AX80" s="173"/>
      <c r="AY80" s="173"/>
      <c r="AZ80" s="173"/>
      <c r="BA80" s="173"/>
      <c r="BB80" s="173">
        <f t="shared" si="46"/>
        <v>-5250000</v>
      </c>
      <c r="BC80" s="4">
        <f t="shared" si="47"/>
        <v>0</v>
      </c>
      <c r="BD80" s="4">
        <v>-5250000</v>
      </c>
      <c r="BE80" s="4"/>
      <c r="BF80" s="4"/>
      <c r="BG80" s="10"/>
      <c r="BH80" s="4">
        <f t="shared" si="49"/>
        <v>-5250000</v>
      </c>
      <c r="BI80" s="40"/>
      <c r="BJ80" s="4">
        <f t="shared" si="50"/>
        <v>-5250000</v>
      </c>
      <c r="BK80" s="472">
        <f t="shared" si="51"/>
        <v>0</v>
      </c>
      <c r="BL80" s="4">
        <f t="shared" si="48"/>
        <v>-5250000</v>
      </c>
      <c r="BM80" s="4"/>
      <c r="BN80" s="4"/>
      <c r="BO80" s="4"/>
      <c r="BP80" s="4"/>
    </row>
    <row r="81" spans="1:68" ht="30" customHeight="1">
      <c r="A81" s="172">
        <v>76</v>
      </c>
      <c r="B81" s="31">
        <v>2101</v>
      </c>
      <c r="C81" s="172" t="s">
        <v>1119</v>
      </c>
      <c r="D81" s="173">
        <v>9850000</v>
      </c>
      <c r="E81" s="173">
        <v>9850000</v>
      </c>
      <c r="F81" s="173">
        <f t="shared" si="53"/>
        <v>0</v>
      </c>
      <c r="G81" s="173">
        <v>0</v>
      </c>
      <c r="H81" s="173">
        <v>0</v>
      </c>
      <c r="I81" s="173"/>
      <c r="J81" s="173"/>
      <c r="K81" s="173">
        <f t="shared" si="32"/>
        <v>0</v>
      </c>
      <c r="L81" s="173">
        <f t="shared" si="35"/>
        <v>0</v>
      </c>
      <c r="M81" s="173">
        <f t="shared" si="33"/>
        <v>0</v>
      </c>
      <c r="N81" s="173">
        <v>1500000</v>
      </c>
      <c r="O81" s="173">
        <f t="shared" si="55"/>
        <v>1500000</v>
      </c>
      <c r="P81" s="173">
        <f t="shared" si="28"/>
        <v>8350000</v>
      </c>
      <c r="Q81" s="173">
        <f t="shared" si="36"/>
        <v>0</v>
      </c>
      <c r="R81" s="173"/>
      <c r="S81" s="173"/>
      <c r="T81" s="173">
        <f t="shared" si="54"/>
        <v>0</v>
      </c>
      <c r="U81" s="173"/>
      <c r="V81" s="173">
        <f t="shared" si="38"/>
        <v>1500000</v>
      </c>
      <c r="W81" s="173">
        <f t="shared" si="39"/>
        <v>1500000</v>
      </c>
      <c r="X81" s="173"/>
      <c r="Y81" s="173"/>
      <c r="Z81" s="173"/>
      <c r="AA81" s="172"/>
      <c r="AB81" s="326" t="s">
        <v>878</v>
      </c>
      <c r="AC81" s="172">
        <v>840000</v>
      </c>
      <c r="AD81" s="292"/>
      <c r="AE81" s="292"/>
      <c r="AF81" s="173"/>
      <c r="AG81" s="173"/>
      <c r="AH81" s="173">
        <f t="shared" si="30"/>
        <v>0</v>
      </c>
      <c r="AI81" s="173">
        <f t="shared" si="40"/>
        <v>1500000</v>
      </c>
      <c r="AJ81" s="173">
        <f t="shared" si="41"/>
        <v>1500000</v>
      </c>
      <c r="AK81" s="522"/>
      <c r="AL81" s="292"/>
      <c r="AM81" s="292"/>
      <c r="AN81" s="173"/>
      <c r="AO81" s="4">
        <f>AI81</f>
        <v>1500000</v>
      </c>
      <c r="AP81" s="3"/>
      <c r="AQ81" s="172"/>
      <c r="AR81" s="518">
        <f t="shared" si="52"/>
        <v>1500000</v>
      </c>
      <c r="AS81" s="173">
        <f t="shared" si="42"/>
        <v>0</v>
      </c>
      <c r="AT81" s="173">
        <f t="shared" si="56"/>
        <v>1500000</v>
      </c>
      <c r="AU81" s="173">
        <f t="shared" si="43"/>
        <v>8350000</v>
      </c>
      <c r="AV81" s="173">
        <f t="shared" si="44"/>
        <v>1500000</v>
      </c>
      <c r="AW81" s="173">
        <f t="shared" si="45"/>
        <v>1500000</v>
      </c>
      <c r="AX81" s="173"/>
      <c r="AY81" s="173"/>
      <c r="AZ81" s="173"/>
      <c r="BA81" s="173"/>
      <c r="BB81" s="173">
        <f t="shared" si="46"/>
        <v>0</v>
      </c>
      <c r="BC81" s="4">
        <f t="shared" si="47"/>
        <v>1500000</v>
      </c>
      <c r="BD81" s="4">
        <v>1500000</v>
      </c>
      <c r="BE81" s="4"/>
      <c r="BF81" s="4"/>
      <c r="BG81" s="10"/>
      <c r="BH81" s="4">
        <f t="shared" si="49"/>
        <v>1500000</v>
      </c>
      <c r="BI81" s="40"/>
      <c r="BJ81" s="4">
        <f t="shared" si="50"/>
        <v>1500000</v>
      </c>
      <c r="BK81" s="472">
        <f t="shared" si="51"/>
        <v>0</v>
      </c>
      <c r="BL81" s="4">
        <f t="shared" si="48"/>
        <v>1500000</v>
      </c>
      <c r="BM81" s="4"/>
      <c r="BN81" s="4"/>
      <c r="BO81" s="4"/>
      <c r="BP81" s="4"/>
    </row>
    <row r="82" spans="1:68" ht="30" customHeight="1">
      <c r="A82" s="172">
        <v>77</v>
      </c>
      <c r="B82" s="31">
        <v>2102</v>
      </c>
      <c r="C82" s="172" t="s">
        <v>392</v>
      </c>
      <c r="D82" s="173">
        <v>1750000</v>
      </c>
      <c r="E82" s="173">
        <v>1750000</v>
      </c>
      <c r="F82" s="173">
        <f t="shared" si="53"/>
        <v>0</v>
      </c>
      <c r="G82" s="173">
        <v>1750000</v>
      </c>
      <c r="H82" s="173">
        <v>45000</v>
      </c>
      <c r="I82" s="173"/>
      <c r="J82" s="173">
        <v>97409.27</v>
      </c>
      <c r="K82" s="173">
        <f t="shared" si="32"/>
        <v>97409.27</v>
      </c>
      <c r="L82" s="173">
        <f t="shared" si="35"/>
        <v>142409.27000000002</v>
      </c>
      <c r="M82" s="173">
        <f t="shared" si="33"/>
        <v>1607590.73</v>
      </c>
      <c r="N82" s="173"/>
      <c r="O82" s="173">
        <f t="shared" si="55"/>
        <v>0</v>
      </c>
      <c r="P82" s="173">
        <f t="shared" si="28"/>
        <v>0</v>
      </c>
      <c r="Q82" s="173">
        <f t="shared" si="36"/>
        <v>1607590.73</v>
      </c>
      <c r="R82" s="173"/>
      <c r="S82" s="173"/>
      <c r="T82" s="173">
        <f t="shared" si="54"/>
        <v>0</v>
      </c>
      <c r="U82" s="173"/>
      <c r="V82" s="173">
        <f t="shared" si="38"/>
        <v>0</v>
      </c>
      <c r="W82" s="173">
        <f t="shared" si="39"/>
        <v>0</v>
      </c>
      <c r="X82" s="173"/>
      <c r="Y82" s="173"/>
      <c r="Z82" s="173"/>
      <c r="AA82" s="172"/>
      <c r="AB82" s="297" t="s">
        <v>596</v>
      </c>
      <c r="AC82" s="172">
        <v>820000</v>
      </c>
      <c r="AD82" s="292"/>
      <c r="AE82" s="292"/>
      <c r="AF82" s="292"/>
      <c r="AG82" s="292"/>
      <c r="AH82" s="173">
        <f t="shared" si="30"/>
        <v>0</v>
      </c>
      <c r="AI82" s="173">
        <f t="shared" si="40"/>
        <v>0</v>
      </c>
      <c r="AJ82" s="173">
        <f t="shared" si="41"/>
        <v>0</v>
      </c>
      <c r="AK82" s="522"/>
      <c r="AL82" s="292"/>
      <c r="AM82" s="292"/>
      <c r="AN82" s="173"/>
      <c r="AO82" s="3"/>
      <c r="AP82" s="3"/>
      <c r="AQ82" s="172"/>
      <c r="AR82" s="518">
        <f t="shared" si="52"/>
        <v>0</v>
      </c>
      <c r="AS82" s="173">
        <f>M82-1600000</f>
        <v>7590.7299999999814</v>
      </c>
      <c r="AT82" s="173">
        <f t="shared" si="56"/>
        <v>7590.7299999999814</v>
      </c>
      <c r="AU82" s="173">
        <f t="shared" si="43"/>
        <v>1600000</v>
      </c>
      <c r="AV82" s="173">
        <f t="shared" si="44"/>
        <v>-1600000</v>
      </c>
      <c r="AW82" s="173">
        <f t="shared" si="45"/>
        <v>-1600000</v>
      </c>
      <c r="AX82" s="173"/>
      <c r="AY82" s="173"/>
      <c r="AZ82" s="173"/>
      <c r="BA82" s="173"/>
      <c r="BB82" s="173">
        <f t="shared" si="46"/>
        <v>-1600000</v>
      </c>
      <c r="BC82" s="4">
        <f t="shared" si="47"/>
        <v>0</v>
      </c>
      <c r="BD82" s="4">
        <v>-1600000</v>
      </c>
      <c r="BE82" s="4"/>
      <c r="BF82" s="4"/>
      <c r="BG82" s="10"/>
      <c r="BH82" s="4">
        <f t="shared" si="49"/>
        <v>-1600000</v>
      </c>
      <c r="BI82" s="40"/>
      <c r="BJ82" s="4">
        <f t="shared" si="50"/>
        <v>-1600000</v>
      </c>
      <c r="BK82" s="472">
        <f t="shared" si="51"/>
        <v>0</v>
      </c>
      <c r="BL82" s="4">
        <f t="shared" si="48"/>
        <v>-1600000</v>
      </c>
      <c r="BM82" s="4"/>
      <c r="BN82" s="4"/>
      <c r="BO82" s="4"/>
      <c r="BP82" s="4"/>
    </row>
    <row r="83" spans="1:68" ht="30" customHeight="1">
      <c r="A83" s="172">
        <v>78</v>
      </c>
      <c r="B83" s="31">
        <v>2103</v>
      </c>
      <c r="C83" s="172" t="s">
        <v>459</v>
      </c>
      <c r="D83" s="173">
        <v>2500000</v>
      </c>
      <c r="E83" s="173">
        <v>2500000</v>
      </c>
      <c r="F83" s="173">
        <f t="shared" si="53"/>
        <v>0</v>
      </c>
      <c r="G83" s="173">
        <v>1000000</v>
      </c>
      <c r="H83" s="173">
        <v>0</v>
      </c>
      <c r="I83" s="173"/>
      <c r="J83" s="173">
        <v>327693.5</v>
      </c>
      <c r="K83" s="173">
        <f t="shared" si="32"/>
        <v>327693.5</v>
      </c>
      <c r="L83" s="173">
        <f t="shared" si="35"/>
        <v>327693.5</v>
      </c>
      <c r="M83" s="173">
        <f t="shared" si="33"/>
        <v>672306.5</v>
      </c>
      <c r="N83" s="173">
        <f>1850000-350000-1000000</f>
        <v>500000</v>
      </c>
      <c r="O83" s="173">
        <f t="shared" si="55"/>
        <v>500000</v>
      </c>
      <c r="P83" s="173">
        <f t="shared" si="28"/>
        <v>1000000</v>
      </c>
      <c r="Q83" s="173">
        <f t="shared" si="36"/>
        <v>672306.5</v>
      </c>
      <c r="R83" s="173"/>
      <c r="S83" s="173"/>
      <c r="T83" s="173">
        <f t="shared" si="54"/>
        <v>0</v>
      </c>
      <c r="U83" s="173"/>
      <c r="V83" s="173">
        <f t="shared" si="38"/>
        <v>500000</v>
      </c>
      <c r="W83" s="173"/>
      <c r="X83" s="173">
        <f>V83-W83</f>
        <v>500000</v>
      </c>
      <c r="Y83" s="173"/>
      <c r="Z83" s="173"/>
      <c r="AA83" s="172"/>
      <c r="AB83" s="297" t="s">
        <v>597</v>
      </c>
      <c r="AC83" s="172">
        <v>848000</v>
      </c>
      <c r="AD83" s="292"/>
      <c r="AE83" s="292"/>
      <c r="AF83" s="292"/>
      <c r="AG83" s="292"/>
      <c r="AH83" s="173">
        <f t="shared" si="30"/>
        <v>0</v>
      </c>
      <c r="AI83" s="173">
        <f t="shared" si="40"/>
        <v>500000</v>
      </c>
      <c r="AJ83" s="173"/>
      <c r="AK83" s="173">
        <f>AI83</f>
        <v>500000</v>
      </c>
      <c r="AL83" s="292"/>
      <c r="AM83" s="292"/>
      <c r="AN83" s="173"/>
      <c r="AO83" s="3"/>
      <c r="AP83" s="4">
        <f>M83</f>
        <v>672306.5</v>
      </c>
      <c r="AQ83" s="172"/>
      <c r="AR83" s="518">
        <f t="shared" si="52"/>
        <v>0</v>
      </c>
      <c r="AS83" s="173">
        <f t="shared" si="42"/>
        <v>672306.5</v>
      </c>
      <c r="AT83" s="173">
        <f t="shared" si="56"/>
        <v>672306.5</v>
      </c>
      <c r="AU83" s="173">
        <f t="shared" si="43"/>
        <v>1500000</v>
      </c>
      <c r="AV83" s="173">
        <f t="shared" si="44"/>
        <v>0</v>
      </c>
      <c r="AW83" s="173">
        <f t="shared" si="45"/>
        <v>0</v>
      </c>
      <c r="AX83" s="173"/>
      <c r="AY83" s="173"/>
      <c r="AZ83" s="173"/>
      <c r="BA83" s="173"/>
      <c r="BB83" s="173">
        <f t="shared" si="46"/>
        <v>0</v>
      </c>
      <c r="BC83" s="4">
        <f t="shared" si="47"/>
        <v>0</v>
      </c>
      <c r="BD83" s="4"/>
      <c r="BE83" s="4"/>
      <c r="BF83" s="4"/>
      <c r="BG83" s="10"/>
      <c r="BH83" s="4">
        <f t="shared" si="49"/>
        <v>0</v>
      </c>
      <c r="BI83" s="40"/>
      <c r="BJ83" s="4">
        <f t="shared" si="50"/>
        <v>0</v>
      </c>
      <c r="BK83" s="472">
        <f t="shared" si="51"/>
        <v>0</v>
      </c>
      <c r="BL83" s="4">
        <f t="shared" si="48"/>
        <v>0</v>
      </c>
      <c r="BM83" s="4"/>
      <c r="BN83" s="4"/>
      <c r="BO83" s="4"/>
      <c r="BP83" s="4"/>
    </row>
    <row r="84" spans="1:68" s="5" customFormat="1" ht="30" customHeight="1">
      <c r="A84" s="172">
        <v>79</v>
      </c>
      <c r="B84" s="31">
        <v>2104</v>
      </c>
      <c r="C84" s="3" t="s">
        <v>362</v>
      </c>
      <c r="D84" s="4">
        <v>3500000</v>
      </c>
      <c r="E84" s="4">
        <v>3500000</v>
      </c>
      <c r="F84" s="4">
        <f t="shared" si="53"/>
        <v>0</v>
      </c>
      <c r="G84" s="4">
        <v>0</v>
      </c>
      <c r="H84" s="4">
        <v>0</v>
      </c>
      <c r="I84" s="4"/>
      <c r="J84" s="4"/>
      <c r="K84" s="173">
        <f t="shared" si="32"/>
        <v>0</v>
      </c>
      <c r="L84" s="173">
        <f t="shared" si="35"/>
        <v>0</v>
      </c>
      <c r="M84" s="173">
        <f t="shared" si="33"/>
        <v>0</v>
      </c>
      <c r="N84" s="4">
        <f>3500000-1000000</f>
        <v>2500000</v>
      </c>
      <c r="O84" s="173">
        <f t="shared" si="55"/>
        <v>2500000</v>
      </c>
      <c r="P84" s="173">
        <f t="shared" ref="P84:P104" si="57">D84-L84-M84-O84</f>
        <v>1000000</v>
      </c>
      <c r="Q84" s="173">
        <f t="shared" si="36"/>
        <v>0</v>
      </c>
      <c r="R84" s="4"/>
      <c r="S84" s="4"/>
      <c r="T84" s="4">
        <f t="shared" ref="T84:T92" si="58">SUM(R84:S84)</f>
        <v>0</v>
      </c>
      <c r="U84" s="4">
        <f t="shared" ref="U84:U96" si="59">Q84-M84+T84</f>
        <v>0</v>
      </c>
      <c r="V84" s="4">
        <f t="shared" si="38"/>
        <v>2500000</v>
      </c>
      <c r="W84" s="4">
        <f t="shared" ref="W84:W107" si="60">V84-AA84-X84-Z84</f>
        <v>2500000</v>
      </c>
      <c r="X84" s="4"/>
      <c r="Y84" s="4"/>
      <c r="Z84" s="4"/>
      <c r="AA84" s="3"/>
      <c r="AB84" s="3" t="s">
        <v>610</v>
      </c>
      <c r="AC84" s="3">
        <v>742000</v>
      </c>
      <c r="AD84" s="292"/>
      <c r="AE84" s="292"/>
      <c r="AF84" s="292"/>
      <c r="AG84" s="292"/>
      <c r="AH84" s="173">
        <f t="shared" si="30"/>
        <v>0</v>
      </c>
      <c r="AI84" s="173">
        <f t="shared" si="40"/>
        <v>2500000</v>
      </c>
      <c r="AJ84" s="173">
        <f t="shared" si="41"/>
        <v>2500000</v>
      </c>
      <c r="AK84" s="3"/>
      <c r="AL84" s="3"/>
      <c r="AM84" s="3"/>
      <c r="AN84" s="3"/>
      <c r="AO84" s="4"/>
      <c r="AP84" s="3"/>
      <c r="AQ84" s="172"/>
      <c r="AR84" s="518">
        <f t="shared" si="52"/>
        <v>0</v>
      </c>
      <c r="AS84" s="173">
        <f t="shared" si="42"/>
        <v>0</v>
      </c>
      <c r="AT84" s="173">
        <f t="shared" si="56"/>
        <v>0</v>
      </c>
      <c r="AU84" s="173">
        <f t="shared" si="43"/>
        <v>3500000</v>
      </c>
      <c r="AV84" s="173">
        <f t="shared" si="44"/>
        <v>0</v>
      </c>
      <c r="AW84" s="173">
        <f t="shared" si="45"/>
        <v>0</v>
      </c>
      <c r="AX84" s="173"/>
      <c r="AY84" s="173"/>
      <c r="AZ84" s="173"/>
      <c r="BA84" s="173"/>
      <c r="BB84" s="173">
        <f t="shared" si="46"/>
        <v>0</v>
      </c>
      <c r="BC84" s="4">
        <f t="shared" si="47"/>
        <v>0</v>
      </c>
      <c r="BD84" s="4"/>
      <c r="BE84" s="4"/>
      <c r="BF84" s="4"/>
      <c r="BG84" s="10"/>
      <c r="BH84" s="4">
        <f t="shared" si="49"/>
        <v>0</v>
      </c>
      <c r="BI84" s="40"/>
      <c r="BJ84" s="4">
        <f t="shared" si="50"/>
        <v>0</v>
      </c>
      <c r="BK84" s="472">
        <f t="shared" si="51"/>
        <v>0</v>
      </c>
      <c r="BL84" s="4">
        <f t="shared" si="48"/>
        <v>0</v>
      </c>
      <c r="BM84" s="4"/>
      <c r="BN84" s="4"/>
      <c r="BO84" s="4"/>
      <c r="BP84" s="4"/>
    </row>
    <row r="85" spans="1:68" s="6" customFormat="1" ht="30" customHeight="1">
      <c r="A85" s="172">
        <v>80</v>
      </c>
      <c r="B85" s="31">
        <v>2106</v>
      </c>
      <c r="C85" s="3" t="s">
        <v>606</v>
      </c>
      <c r="D85" s="4">
        <v>15000000</v>
      </c>
      <c r="E85" s="4">
        <v>15000000</v>
      </c>
      <c r="F85" s="4">
        <f t="shared" si="53"/>
        <v>0</v>
      </c>
      <c r="G85" s="4">
        <v>0</v>
      </c>
      <c r="H85" s="4">
        <v>0</v>
      </c>
      <c r="I85" s="4"/>
      <c r="J85" s="4"/>
      <c r="K85" s="173">
        <f t="shared" si="32"/>
        <v>0</v>
      </c>
      <c r="L85" s="173">
        <f t="shared" si="35"/>
        <v>0</v>
      </c>
      <c r="M85" s="173">
        <f t="shared" si="33"/>
        <v>0</v>
      </c>
      <c r="N85" s="4">
        <v>4000000</v>
      </c>
      <c r="O85" s="173">
        <f t="shared" si="55"/>
        <v>4000000</v>
      </c>
      <c r="P85" s="173">
        <f t="shared" si="57"/>
        <v>11000000</v>
      </c>
      <c r="Q85" s="173">
        <f t="shared" si="36"/>
        <v>0</v>
      </c>
      <c r="R85" s="4"/>
      <c r="S85" s="4"/>
      <c r="T85" s="4">
        <f t="shared" si="58"/>
        <v>0</v>
      </c>
      <c r="U85" s="4">
        <f t="shared" si="59"/>
        <v>0</v>
      </c>
      <c r="V85" s="4">
        <f t="shared" si="38"/>
        <v>4000000</v>
      </c>
      <c r="W85" s="4">
        <f t="shared" si="60"/>
        <v>4000000</v>
      </c>
      <c r="X85" s="4"/>
      <c r="Y85" s="4"/>
      <c r="Z85" s="4"/>
      <c r="AA85" s="3"/>
      <c r="AB85" s="3" t="s">
        <v>826</v>
      </c>
      <c r="AC85" s="3">
        <v>742000</v>
      </c>
      <c r="AD85" s="292"/>
      <c r="AE85" s="292"/>
      <c r="AF85" s="292"/>
      <c r="AG85" s="292"/>
      <c r="AH85" s="173">
        <f t="shared" si="30"/>
        <v>0</v>
      </c>
      <c r="AI85" s="173">
        <f t="shared" si="40"/>
        <v>4000000</v>
      </c>
      <c r="AJ85" s="173">
        <f t="shared" si="41"/>
        <v>4000000</v>
      </c>
      <c r="AK85" s="7"/>
      <c r="AL85" s="7"/>
      <c r="AM85" s="7"/>
      <c r="AN85" s="7"/>
      <c r="AO85" s="314">
        <f>AI85</f>
        <v>4000000</v>
      </c>
      <c r="AP85" s="3"/>
      <c r="AQ85" s="172" t="s">
        <v>1120</v>
      </c>
      <c r="AR85" s="518">
        <f t="shared" si="52"/>
        <v>4000000</v>
      </c>
      <c r="AS85" s="173">
        <f t="shared" si="42"/>
        <v>0</v>
      </c>
      <c r="AT85" s="173">
        <f t="shared" si="56"/>
        <v>4000000</v>
      </c>
      <c r="AU85" s="173">
        <f t="shared" si="43"/>
        <v>11000000</v>
      </c>
      <c r="AV85" s="173">
        <f t="shared" si="44"/>
        <v>4000000</v>
      </c>
      <c r="AW85" s="173">
        <f t="shared" si="45"/>
        <v>4000000</v>
      </c>
      <c r="AX85" s="173"/>
      <c r="AY85" s="173"/>
      <c r="AZ85" s="173"/>
      <c r="BA85" s="173"/>
      <c r="BB85" s="173">
        <f t="shared" si="46"/>
        <v>0</v>
      </c>
      <c r="BC85" s="4">
        <f t="shared" si="47"/>
        <v>4000000</v>
      </c>
      <c r="BD85" s="4">
        <v>4000000</v>
      </c>
      <c r="BE85" s="4"/>
      <c r="BF85" s="4"/>
      <c r="BG85" s="10"/>
      <c r="BH85" s="4">
        <f t="shared" si="49"/>
        <v>4000000</v>
      </c>
      <c r="BI85" s="40"/>
      <c r="BJ85" s="4">
        <f t="shared" si="50"/>
        <v>4000000</v>
      </c>
      <c r="BK85" s="472">
        <f t="shared" si="51"/>
        <v>0</v>
      </c>
      <c r="BL85" s="4">
        <f t="shared" si="48"/>
        <v>4000000</v>
      </c>
      <c r="BM85" s="4"/>
      <c r="BN85" s="4"/>
      <c r="BO85" s="4"/>
      <c r="BP85" s="4"/>
    </row>
    <row r="86" spans="1:68" s="6" customFormat="1" ht="30" customHeight="1">
      <c r="A86" s="172">
        <v>81</v>
      </c>
      <c r="B86" s="31">
        <v>2108</v>
      </c>
      <c r="C86" s="3" t="s">
        <v>1603</v>
      </c>
      <c r="D86" s="4">
        <v>14100000</v>
      </c>
      <c r="E86" s="4">
        <v>14100000</v>
      </c>
      <c r="F86" s="4">
        <f t="shared" si="53"/>
        <v>0</v>
      </c>
      <c r="G86" s="4">
        <v>0</v>
      </c>
      <c r="H86" s="4">
        <v>0</v>
      </c>
      <c r="I86" s="4"/>
      <c r="J86" s="4"/>
      <c r="K86" s="4">
        <v>0</v>
      </c>
      <c r="L86" s="4">
        <f>H86+K86</f>
        <v>0</v>
      </c>
      <c r="M86" s="4">
        <f t="shared" si="33"/>
        <v>0</v>
      </c>
      <c r="N86" s="4">
        <v>1200000</v>
      </c>
      <c r="O86" s="173">
        <f t="shared" si="55"/>
        <v>1200000</v>
      </c>
      <c r="P86" s="173">
        <f t="shared" si="57"/>
        <v>12900000</v>
      </c>
      <c r="Q86" s="173">
        <f t="shared" si="36"/>
        <v>0</v>
      </c>
      <c r="R86" s="4"/>
      <c r="S86" s="4"/>
      <c r="T86" s="4">
        <f t="shared" si="58"/>
        <v>0</v>
      </c>
      <c r="U86" s="4">
        <f t="shared" si="59"/>
        <v>0</v>
      </c>
      <c r="V86" s="4">
        <v>1200000</v>
      </c>
      <c r="W86" s="4">
        <f t="shared" si="60"/>
        <v>1200000</v>
      </c>
      <c r="X86" s="4"/>
      <c r="Y86" s="4"/>
      <c r="Z86" s="4"/>
      <c r="AA86" s="3"/>
      <c r="AB86" s="280" t="s">
        <v>820</v>
      </c>
      <c r="AC86" s="3">
        <v>746000</v>
      </c>
      <c r="AD86" s="210"/>
      <c r="AE86" s="4"/>
      <c r="AF86" s="4"/>
      <c r="AG86" s="4"/>
      <c r="AH86" s="173">
        <f t="shared" si="30"/>
        <v>0</v>
      </c>
      <c r="AI86" s="173">
        <f t="shared" si="40"/>
        <v>1200000</v>
      </c>
      <c r="AJ86" s="173">
        <f t="shared" si="41"/>
        <v>1200000</v>
      </c>
      <c r="AK86" s="7"/>
      <c r="AL86" s="7"/>
      <c r="AM86" s="7"/>
      <c r="AN86" s="7"/>
      <c r="AO86" s="314">
        <f>AI86</f>
        <v>1200000</v>
      </c>
      <c r="AP86" s="3"/>
      <c r="AQ86" s="172"/>
      <c r="AR86" s="518">
        <f t="shared" si="52"/>
        <v>1200000</v>
      </c>
      <c r="AS86" s="173">
        <f t="shared" si="42"/>
        <v>0</v>
      </c>
      <c r="AT86" s="173">
        <f t="shared" si="56"/>
        <v>1200000</v>
      </c>
      <c r="AU86" s="173">
        <f t="shared" si="43"/>
        <v>12900000</v>
      </c>
      <c r="AV86" s="173">
        <f t="shared" si="44"/>
        <v>1200000</v>
      </c>
      <c r="AW86" s="173">
        <f t="shared" si="45"/>
        <v>1200000</v>
      </c>
      <c r="AX86" s="173"/>
      <c r="AY86" s="173"/>
      <c r="AZ86" s="173"/>
      <c r="BA86" s="173"/>
      <c r="BB86" s="173">
        <f t="shared" si="46"/>
        <v>0</v>
      </c>
      <c r="BC86" s="4">
        <f t="shared" si="47"/>
        <v>1200000</v>
      </c>
      <c r="BD86" s="4">
        <v>1200000</v>
      </c>
      <c r="BE86" s="4"/>
      <c r="BF86" s="4"/>
      <c r="BG86" s="10"/>
      <c r="BH86" s="4">
        <f t="shared" si="49"/>
        <v>1200000</v>
      </c>
      <c r="BI86" s="40"/>
      <c r="BJ86" s="4">
        <f t="shared" si="50"/>
        <v>1200000</v>
      </c>
      <c r="BK86" s="472">
        <f t="shared" si="51"/>
        <v>0</v>
      </c>
      <c r="BL86" s="4">
        <f t="shared" si="48"/>
        <v>1200000</v>
      </c>
      <c r="BM86" s="4"/>
      <c r="BN86" s="4"/>
      <c r="BO86" s="4"/>
      <c r="BP86" s="4"/>
    </row>
    <row r="87" spans="1:68" s="5" customFormat="1" ht="30" customHeight="1">
      <c r="A87" s="172">
        <v>82</v>
      </c>
      <c r="B87" s="31">
        <v>2109</v>
      </c>
      <c r="C87" s="3" t="s">
        <v>364</v>
      </c>
      <c r="D87" s="4">
        <v>2000000</v>
      </c>
      <c r="E87" s="4">
        <v>2000000</v>
      </c>
      <c r="F87" s="4">
        <f t="shared" si="53"/>
        <v>0</v>
      </c>
      <c r="G87" s="4">
        <v>0</v>
      </c>
      <c r="H87" s="4">
        <v>0</v>
      </c>
      <c r="I87" s="4"/>
      <c r="J87" s="4"/>
      <c r="K87" s="4">
        <v>0</v>
      </c>
      <c r="L87" s="4">
        <f>H87+K87</f>
        <v>0</v>
      </c>
      <c r="M87" s="4">
        <f t="shared" si="33"/>
        <v>0</v>
      </c>
      <c r="N87" s="4"/>
      <c r="O87" s="173">
        <f t="shared" si="55"/>
        <v>0</v>
      </c>
      <c r="P87" s="173">
        <f t="shared" si="57"/>
        <v>2000000</v>
      </c>
      <c r="Q87" s="173">
        <f t="shared" si="36"/>
        <v>0</v>
      </c>
      <c r="R87" s="4"/>
      <c r="S87" s="4"/>
      <c r="T87" s="4">
        <f t="shared" si="58"/>
        <v>0</v>
      </c>
      <c r="U87" s="4">
        <f t="shared" si="59"/>
        <v>0</v>
      </c>
      <c r="V87" s="4">
        <f t="shared" si="38"/>
        <v>0</v>
      </c>
      <c r="W87" s="4">
        <f t="shared" si="60"/>
        <v>0</v>
      </c>
      <c r="X87" s="4"/>
      <c r="Y87" s="4"/>
      <c r="Z87" s="4"/>
      <c r="AA87" s="3"/>
      <c r="AB87" s="3" t="s">
        <v>821</v>
      </c>
      <c r="AC87" s="3">
        <v>742000</v>
      </c>
      <c r="AD87" s="210"/>
      <c r="AE87" s="4"/>
      <c r="AF87" s="4"/>
      <c r="AG87" s="4"/>
      <c r="AH87" s="173">
        <f t="shared" si="30"/>
        <v>0</v>
      </c>
      <c r="AI87" s="173">
        <f t="shared" si="40"/>
        <v>0</v>
      </c>
      <c r="AJ87" s="173">
        <f t="shared" si="41"/>
        <v>0</v>
      </c>
      <c r="AK87" s="3"/>
      <c r="AL87" s="3"/>
      <c r="AM87" s="3"/>
      <c r="AN87" s="3"/>
      <c r="AO87" s="278"/>
      <c r="AP87" s="3"/>
      <c r="AQ87" s="3"/>
      <c r="AR87" s="518">
        <f t="shared" si="52"/>
        <v>0</v>
      </c>
      <c r="AS87" s="173">
        <f t="shared" si="42"/>
        <v>0</v>
      </c>
      <c r="AT87" s="173">
        <f t="shared" si="56"/>
        <v>0</v>
      </c>
      <c r="AU87" s="173">
        <f t="shared" si="43"/>
        <v>2000000</v>
      </c>
      <c r="AV87" s="173">
        <f t="shared" si="44"/>
        <v>0</v>
      </c>
      <c r="AW87" s="173">
        <f t="shared" si="45"/>
        <v>0</v>
      </c>
      <c r="AX87" s="173"/>
      <c r="AY87" s="173"/>
      <c r="AZ87" s="173"/>
      <c r="BA87" s="173"/>
      <c r="BB87" s="173">
        <f t="shared" si="46"/>
        <v>0</v>
      </c>
      <c r="BC87" s="4">
        <f t="shared" si="47"/>
        <v>0</v>
      </c>
      <c r="BD87" s="4"/>
      <c r="BE87" s="4"/>
      <c r="BF87" s="4"/>
      <c r="BG87" s="10"/>
      <c r="BH87" s="4">
        <f t="shared" si="49"/>
        <v>0</v>
      </c>
      <c r="BI87" s="40"/>
      <c r="BJ87" s="4">
        <f t="shared" si="50"/>
        <v>0</v>
      </c>
      <c r="BK87" s="472">
        <f t="shared" si="51"/>
        <v>0</v>
      </c>
      <c r="BL87" s="4">
        <f t="shared" si="48"/>
        <v>0</v>
      </c>
      <c r="BM87" s="4"/>
      <c r="BN87" s="4"/>
      <c r="BO87" s="4"/>
      <c r="BP87" s="4"/>
    </row>
    <row r="88" spans="1:68" s="5" customFormat="1" ht="30" customHeight="1">
      <c r="A88" s="172">
        <v>83</v>
      </c>
      <c r="B88" s="31">
        <v>2110</v>
      </c>
      <c r="C88" s="3" t="s">
        <v>365</v>
      </c>
      <c r="D88" s="4">
        <v>16000000</v>
      </c>
      <c r="E88" s="4">
        <v>16000000</v>
      </c>
      <c r="F88" s="4">
        <f t="shared" si="53"/>
        <v>0</v>
      </c>
      <c r="G88" s="4">
        <v>0</v>
      </c>
      <c r="H88" s="4">
        <v>0</v>
      </c>
      <c r="I88" s="4"/>
      <c r="J88" s="4"/>
      <c r="K88" s="173">
        <f t="shared" si="32"/>
        <v>0</v>
      </c>
      <c r="L88" s="173">
        <f t="shared" si="35"/>
        <v>0</v>
      </c>
      <c r="M88" s="173">
        <f t="shared" si="33"/>
        <v>0</v>
      </c>
      <c r="N88" s="4"/>
      <c r="O88" s="173">
        <f t="shared" si="55"/>
        <v>0</v>
      </c>
      <c r="P88" s="173">
        <f t="shared" si="57"/>
        <v>16000000</v>
      </c>
      <c r="Q88" s="173">
        <f t="shared" si="36"/>
        <v>0</v>
      </c>
      <c r="R88" s="4"/>
      <c r="S88" s="4"/>
      <c r="T88" s="4">
        <f t="shared" si="58"/>
        <v>0</v>
      </c>
      <c r="U88" s="4">
        <f t="shared" si="59"/>
        <v>0</v>
      </c>
      <c r="V88" s="4">
        <f t="shared" si="38"/>
        <v>0</v>
      </c>
      <c r="W88" s="4">
        <f t="shared" si="60"/>
        <v>0</v>
      </c>
      <c r="X88" s="4"/>
      <c r="Y88" s="4"/>
      <c r="Z88" s="4"/>
      <c r="AA88" s="3"/>
      <c r="AB88" s="3" t="s">
        <v>613</v>
      </c>
      <c r="AC88" s="3">
        <v>742000</v>
      </c>
      <c r="AD88" s="292"/>
      <c r="AE88" s="292"/>
      <c r="AF88" s="292"/>
      <c r="AG88" s="292"/>
      <c r="AH88" s="173">
        <f t="shared" si="30"/>
        <v>0</v>
      </c>
      <c r="AI88" s="173">
        <f t="shared" si="40"/>
        <v>0</v>
      </c>
      <c r="AJ88" s="173">
        <f t="shared" si="41"/>
        <v>0</v>
      </c>
      <c r="AK88" s="3"/>
      <c r="AL88" s="3"/>
      <c r="AM88" s="3"/>
      <c r="AN88" s="3"/>
      <c r="AO88" s="278"/>
      <c r="AP88" s="3"/>
      <c r="AQ88" s="7"/>
      <c r="AR88" s="518">
        <f t="shared" si="52"/>
        <v>0</v>
      </c>
      <c r="AS88" s="173">
        <f t="shared" si="42"/>
        <v>0</v>
      </c>
      <c r="AT88" s="173">
        <f t="shared" si="56"/>
        <v>0</v>
      </c>
      <c r="AU88" s="173">
        <f t="shared" si="43"/>
        <v>16000000</v>
      </c>
      <c r="AV88" s="173">
        <f t="shared" si="44"/>
        <v>0</v>
      </c>
      <c r="AW88" s="173">
        <f t="shared" si="45"/>
        <v>0</v>
      </c>
      <c r="AX88" s="173"/>
      <c r="AY88" s="173"/>
      <c r="AZ88" s="173"/>
      <c r="BA88" s="173"/>
      <c r="BB88" s="173">
        <f t="shared" si="46"/>
        <v>0</v>
      </c>
      <c r="BC88" s="4">
        <f t="shared" si="47"/>
        <v>0</v>
      </c>
      <c r="BD88" s="4"/>
      <c r="BE88" s="4"/>
      <c r="BF88" s="4"/>
      <c r="BG88" s="10"/>
      <c r="BH88" s="4">
        <f t="shared" si="49"/>
        <v>0</v>
      </c>
      <c r="BI88" s="40"/>
      <c r="BJ88" s="4">
        <f t="shared" si="50"/>
        <v>0</v>
      </c>
      <c r="BK88" s="472">
        <f t="shared" si="51"/>
        <v>0</v>
      </c>
      <c r="BL88" s="4">
        <f t="shared" si="48"/>
        <v>0</v>
      </c>
      <c r="BM88" s="4"/>
      <c r="BN88" s="4"/>
      <c r="BO88" s="4"/>
      <c r="BP88" s="4"/>
    </row>
    <row r="89" spans="1:68" s="5" customFormat="1" ht="30" customHeight="1">
      <c r="A89" s="172">
        <v>84</v>
      </c>
      <c r="B89" s="31">
        <v>2111</v>
      </c>
      <c r="C89" s="3" t="s">
        <v>366</v>
      </c>
      <c r="D89" s="4">
        <v>10240000</v>
      </c>
      <c r="E89" s="4">
        <v>10240000</v>
      </c>
      <c r="F89" s="4">
        <f t="shared" si="53"/>
        <v>0</v>
      </c>
      <c r="G89" s="4">
        <v>0</v>
      </c>
      <c r="H89" s="4">
        <v>0</v>
      </c>
      <c r="I89" s="4"/>
      <c r="J89" s="4"/>
      <c r="K89" s="4">
        <v>0</v>
      </c>
      <c r="L89" s="4">
        <f>H89+K89</f>
        <v>0</v>
      </c>
      <c r="M89" s="4">
        <f t="shared" si="33"/>
        <v>0</v>
      </c>
      <c r="N89" s="4"/>
      <c r="O89" s="173">
        <f t="shared" si="55"/>
        <v>0</v>
      </c>
      <c r="P89" s="173">
        <f t="shared" si="57"/>
        <v>10240000</v>
      </c>
      <c r="Q89" s="173">
        <f t="shared" si="36"/>
        <v>0</v>
      </c>
      <c r="R89" s="4"/>
      <c r="S89" s="4"/>
      <c r="T89" s="4">
        <f t="shared" si="58"/>
        <v>0</v>
      </c>
      <c r="U89" s="4">
        <f t="shared" si="59"/>
        <v>0</v>
      </c>
      <c r="V89" s="4">
        <f t="shared" si="38"/>
        <v>0</v>
      </c>
      <c r="W89" s="4">
        <f t="shared" si="60"/>
        <v>0</v>
      </c>
      <c r="X89" s="4"/>
      <c r="Y89" s="4"/>
      <c r="Z89" s="4"/>
      <c r="AA89" s="3"/>
      <c r="AB89" s="280" t="s">
        <v>822</v>
      </c>
      <c r="AC89" s="3">
        <v>742000</v>
      </c>
      <c r="AD89" s="210"/>
      <c r="AE89" s="4"/>
      <c r="AF89" s="4"/>
      <c r="AG89" s="4"/>
      <c r="AH89" s="173">
        <f t="shared" si="30"/>
        <v>0</v>
      </c>
      <c r="AI89" s="173">
        <f t="shared" si="40"/>
        <v>0</v>
      </c>
      <c r="AJ89" s="173">
        <f t="shared" si="41"/>
        <v>0</v>
      </c>
      <c r="AK89" s="3"/>
      <c r="AL89" s="3"/>
      <c r="AM89" s="3"/>
      <c r="AN89" s="3"/>
      <c r="AO89" s="3"/>
      <c r="AP89" s="3"/>
      <c r="AQ89" s="7"/>
      <c r="AR89" s="518">
        <f t="shared" si="52"/>
        <v>0</v>
      </c>
      <c r="AS89" s="173">
        <f t="shared" si="42"/>
        <v>0</v>
      </c>
      <c r="AT89" s="173">
        <f t="shared" si="56"/>
        <v>0</v>
      </c>
      <c r="AU89" s="173">
        <f t="shared" si="43"/>
        <v>10240000</v>
      </c>
      <c r="AV89" s="173">
        <f t="shared" si="44"/>
        <v>0</v>
      </c>
      <c r="AW89" s="173">
        <f t="shared" si="45"/>
        <v>0</v>
      </c>
      <c r="AX89" s="173"/>
      <c r="AY89" s="173"/>
      <c r="AZ89" s="173"/>
      <c r="BA89" s="173"/>
      <c r="BB89" s="173">
        <f t="shared" si="46"/>
        <v>0</v>
      </c>
      <c r="BC89" s="4">
        <f t="shared" si="47"/>
        <v>0</v>
      </c>
      <c r="BD89" s="4"/>
      <c r="BE89" s="4"/>
      <c r="BF89" s="4"/>
      <c r="BG89" s="10"/>
      <c r="BH89" s="4">
        <f t="shared" si="49"/>
        <v>0</v>
      </c>
      <c r="BI89" s="40"/>
      <c r="BJ89" s="4">
        <f t="shared" si="50"/>
        <v>0</v>
      </c>
      <c r="BK89" s="472">
        <f t="shared" si="51"/>
        <v>0</v>
      </c>
      <c r="BL89" s="4">
        <f t="shared" si="48"/>
        <v>0</v>
      </c>
      <c r="BM89" s="4"/>
      <c r="BN89" s="4"/>
      <c r="BO89" s="4"/>
      <c r="BP89" s="4"/>
    </row>
    <row r="90" spans="1:68" s="6" customFormat="1" ht="30" customHeight="1">
      <c r="A90" s="172">
        <v>85</v>
      </c>
      <c r="B90" s="31">
        <v>2115</v>
      </c>
      <c r="C90" s="3" t="s">
        <v>368</v>
      </c>
      <c r="D90" s="4">
        <v>3100000</v>
      </c>
      <c r="E90" s="4">
        <v>3100000</v>
      </c>
      <c r="F90" s="4">
        <f t="shared" si="53"/>
        <v>0</v>
      </c>
      <c r="G90" s="4">
        <v>500000</v>
      </c>
      <c r="H90" s="4">
        <v>38446</v>
      </c>
      <c r="I90" s="4"/>
      <c r="J90" s="4">
        <v>23563.8</v>
      </c>
      <c r="K90" s="173">
        <f>SUM(I90:J90)</f>
        <v>23563.8</v>
      </c>
      <c r="L90" s="173">
        <f>K90+H90</f>
        <v>62009.8</v>
      </c>
      <c r="M90" s="173">
        <f>Q90+T90</f>
        <v>437990.2</v>
      </c>
      <c r="N90" s="4">
        <f>2600000-1100000</f>
        <v>1500000</v>
      </c>
      <c r="O90" s="173">
        <f t="shared" si="55"/>
        <v>1500000</v>
      </c>
      <c r="P90" s="173">
        <f t="shared" si="57"/>
        <v>1100000</v>
      </c>
      <c r="Q90" s="173">
        <f t="shared" si="36"/>
        <v>437990.2</v>
      </c>
      <c r="R90" s="4"/>
      <c r="S90" s="4"/>
      <c r="T90" s="4">
        <f t="shared" si="58"/>
        <v>0</v>
      </c>
      <c r="U90" s="4">
        <f>Q90-M90+T90</f>
        <v>0</v>
      </c>
      <c r="V90" s="4">
        <f t="shared" si="38"/>
        <v>1500000</v>
      </c>
      <c r="W90" s="4">
        <f t="shared" si="60"/>
        <v>1500000</v>
      </c>
      <c r="X90" s="4"/>
      <c r="Y90" s="4"/>
      <c r="Z90" s="4"/>
      <c r="AA90" s="3"/>
      <c r="AB90" s="3" t="s">
        <v>533</v>
      </c>
      <c r="AC90" s="3">
        <v>732000</v>
      </c>
      <c r="AD90" s="292"/>
      <c r="AE90" s="292"/>
      <c r="AF90" s="292"/>
      <c r="AG90" s="292"/>
      <c r="AH90" s="173">
        <f t="shared" si="30"/>
        <v>0</v>
      </c>
      <c r="AI90" s="173">
        <f t="shared" si="40"/>
        <v>1500000</v>
      </c>
      <c r="AJ90" s="173">
        <f t="shared" si="41"/>
        <v>1500000</v>
      </c>
      <c r="AK90" s="7"/>
      <c r="AL90" s="7"/>
      <c r="AM90" s="7"/>
      <c r="AN90" s="7"/>
      <c r="AO90" s="314">
        <f>AI90</f>
        <v>1500000</v>
      </c>
      <c r="AP90" s="4">
        <f>M90</f>
        <v>437990.2</v>
      </c>
      <c r="AQ90" s="3"/>
      <c r="AR90" s="518">
        <f t="shared" si="52"/>
        <v>1500000</v>
      </c>
      <c r="AS90" s="173">
        <f t="shared" si="42"/>
        <v>437990.2</v>
      </c>
      <c r="AT90" s="173">
        <f t="shared" si="56"/>
        <v>1937990.2</v>
      </c>
      <c r="AU90" s="173">
        <f t="shared" si="43"/>
        <v>1100000.0000000002</v>
      </c>
      <c r="AV90" s="173">
        <f t="shared" si="44"/>
        <v>1500000</v>
      </c>
      <c r="AW90" s="173">
        <f t="shared" si="45"/>
        <v>1500000</v>
      </c>
      <c r="AX90" s="173"/>
      <c r="AY90" s="173"/>
      <c r="AZ90" s="173"/>
      <c r="BA90" s="173"/>
      <c r="BB90" s="173">
        <f t="shared" si="46"/>
        <v>0</v>
      </c>
      <c r="BC90" s="4">
        <f t="shared" si="47"/>
        <v>1500000</v>
      </c>
      <c r="BD90" s="4">
        <v>1500000</v>
      </c>
      <c r="BE90" s="4"/>
      <c r="BF90" s="4"/>
      <c r="BG90" s="10"/>
      <c r="BH90" s="4">
        <f t="shared" si="49"/>
        <v>1500000</v>
      </c>
      <c r="BI90" s="40"/>
      <c r="BJ90" s="4">
        <f t="shared" si="50"/>
        <v>1500000</v>
      </c>
      <c r="BK90" s="472">
        <f t="shared" si="51"/>
        <v>0</v>
      </c>
      <c r="BL90" s="4">
        <f t="shared" si="48"/>
        <v>1500000</v>
      </c>
      <c r="BM90" s="4"/>
      <c r="BN90" s="4"/>
      <c r="BO90" s="4"/>
      <c r="BP90" s="4"/>
    </row>
    <row r="91" spans="1:68" s="6" customFormat="1" ht="42">
      <c r="A91" s="172">
        <v>86</v>
      </c>
      <c r="B91" s="31">
        <v>2118</v>
      </c>
      <c r="C91" s="3" t="s">
        <v>371</v>
      </c>
      <c r="D91" s="4">
        <f>1800000+800000</f>
        <v>2600000</v>
      </c>
      <c r="E91" s="4">
        <v>1800000</v>
      </c>
      <c r="F91" s="4">
        <f t="shared" si="53"/>
        <v>800000</v>
      </c>
      <c r="G91" s="4">
        <v>100000</v>
      </c>
      <c r="H91" s="4">
        <v>0</v>
      </c>
      <c r="I91" s="4"/>
      <c r="J91" s="4"/>
      <c r="K91" s="4">
        <f>SUM(I91:J91)</f>
        <v>0</v>
      </c>
      <c r="L91" s="4">
        <f>H91+K91</f>
        <v>0</v>
      </c>
      <c r="M91" s="4">
        <f>Q91+T91</f>
        <v>100000</v>
      </c>
      <c r="N91" s="4">
        <v>1700000</v>
      </c>
      <c r="O91" s="173">
        <f t="shared" si="55"/>
        <v>1700000</v>
      </c>
      <c r="P91" s="173">
        <f t="shared" si="57"/>
        <v>800000</v>
      </c>
      <c r="Q91" s="173">
        <f t="shared" si="36"/>
        <v>100000</v>
      </c>
      <c r="R91" s="4"/>
      <c r="S91" s="4"/>
      <c r="T91" s="4">
        <f t="shared" si="58"/>
        <v>0</v>
      </c>
      <c r="U91" s="4">
        <f>Q91-M91+T91</f>
        <v>0</v>
      </c>
      <c r="V91" s="173">
        <f t="shared" si="38"/>
        <v>1700000</v>
      </c>
      <c r="W91" s="4">
        <f t="shared" si="60"/>
        <v>1700000</v>
      </c>
      <c r="X91" s="8"/>
      <c r="Y91" s="8"/>
      <c r="Z91" s="8"/>
      <c r="AA91" s="8"/>
      <c r="AB91" s="281" t="s">
        <v>823</v>
      </c>
      <c r="AC91" s="3">
        <v>746000</v>
      </c>
      <c r="AD91" s="292"/>
      <c r="AE91" s="292"/>
      <c r="AF91" s="292"/>
      <c r="AG91" s="292"/>
      <c r="AH91" s="173">
        <f t="shared" ref="AH91:AH107" si="61">SUM(AD91:AG91)</f>
        <v>0</v>
      </c>
      <c r="AI91" s="173">
        <f t="shared" si="40"/>
        <v>1700000</v>
      </c>
      <c r="AJ91" s="173">
        <f t="shared" si="41"/>
        <v>1700000</v>
      </c>
      <c r="AK91" s="7"/>
      <c r="AL91" s="7"/>
      <c r="AM91" s="7"/>
      <c r="AN91" s="7"/>
      <c r="AO91" s="314">
        <f>AI91+800000</f>
        <v>2500000</v>
      </c>
      <c r="AP91" s="314">
        <v>100000</v>
      </c>
      <c r="AQ91" s="490" t="s">
        <v>1121</v>
      </c>
      <c r="AR91" s="518">
        <f t="shared" si="52"/>
        <v>2500000</v>
      </c>
      <c r="AS91" s="173">
        <f t="shared" si="42"/>
        <v>100000</v>
      </c>
      <c r="AT91" s="173">
        <f t="shared" si="56"/>
        <v>2600000</v>
      </c>
      <c r="AU91" s="173">
        <f t="shared" si="43"/>
        <v>0</v>
      </c>
      <c r="AV91" s="173">
        <f t="shared" si="44"/>
        <v>2500000</v>
      </c>
      <c r="AW91" s="173">
        <f t="shared" si="45"/>
        <v>2500000</v>
      </c>
      <c r="AX91" s="173"/>
      <c r="AY91" s="173"/>
      <c r="AZ91" s="173"/>
      <c r="BA91" s="173"/>
      <c r="BB91" s="173">
        <f t="shared" si="46"/>
        <v>0</v>
      </c>
      <c r="BC91" s="4">
        <f t="shared" si="47"/>
        <v>2500000</v>
      </c>
      <c r="BD91" s="4">
        <v>2500000</v>
      </c>
      <c r="BE91" s="4"/>
      <c r="BF91" s="4"/>
      <c r="BG91" s="10"/>
      <c r="BH91" s="4">
        <f t="shared" si="49"/>
        <v>2500000</v>
      </c>
      <c r="BI91" s="40"/>
      <c r="BJ91" s="4">
        <f t="shared" si="50"/>
        <v>2500000</v>
      </c>
      <c r="BK91" s="472">
        <f t="shared" si="51"/>
        <v>0</v>
      </c>
      <c r="BL91" s="4">
        <f t="shared" si="48"/>
        <v>2500000</v>
      </c>
      <c r="BM91" s="4"/>
      <c r="BN91" s="4"/>
      <c r="BO91" s="4"/>
      <c r="BP91" s="4"/>
    </row>
    <row r="92" spans="1:68" s="5" customFormat="1" ht="30" customHeight="1">
      <c r="A92" s="172">
        <v>87</v>
      </c>
      <c r="B92" s="31">
        <v>2119</v>
      </c>
      <c r="C92" s="3" t="s">
        <v>1122</v>
      </c>
      <c r="D92" s="4">
        <v>1400000</v>
      </c>
      <c r="E92" s="4">
        <v>1400000</v>
      </c>
      <c r="F92" s="4">
        <f t="shared" si="53"/>
        <v>0</v>
      </c>
      <c r="G92" s="4">
        <v>0</v>
      </c>
      <c r="H92" s="4">
        <v>0</v>
      </c>
      <c r="I92" s="4"/>
      <c r="J92" s="4"/>
      <c r="K92" s="4">
        <f>I92+J92</f>
        <v>0</v>
      </c>
      <c r="L92" s="4">
        <f>H92+K92</f>
        <v>0</v>
      </c>
      <c r="M92" s="4">
        <f>G92-L92</f>
        <v>0</v>
      </c>
      <c r="N92" s="4">
        <f>1400000-300000</f>
        <v>1100000</v>
      </c>
      <c r="O92" s="4">
        <f t="shared" si="55"/>
        <v>1100000</v>
      </c>
      <c r="P92" s="4">
        <f t="shared" si="57"/>
        <v>300000</v>
      </c>
      <c r="Q92" s="4">
        <f t="shared" si="36"/>
        <v>0</v>
      </c>
      <c r="R92" s="4"/>
      <c r="S92" s="4"/>
      <c r="T92" s="4">
        <f t="shared" si="58"/>
        <v>0</v>
      </c>
      <c r="U92" s="4">
        <f>Q92-M92+T92</f>
        <v>0</v>
      </c>
      <c r="V92" s="4">
        <f t="shared" si="38"/>
        <v>1100000</v>
      </c>
      <c r="W92" s="4">
        <f t="shared" si="60"/>
        <v>1100000</v>
      </c>
      <c r="X92" s="4"/>
      <c r="Y92" s="4"/>
      <c r="Z92" s="4"/>
      <c r="AA92" s="3"/>
      <c r="AB92" s="3" t="s">
        <v>373</v>
      </c>
      <c r="AC92" s="3">
        <v>742000</v>
      </c>
      <c r="AD92" s="524"/>
      <c r="AE92" s="378"/>
      <c r="AF92" s="378"/>
      <c r="AG92" s="378"/>
      <c r="AH92" s="4">
        <f>SUM(AD92:AG92)</f>
        <v>0</v>
      </c>
      <c r="AI92" s="4">
        <f t="shared" si="40"/>
        <v>1100000</v>
      </c>
      <c r="AJ92" s="4">
        <f>AI92-AN92</f>
        <v>1100000</v>
      </c>
      <c r="AK92" s="3"/>
      <c r="AL92" s="3"/>
      <c r="AM92" s="3"/>
      <c r="AN92" s="3"/>
      <c r="AO92" s="4">
        <f>AI92</f>
        <v>1100000</v>
      </c>
      <c r="AP92" s="3"/>
      <c r="AQ92" s="490" t="s">
        <v>1123</v>
      </c>
      <c r="AR92" s="173">
        <v>1100000</v>
      </c>
      <c r="AS92" s="173">
        <f t="shared" si="42"/>
        <v>0</v>
      </c>
      <c r="AT92" s="173">
        <f>SUM(AR92:AS92)</f>
        <v>1100000</v>
      </c>
      <c r="AU92" s="173">
        <f t="shared" si="43"/>
        <v>300000</v>
      </c>
      <c r="AV92" s="173">
        <f t="shared" si="44"/>
        <v>1100000</v>
      </c>
      <c r="AW92" s="173">
        <f>AR92+AS92-M92-BA92</f>
        <v>1100000</v>
      </c>
      <c r="AX92" s="184"/>
      <c r="AY92" s="184"/>
      <c r="AZ92" s="184"/>
      <c r="BA92" s="184"/>
      <c r="BB92" s="173">
        <f t="shared" si="46"/>
        <v>0</v>
      </c>
      <c r="BC92" s="4">
        <f t="shared" si="47"/>
        <v>1100000</v>
      </c>
      <c r="BD92" s="4">
        <v>1100000</v>
      </c>
      <c r="BE92" s="4"/>
      <c r="BF92" s="4"/>
      <c r="BG92" s="10"/>
      <c r="BH92" s="4">
        <f t="shared" si="49"/>
        <v>1100000</v>
      </c>
      <c r="BI92" s="40"/>
      <c r="BJ92" s="4">
        <f t="shared" si="50"/>
        <v>1100000</v>
      </c>
      <c r="BK92" s="472">
        <f t="shared" si="51"/>
        <v>0</v>
      </c>
      <c r="BL92" s="4">
        <f t="shared" si="48"/>
        <v>1100000</v>
      </c>
      <c r="BM92" s="4"/>
      <c r="BN92" s="4"/>
      <c r="BO92" s="4"/>
      <c r="BP92" s="4"/>
    </row>
    <row r="93" spans="1:68" s="5" customFormat="1" ht="30" customHeight="1">
      <c r="A93" s="172">
        <v>88</v>
      </c>
      <c r="B93" s="31">
        <v>2122</v>
      </c>
      <c r="C93" s="3" t="s">
        <v>1444</v>
      </c>
      <c r="D93" s="4">
        <v>300000</v>
      </c>
      <c r="E93" s="4">
        <v>300000</v>
      </c>
      <c r="F93" s="4">
        <f t="shared" si="53"/>
        <v>0</v>
      </c>
      <c r="G93" s="4">
        <v>300000</v>
      </c>
      <c r="H93" s="4">
        <v>12074</v>
      </c>
      <c r="I93" s="4"/>
      <c r="J93" s="4">
        <v>12472.2</v>
      </c>
      <c r="K93" s="4">
        <f>SUM(I93:J93)</f>
        <v>12472.2</v>
      </c>
      <c r="L93" s="4">
        <f>H93+K93</f>
        <v>24546.2</v>
      </c>
      <c r="M93" s="4">
        <f>Q93+T93</f>
        <v>275453.8</v>
      </c>
      <c r="N93" s="4"/>
      <c r="O93" s="173">
        <f t="shared" si="55"/>
        <v>0</v>
      </c>
      <c r="P93" s="173">
        <f t="shared" si="57"/>
        <v>0</v>
      </c>
      <c r="Q93" s="173">
        <f t="shared" si="36"/>
        <v>275453.8</v>
      </c>
      <c r="R93" s="4"/>
      <c r="S93" s="4"/>
      <c r="T93" s="4"/>
      <c r="U93" s="4"/>
      <c r="V93" s="173">
        <f t="shared" si="38"/>
        <v>0</v>
      </c>
      <c r="W93" s="4">
        <f t="shared" si="60"/>
        <v>0</v>
      </c>
      <c r="X93" s="4"/>
      <c r="Y93" s="4"/>
      <c r="Z93" s="4"/>
      <c r="AA93" s="4"/>
      <c r="AB93" s="3" t="s">
        <v>712</v>
      </c>
      <c r="AC93" s="3">
        <v>742000</v>
      </c>
      <c r="AD93" s="292"/>
      <c r="AE93" s="292"/>
      <c r="AF93" s="292"/>
      <c r="AG93" s="292"/>
      <c r="AH93" s="173">
        <f t="shared" si="61"/>
        <v>0</v>
      </c>
      <c r="AI93" s="173">
        <f t="shared" si="40"/>
        <v>0</v>
      </c>
      <c r="AJ93" s="173">
        <f t="shared" si="41"/>
        <v>0</v>
      </c>
      <c r="AK93" s="3"/>
      <c r="AL93" s="3"/>
      <c r="AM93" s="3"/>
      <c r="AN93" s="3"/>
      <c r="AO93" s="278"/>
      <c r="AP93" s="4">
        <f>M93</f>
        <v>275453.8</v>
      </c>
      <c r="AQ93" s="3" t="s">
        <v>1124</v>
      </c>
      <c r="AR93" s="518">
        <f t="shared" si="52"/>
        <v>0</v>
      </c>
      <c r="AS93" s="173">
        <f t="shared" si="42"/>
        <v>275453.8</v>
      </c>
      <c r="AT93" s="173">
        <f t="shared" si="56"/>
        <v>275453.8</v>
      </c>
      <c r="AU93" s="173">
        <f t="shared" si="43"/>
        <v>0</v>
      </c>
      <c r="AV93" s="173">
        <f t="shared" si="44"/>
        <v>0</v>
      </c>
      <c r="AW93" s="173">
        <f t="shared" si="45"/>
        <v>0</v>
      </c>
      <c r="AX93" s="173"/>
      <c r="AY93" s="173"/>
      <c r="AZ93" s="173"/>
      <c r="BA93" s="173"/>
      <c r="BB93" s="173">
        <f t="shared" si="46"/>
        <v>0</v>
      </c>
      <c r="BC93" s="4">
        <f t="shared" si="47"/>
        <v>0</v>
      </c>
      <c r="BD93" s="4"/>
      <c r="BE93" s="4"/>
      <c r="BF93" s="4"/>
      <c r="BG93" s="10"/>
      <c r="BH93" s="4">
        <f t="shared" si="49"/>
        <v>0</v>
      </c>
      <c r="BI93" s="40"/>
      <c r="BJ93" s="4">
        <f t="shared" si="50"/>
        <v>0</v>
      </c>
      <c r="BK93" s="472">
        <f t="shared" si="51"/>
        <v>0</v>
      </c>
      <c r="BL93" s="4">
        <f t="shared" si="48"/>
        <v>0</v>
      </c>
      <c r="BM93" s="4"/>
      <c r="BN93" s="4"/>
      <c r="BO93" s="4"/>
      <c r="BP93" s="4"/>
    </row>
    <row r="94" spans="1:68" s="5" customFormat="1" ht="30" customHeight="1">
      <c r="A94" s="172">
        <v>89</v>
      </c>
      <c r="B94" s="31">
        <v>2126</v>
      </c>
      <c r="C94" s="3" t="s">
        <v>645</v>
      </c>
      <c r="D94" s="4">
        <v>1375000</v>
      </c>
      <c r="E94" s="4">
        <v>1375000</v>
      </c>
      <c r="F94" s="4">
        <f t="shared" si="53"/>
        <v>0</v>
      </c>
      <c r="G94" s="4">
        <v>0</v>
      </c>
      <c r="H94" s="4">
        <v>0</v>
      </c>
      <c r="I94" s="4"/>
      <c r="J94" s="4"/>
      <c r="K94" s="4">
        <f>SUM(I94:J94)</f>
        <v>0</v>
      </c>
      <c r="L94" s="4">
        <f>H94+K94</f>
        <v>0</v>
      </c>
      <c r="M94" s="4">
        <f>Q94+T94</f>
        <v>0</v>
      </c>
      <c r="N94" s="4">
        <v>1375000</v>
      </c>
      <c r="O94" s="173">
        <f t="shared" si="55"/>
        <v>1375000</v>
      </c>
      <c r="P94" s="173">
        <f t="shared" si="57"/>
        <v>0</v>
      </c>
      <c r="Q94" s="173">
        <f t="shared" si="36"/>
        <v>0</v>
      </c>
      <c r="R94" s="4"/>
      <c r="S94" s="4"/>
      <c r="T94" s="4">
        <f>SUM(R94:S94)</f>
        <v>0</v>
      </c>
      <c r="U94" s="4">
        <f>Q94-M94+T94</f>
        <v>0</v>
      </c>
      <c r="V94" s="173">
        <f t="shared" si="38"/>
        <v>1375000</v>
      </c>
      <c r="W94" s="4">
        <f t="shared" si="60"/>
        <v>473755</v>
      </c>
      <c r="X94" s="4"/>
      <c r="Y94" s="4"/>
      <c r="Z94" s="4"/>
      <c r="AA94" s="4">
        <v>901245</v>
      </c>
      <c r="AB94" s="3" t="s">
        <v>711</v>
      </c>
      <c r="AC94" s="3">
        <v>742000</v>
      </c>
      <c r="AD94" s="292"/>
      <c r="AE94" s="292"/>
      <c r="AF94" s="292"/>
      <c r="AG94" s="292"/>
      <c r="AH94" s="173">
        <f t="shared" si="61"/>
        <v>0</v>
      </c>
      <c r="AI94" s="173">
        <f t="shared" si="40"/>
        <v>1375000</v>
      </c>
      <c r="AJ94" s="173">
        <f>AI94-AN94</f>
        <v>473755</v>
      </c>
      <c r="AK94" s="3"/>
      <c r="AL94" s="3"/>
      <c r="AM94" s="3"/>
      <c r="AN94" s="210">
        <v>901245</v>
      </c>
      <c r="AO94" s="278"/>
      <c r="AP94" s="278"/>
      <c r="AQ94" s="7"/>
      <c r="AR94" s="518">
        <f t="shared" si="52"/>
        <v>0</v>
      </c>
      <c r="AS94" s="173">
        <f t="shared" si="42"/>
        <v>0</v>
      </c>
      <c r="AT94" s="173">
        <f t="shared" si="56"/>
        <v>0</v>
      </c>
      <c r="AU94" s="173">
        <f t="shared" si="43"/>
        <v>1375000</v>
      </c>
      <c r="AV94" s="173">
        <f t="shared" si="44"/>
        <v>0</v>
      </c>
      <c r="AW94" s="173">
        <f t="shared" si="45"/>
        <v>0</v>
      </c>
      <c r="AX94" s="173"/>
      <c r="AY94" s="173"/>
      <c r="AZ94" s="173"/>
      <c r="BA94" s="173"/>
      <c r="BB94" s="173">
        <f t="shared" si="46"/>
        <v>0</v>
      </c>
      <c r="BC94" s="4">
        <f t="shared" si="47"/>
        <v>0</v>
      </c>
      <c r="BD94" s="4"/>
      <c r="BE94" s="4"/>
      <c r="BF94" s="4"/>
      <c r="BG94" s="10"/>
      <c r="BH94" s="4">
        <f t="shared" si="49"/>
        <v>0</v>
      </c>
      <c r="BI94" s="40"/>
      <c r="BJ94" s="4">
        <f t="shared" si="50"/>
        <v>0</v>
      </c>
      <c r="BK94" s="472">
        <f t="shared" si="51"/>
        <v>0</v>
      </c>
      <c r="BL94" s="4">
        <f t="shared" si="48"/>
        <v>0</v>
      </c>
      <c r="BM94" s="4"/>
      <c r="BN94" s="4"/>
      <c r="BO94" s="4"/>
      <c r="BP94" s="4"/>
    </row>
    <row r="95" spans="1:68" s="6" customFormat="1" ht="30" customHeight="1">
      <c r="A95" s="172">
        <v>90</v>
      </c>
      <c r="B95" s="31">
        <v>2127</v>
      </c>
      <c r="C95" s="3" t="s">
        <v>647</v>
      </c>
      <c r="D95" s="4">
        <v>1000000</v>
      </c>
      <c r="E95" s="4">
        <v>1000000</v>
      </c>
      <c r="F95" s="4">
        <f t="shared" si="53"/>
        <v>0</v>
      </c>
      <c r="G95" s="4">
        <v>1000000</v>
      </c>
      <c r="H95" s="4">
        <v>0</v>
      </c>
      <c r="I95" s="4"/>
      <c r="J95" s="4"/>
      <c r="K95" s="173">
        <f>SUM(I95:J95)</f>
        <v>0</v>
      </c>
      <c r="L95" s="173">
        <f>K95+H95</f>
        <v>0</v>
      </c>
      <c r="M95" s="173">
        <f>Q95+T95</f>
        <v>1000000</v>
      </c>
      <c r="N95" s="4"/>
      <c r="O95" s="173">
        <f t="shared" si="55"/>
        <v>0</v>
      </c>
      <c r="P95" s="173">
        <f t="shared" si="57"/>
        <v>0</v>
      </c>
      <c r="Q95" s="173">
        <f t="shared" si="36"/>
        <v>1000000</v>
      </c>
      <c r="R95" s="4"/>
      <c r="S95" s="4"/>
      <c r="T95" s="4">
        <f>SUM(R95:S95)</f>
        <v>0</v>
      </c>
      <c r="U95" s="4">
        <f>Q95-M95+T95</f>
        <v>0</v>
      </c>
      <c r="V95" s="4">
        <f t="shared" si="38"/>
        <v>0</v>
      </c>
      <c r="W95" s="4">
        <f t="shared" si="60"/>
        <v>0</v>
      </c>
      <c r="X95" s="4"/>
      <c r="Y95" s="4"/>
      <c r="Z95" s="4"/>
      <c r="AA95" s="3"/>
      <c r="AB95" s="3" t="s">
        <v>898</v>
      </c>
      <c r="AC95" s="3">
        <v>732000</v>
      </c>
      <c r="AD95" s="292"/>
      <c r="AE95" s="292"/>
      <c r="AF95" s="292"/>
      <c r="AG95" s="292"/>
      <c r="AH95" s="173">
        <f t="shared" si="61"/>
        <v>0</v>
      </c>
      <c r="AI95" s="173">
        <f t="shared" si="40"/>
        <v>0</v>
      </c>
      <c r="AJ95" s="173">
        <f t="shared" si="41"/>
        <v>0</v>
      </c>
      <c r="AK95" s="7"/>
      <c r="AL95" s="7"/>
      <c r="AM95" s="7"/>
      <c r="AN95" s="7"/>
      <c r="AO95" s="278"/>
      <c r="AP95" s="314">
        <f>M95</f>
        <v>1000000</v>
      </c>
      <c r="AQ95" s="3" t="s">
        <v>1125</v>
      </c>
      <c r="AR95" s="518">
        <f t="shared" si="52"/>
        <v>0</v>
      </c>
      <c r="AS95" s="173">
        <f t="shared" si="42"/>
        <v>1000000</v>
      </c>
      <c r="AT95" s="173">
        <f t="shared" si="56"/>
        <v>1000000</v>
      </c>
      <c r="AU95" s="173">
        <f t="shared" si="43"/>
        <v>0</v>
      </c>
      <c r="AV95" s="173">
        <f t="shared" si="44"/>
        <v>0</v>
      </c>
      <c r="AW95" s="173">
        <f t="shared" si="45"/>
        <v>0</v>
      </c>
      <c r="AX95" s="173"/>
      <c r="AY95" s="173"/>
      <c r="AZ95" s="173"/>
      <c r="BA95" s="173"/>
      <c r="BB95" s="173">
        <f t="shared" si="46"/>
        <v>0</v>
      </c>
      <c r="BC95" s="4">
        <f t="shared" si="47"/>
        <v>0</v>
      </c>
      <c r="BD95" s="4"/>
      <c r="BE95" s="4"/>
      <c r="BF95" s="4"/>
      <c r="BG95" s="10"/>
      <c r="BH95" s="4">
        <f t="shared" si="49"/>
        <v>0</v>
      </c>
      <c r="BI95" s="40"/>
      <c r="BJ95" s="4">
        <f t="shared" si="50"/>
        <v>0</v>
      </c>
      <c r="BK95" s="472">
        <f t="shared" si="51"/>
        <v>0</v>
      </c>
      <c r="BL95" s="4">
        <f t="shared" si="48"/>
        <v>0</v>
      </c>
      <c r="BM95" s="4"/>
      <c r="BN95" s="4"/>
      <c r="BO95" s="4"/>
      <c r="BP95" s="4"/>
    </row>
    <row r="96" spans="1:68" s="6" customFormat="1" ht="30" customHeight="1">
      <c r="A96" s="172">
        <v>91</v>
      </c>
      <c r="B96" s="31">
        <v>2130</v>
      </c>
      <c r="C96" s="3" t="s">
        <v>700</v>
      </c>
      <c r="D96" s="4">
        <v>500000</v>
      </c>
      <c r="E96" s="4">
        <v>500000</v>
      </c>
      <c r="F96" s="4">
        <f t="shared" si="53"/>
        <v>0</v>
      </c>
      <c r="G96" s="4">
        <v>500000</v>
      </c>
      <c r="H96" s="4">
        <v>7441</v>
      </c>
      <c r="I96" s="4"/>
      <c r="J96" s="4"/>
      <c r="K96" s="173">
        <f t="shared" si="32"/>
        <v>0</v>
      </c>
      <c r="L96" s="173">
        <f t="shared" si="35"/>
        <v>7441</v>
      </c>
      <c r="M96" s="173">
        <f t="shared" si="33"/>
        <v>492559</v>
      </c>
      <c r="N96" s="4"/>
      <c r="O96" s="173">
        <f t="shared" si="55"/>
        <v>0</v>
      </c>
      <c r="P96" s="173">
        <f t="shared" si="57"/>
        <v>0</v>
      </c>
      <c r="Q96" s="173">
        <f t="shared" si="36"/>
        <v>492559</v>
      </c>
      <c r="R96" s="4"/>
      <c r="S96" s="4"/>
      <c r="T96" s="4">
        <f>SUM(R96:S96)</f>
        <v>0</v>
      </c>
      <c r="U96" s="4">
        <f t="shared" si="59"/>
        <v>0</v>
      </c>
      <c r="V96" s="4">
        <f t="shared" si="38"/>
        <v>0</v>
      </c>
      <c r="W96" s="4">
        <f t="shared" si="60"/>
        <v>0</v>
      </c>
      <c r="X96" s="4"/>
      <c r="Y96" s="4"/>
      <c r="Z96" s="4"/>
      <c r="AA96" s="3"/>
      <c r="AB96" s="3" t="s">
        <v>881</v>
      </c>
      <c r="AC96" s="3">
        <v>732000</v>
      </c>
      <c r="AD96" s="292"/>
      <c r="AE96" s="292"/>
      <c r="AF96" s="173"/>
      <c r="AG96" s="173"/>
      <c r="AH96" s="173">
        <f t="shared" si="61"/>
        <v>0</v>
      </c>
      <c r="AI96" s="173">
        <f t="shared" si="40"/>
        <v>0</v>
      </c>
      <c r="AJ96" s="173">
        <f t="shared" si="41"/>
        <v>0</v>
      </c>
      <c r="AK96" s="7"/>
      <c r="AL96" s="7"/>
      <c r="AM96" s="7"/>
      <c r="AN96" s="7"/>
      <c r="AO96" s="278"/>
      <c r="AP96" s="314">
        <f>M96</f>
        <v>492559</v>
      </c>
      <c r="AQ96" s="3" t="s">
        <v>1126</v>
      </c>
      <c r="AR96" s="518">
        <f t="shared" si="52"/>
        <v>0</v>
      </c>
      <c r="AS96" s="173">
        <f t="shared" si="42"/>
        <v>492559</v>
      </c>
      <c r="AT96" s="173">
        <f t="shared" si="56"/>
        <v>492559</v>
      </c>
      <c r="AU96" s="173">
        <f t="shared" si="43"/>
        <v>0</v>
      </c>
      <c r="AV96" s="173">
        <f t="shared" si="44"/>
        <v>0</v>
      </c>
      <c r="AW96" s="173">
        <f t="shared" si="45"/>
        <v>0</v>
      </c>
      <c r="AX96" s="173"/>
      <c r="AY96" s="173"/>
      <c r="AZ96" s="173"/>
      <c r="BA96" s="173"/>
      <c r="BB96" s="173">
        <f t="shared" si="46"/>
        <v>0</v>
      </c>
      <c r="BC96" s="4">
        <f t="shared" si="47"/>
        <v>0</v>
      </c>
      <c r="BD96" s="4"/>
      <c r="BE96" s="4"/>
      <c r="BF96" s="4"/>
      <c r="BG96" s="10"/>
      <c r="BH96" s="4">
        <f t="shared" si="49"/>
        <v>0</v>
      </c>
      <c r="BI96" s="40"/>
      <c r="BJ96" s="4">
        <f t="shared" si="50"/>
        <v>0</v>
      </c>
      <c r="BK96" s="472">
        <f t="shared" si="51"/>
        <v>0</v>
      </c>
      <c r="BL96" s="4">
        <f t="shared" si="48"/>
        <v>0</v>
      </c>
      <c r="BM96" s="4"/>
      <c r="BN96" s="4"/>
      <c r="BO96" s="4"/>
      <c r="BP96" s="4"/>
    </row>
    <row r="97" spans="1:70" s="5" customFormat="1" ht="30" customHeight="1">
      <c r="A97" s="172">
        <v>92</v>
      </c>
      <c r="B97" s="31">
        <v>2147</v>
      </c>
      <c r="C97" s="3" t="s">
        <v>705</v>
      </c>
      <c r="D97" s="4">
        <f>5030000+1470000</f>
        <v>6500000</v>
      </c>
      <c r="E97" s="4">
        <v>5030000</v>
      </c>
      <c r="F97" s="4">
        <f t="shared" si="53"/>
        <v>1470000</v>
      </c>
      <c r="G97" s="4">
        <v>250000</v>
      </c>
      <c r="H97" s="4">
        <v>0</v>
      </c>
      <c r="I97" s="4"/>
      <c r="J97" s="4"/>
      <c r="K97" s="173">
        <f t="shared" si="32"/>
        <v>0</v>
      </c>
      <c r="L97" s="173">
        <f t="shared" si="35"/>
        <v>0</v>
      </c>
      <c r="M97" s="173">
        <f t="shared" si="33"/>
        <v>250000</v>
      </c>
      <c r="N97" s="4">
        <f>5030000-1000000</f>
        <v>4030000</v>
      </c>
      <c r="O97" s="173">
        <f t="shared" si="55"/>
        <v>3780000</v>
      </c>
      <c r="P97" s="173">
        <f t="shared" si="57"/>
        <v>2470000</v>
      </c>
      <c r="Q97" s="173">
        <f t="shared" si="36"/>
        <v>250000</v>
      </c>
      <c r="R97" s="4"/>
      <c r="S97" s="4"/>
      <c r="T97" s="4"/>
      <c r="U97" s="4"/>
      <c r="V97" s="173">
        <f t="shared" si="38"/>
        <v>4030000</v>
      </c>
      <c r="W97" s="4">
        <f t="shared" si="60"/>
        <v>4030000</v>
      </c>
      <c r="X97" s="4"/>
      <c r="Y97" s="4"/>
      <c r="Z97" s="4"/>
      <c r="AA97" s="4"/>
      <c r="AB97" s="3" t="s">
        <v>798</v>
      </c>
      <c r="AC97" s="3">
        <v>810000</v>
      </c>
      <c r="AD97" s="292"/>
      <c r="AE97" s="292"/>
      <c r="AF97" s="173">
        <v>250000</v>
      </c>
      <c r="AG97" s="173"/>
      <c r="AH97" s="173">
        <f t="shared" si="61"/>
        <v>250000</v>
      </c>
      <c r="AI97" s="173">
        <f>V97-AH97+1470000</f>
        <v>5250000</v>
      </c>
      <c r="AJ97" s="173">
        <f t="shared" si="41"/>
        <v>5250000</v>
      </c>
      <c r="AK97" s="3"/>
      <c r="AL97" s="3"/>
      <c r="AM97" s="3"/>
      <c r="AN97" s="3"/>
      <c r="AO97" s="314">
        <f>AI97</f>
        <v>5250000</v>
      </c>
      <c r="AP97" s="314">
        <f>M97</f>
        <v>250000</v>
      </c>
      <c r="AQ97" s="490" t="s">
        <v>1127</v>
      </c>
      <c r="AR97" s="518">
        <f t="shared" si="52"/>
        <v>5250000</v>
      </c>
      <c r="AS97" s="173">
        <f t="shared" si="42"/>
        <v>250000</v>
      </c>
      <c r="AT97" s="173">
        <f t="shared" si="56"/>
        <v>5500000</v>
      </c>
      <c r="AU97" s="173">
        <f t="shared" si="43"/>
        <v>1000000</v>
      </c>
      <c r="AV97" s="173">
        <f t="shared" si="44"/>
        <v>5250000</v>
      </c>
      <c r="AW97" s="173">
        <f t="shared" si="45"/>
        <v>5250000</v>
      </c>
      <c r="AX97" s="173"/>
      <c r="AY97" s="173"/>
      <c r="AZ97" s="173"/>
      <c r="BA97" s="173"/>
      <c r="BB97" s="173">
        <f t="shared" si="46"/>
        <v>0</v>
      </c>
      <c r="BC97" s="4">
        <f t="shared" si="47"/>
        <v>5250000</v>
      </c>
      <c r="BD97" s="4">
        <v>5250000</v>
      </c>
      <c r="BE97" s="4"/>
      <c r="BF97" s="4"/>
      <c r="BG97" s="10"/>
      <c r="BH97" s="4">
        <f t="shared" si="49"/>
        <v>5250000</v>
      </c>
      <c r="BI97" s="40"/>
      <c r="BJ97" s="4">
        <f t="shared" si="50"/>
        <v>5250000</v>
      </c>
      <c r="BK97" s="472">
        <f t="shared" si="51"/>
        <v>0</v>
      </c>
      <c r="BL97" s="4">
        <f t="shared" si="48"/>
        <v>5250000</v>
      </c>
      <c r="BM97" s="4"/>
      <c r="BN97" s="4"/>
      <c r="BO97" s="4"/>
      <c r="BP97" s="4"/>
    </row>
    <row r="98" spans="1:70" s="5" customFormat="1" ht="30" customHeight="1">
      <c r="A98" s="172">
        <v>93</v>
      </c>
      <c r="B98" s="31">
        <v>2148</v>
      </c>
      <c r="C98" s="3" t="s">
        <v>706</v>
      </c>
      <c r="D98" s="4">
        <v>1200000</v>
      </c>
      <c r="E98" s="4">
        <v>1200000</v>
      </c>
      <c r="F98" s="4">
        <f t="shared" si="53"/>
        <v>0</v>
      </c>
      <c r="G98" s="4"/>
      <c r="H98" s="4">
        <v>0</v>
      </c>
      <c r="I98" s="4"/>
      <c r="J98" s="4"/>
      <c r="K98" s="173">
        <f t="shared" si="32"/>
        <v>0</v>
      </c>
      <c r="L98" s="173">
        <f t="shared" si="35"/>
        <v>0</v>
      </c>
      <c r="M98" s="173">
        <f t="shared" si="33"/>
        <v>0</v>
      </c>
      <c r="N98" s="4">
        <v>1200000</v>
      </c>
      <c r="O98" s="173">
        <f t="shared" si="55"/>
        <v>1200000</v>
      </c>
      <c r="P98" s="173">
        <f t="shared" si="57"/>
        <v>0</v>
      </c>
      <c r="Q98" s="173">
        <f t="shared" si="36"/>
        <v>0</v>
      </c>
      <c r="R98" s="4"/>
      <c r="S98" s="4"/>
      <c r="T98" s="4"/>
      <c r="U98" s="4"/>
      <c r="V98" s="173">
        <f t="shared" si="38"/>
        <v>1200000</v>
      </c>
      <c r="W98" s="4">
        <f t="shared" si="60"/>
        <v>1200000</v>
      </c>
      <c r="X98" s="4"/>
      <c r="Y98" s="4"/>
      <c r="Z98" s="4"/>
      <c r="AA98" s="4"/>
      <c r="AB98" s="3" t="s">
        <v>879</v>
      </c>
      <c r="AC98" s="3">
        <v>742000</v>
      </c>
      <c r="AD98" s="292"/>
      <c r="AE98" s="292"/>
      <c r="AF98" s="173"/>
      <c r="AG98" s="173"/>
      <c r="AH98" s="173">
        <f t="shared" si="61"/>
        <v>0</v>
      </c>
      <c r="AI98" s="173">
        <f t="shared" si="40"/>
        <v>1200000</v>
      </c>
      <c r="AJ98" s="173">
        <f t="shared" si="41"/>
        <v>1200000</v>
      </c>
      <c r="AK98" s="3"/>
      <c r="AL98" s="3"/>
      <c r="AM98" s="3"/>
      <c r="AN98" s="3"/>
      <c r="AO98" s="278"/>
      <c r="AP98" s="278"/>
      <c r="AQ98" s="3"/>
      <c r="AR98" s="518">
        <f t="shared" si="52"/>
        <v>0</v>
      </c>
      <c r="AS98" s="173">
        <f t="shared" si="42"/>
        <v>0</v>
      </c>
      <c r="AT98" s="173">
        <f t="shared" si="56"/>
        <v>0</v>
      </c>
      <c r="AU98" s="173">
        <f t="shared" si="43"/>
        <v>1200000</v>
      </c>
      <c r="AV98" s="173">
        <f t="shared" si="44"/>
        <v>0</v>
      </c>
      <c r="AW98" s="173">
        <f t="shared" si="45"/>
        <v>0</v>
      </c>
      <c r="AX98" s="173"/>
      <c r="AY98" s="173"/>
      <c r="AZ98" s="173"/>
      <c r="BA98" s="173"/>
      <c r="BB98" s="173">
        <f t="shared" si="46"/>
        <v>0</v>
      </c>
      <c r="BC98" s="4">
        <f t="shared" si="47"/>
        <v>0</v>
      </c>
      <c r="BD98" s="4"/>
      <c r="BE98" s="4"/>
      <c r="BF98" s="4"/>
      <c r="BG98" s="10"/>
      <c r="BH98" s="4">
        <f t="shared" si="49"/>
        <v>0</v>
      </c>
      <c r="BI98" s="40"/>
      <c r="BJ98" s="4">
        <f t="shared" si="50"/>
        <v>0</v>
      </c>
      <c r="BK98" s="472">
        <f t="shared" si="51"/>
        <v>0</v>
      </c>
      <c r="BL98" s="4">
        <f t="shared" si="48"/>
        <v>0</v>
      </c>
      <c r="BM98" s="4"/>
      <c r="BN98" s="4"/>
      <c r="BO98" s="4"/>
      <c r="BP98" s="4"/>
    </row>
    <row r="99" spans="1:70" s="5" customFormat="1" ht="30" customHeight="1">
      <c r="A99" s="172">
        <v>94</v>
      </c>
      <c r="B99" s="31">
        <v>2149</v>
      </c>
      <c r="C99" s="3" t="s">
        <v>707</v>
      </c>
      <c r="D99" s="4">
        <v>30000000</v>
      </c>
      <c r="E99" s="4">
        <v>30000000</v>
      </c>
      <c r="F99" s="4">
        <f t="shared" si="53"/>
        <v>0</v>
      </c>
      <c r="G99" s="4">
        <v>350000</v>
      </c>
      <c r="H99" s="4">
        <v>0</v>
      </c>
      <c r="I99" s="4"/>
      <c r="J99" s="4"/>
      <c r="K99" s="173">
        <f t="shared" si="32"/>
        <v>0</v>
      </c>
      <c r="L99" s="173">
        <f t="shared" si="35"/>
        <v>0</v>
      </c>
      <c r="M99" s="173">
        <f t="shared" si="33"/>
        <v>350000</v>
      </c>
      <c r="N99" s="4">
        <v>2000000</v>
      </c>
      <c r="O99" s="173">
        <f t="shared" si="55"/>
        <v>1650000</v>
      </c>
      <c r="P99" s="173">
        <f t="shared" si="57"/>
        <v>28000000</v>
      </c>
      <c r="Q99" s="173">
        <f t="shared" si="36"/>
        <v>350000</v>
      </c>
      <c r="R99" s="4"/>
      <c r="S99" s="4"/>
      <c r="T99" s="4"/>
      <c r="U99" s="4"/>
      <c r="V99" s="173">
        <f t="shared" si="38"/>
        <v>2000000</v>
      </c>
      <c r="W99" s="4">
        <f t="shared" si="60"/>
        <v>2000000</v>
      </c>
      <c r="X99" s="4"/>
      <c r="Y99" s="4"/>
      <c r="Z99" s="4"/>
      <c r="AA99" s="4"/>
      <c r="AB99" s="3" t="s">
        <v>924</v>
      </c>
      <c r="AC99" s="3">
        <v>810000</v>
      </c>
      <c r="AD99" s="292"/>
      <c r="AE99" s="292"/>
      <c r="AF99" s="173">
        <v>350000</v>
      </c>
      <c r="AG99" s="173"/>
      <c r="AH99" s="173">
        <f t="shared" si="61"/>
        <v>350000</v>
      </c>
      <c r="AI99" s="173">
        <f t="shared" si="40"/>
        <v>1650000</v>
      </c>
      <c r="AJ99" s="173">
        <f t="shared" si="41"/>
        <v>1650000</v>
      </c>
      <c r="AK99" s="3"/>
      <c r="AL99" s="3"/>
      <c r="AM99" s="3"/>
      <c r="AN99" s="3"/>
      <c r="AO99" s="314">
        <f>AI99</f>
        <v>1650000</v>
      </c>
      <c r="AP99" s="314">
        <f>M99</f>
        <v>350000</v>
      </c>
      <c r="AQ99" s="7"/>
      <c r="AR99" s="518">
        <f t="shared" si="52"/>
        <v>1650000</v>
      </c>
      <c r="AS99" s="173">
        <f t="shared" si="42"/>
        <v>350000</v>
      </c>
      <c r="AT99" s="173">
        <f t="shared" si="56"/>
        <v>2000000</v>
      </c>
      <c r="AU99" s="173">
        <f t="shared" si="43"/>
        <v>28000000</v>
      </c>
      <c r="AV99" s="173">
        <f t="shared" si="44"/>
        <v>1650000</v>
      </c>
      <c r="AW99" s="173">
        <f t="shared" si="45"/>
        <v>1650000</v>
      </c>
      <c r="AX99" s="173"/>
      <c r="AY99" s="173"/>
      <c r="AZ99" s="173"/>
      <c r="BA99" s="173"/>
      <c r="BB99" s="173">
        <f t="shared" si="46"/>
        <v>0</v>
      </c>
      <c r="BC99" s="4">
        <f t="shared" si="47"/>
        <v>1650000</v>
      </c>
      <c r="BD99" s="4">
        <v>1650000</v>
      </c>
      <c r="BE99" s="4"/>
      <c r="BF99" s="4"/>
      <c r="BG99" s="10"/>
      <c r="BH99" s="4">
        <f t="shared" si="49"/>
        <v>1650000</v>
      </c>
      <c r="BI99" s="40"/>
      <c r="BJ99" s="4">
        <f t="shared" si="50"/>
        <v>1650000</v>
      </c>
      <c r="BK99" s="472">
        <f t="shared" si="51"/>
        <v>0</v>
      </c>
      <c r="BL99" s="4">
        <f t="shared" si="48"/>
        <v>1650000</v>
      </c>
      <c r="BM99" s="4"/>
      <c r="BN99" s="4"/>
      <c r="BO99" s="4"/>
      <c r="BP99" s="4"/>
    </row>
    <row r="100" spans="1:70" s="5" customFormat="1" ht="30" customHeight="1">
      <c r="A100" s="172">
        <v>95</v>
      </c>
      <c r="B100" s="31">
        <v>2150</v>
      </c>
      <c r="C100" s="3" t="s">
        <v>708</v>
      </c>
      <c r="D100" s="4">
        <v>3500000</v>
      </c>
      <c r="E100" s="4">
        <v>3500000</v>
      </c>
      <c r="F100" s="4">
        <f t="shared" si="53"/>
        <v>0</v>
      </c>
      <c r="G100" s="4">
        <v>150000</v>
      </c>
      <c r="H100" s="4">
        <v>0</v>
      </c>
      <c r="I100" s="4"/>
      <c r="J100" s="4">
        <v>149998.68</v>
      </c>
      <c r="K100" s="173">
        <f t="shared" si="32"/>
        <v>149998.68</v>
      </c>
      <c r="L100" s="173">
        <f t="shared" si="35"/>
        <v>149998.68</v>
      </c>
      <c r="M100" s="173">
        <f t="shared" si="33"/>
        <v>1.3200000000069849</v>
      </c>
      <c r="N100" s="4">
        <v>3500000</v>
      </c>
      <c r="O100" s="173">
        <f t="shared" si="55"/>
        <v>3350000</v>
      </c>
      <c r="P100" s="173">
        <f t="shared" si="57"/>
        <v>0</v>
      </c>
      <c r="Q100" s="173">
        <f t="shared" si="36"/>
        <v>1.3200000000069849</v>
      </c>
      <c r="R100" s="4"/>
      <c r="S100" s="4"/>
      <c r="T100" s="4"/>
      <c r="U100" s="4"/>
      <c r="V100" s="173">
        <f t="shared" si="38"/>
        <v>3500000</v>
      </c>
      <c r="W100" s="4">
        <f t="shared" si="60"/>
        <v>3500000</v>
      </c>
      <c r="X100" s="4"/>
      <c r="Y100" s="4"/>
      <c r="Z100" s="4"/>
      <c r="AA100" s="4"/>
      <c r="AB100" s="33" t="s">
        <v>899</v>
      </c>
      <c r="AC100" s="3">
        <v>746000</v>
      </c>
      <c r="AD100" s="292"/>
      <c r="AE100" s="292"/>
      <c r="AF100" s="173">
        <v>150000</v>
      </c>
      <c r="AG100" s="173"/>
      <c r="AH100" s="173">
        <f t="shared" si="61"/>
        <v>150000</v>
      </c>
      <c r="AI100" s="173">
        <f t="shared" si="40"/>
        <v>3350000</v>
      </c>
      <c r="AJ100" s="173">
        <f t="shared" si="41"/>
        <v>3350000</v>
      </c>
      <c r="AK100" s="3"/>
      <c r="AL100" s="3"/>
      <c r="AM100" s="3"/>
      <c r="AN100" s="3"/>
      <c r="AO100" s="278"/>
      <c r="AP100" s="278"/>
      <c r="AQ100" s="7"/>
      <c r="AR100" s="518">
        <f t="shared" si="52"/>
        <v>0</v>
      </c>
      <c r="AS100" s="173">
        <f t="shared" si="42"/>
        <v>1.3200000000069849</v>
      </c>
      <c r="AT100" s="173">
        <f t="shared" si="56"/>
        <v>1.3200000000069849</v>
      </c>
      <c r="AU100" s="173">
        <f t="shared" si="43"/>
        <v>3350000</v>
      </c>
      <c r="AV100" s="173">
        <f t="shared" si="44"/>
        <v>0</v>
      </c>
      <c r="AW100" s="173">
        <f t="shared" si="45"/>
        <v>0</v>
      </c>
      <c r="AX100" s="173"/>
      <c r="AY100" s="173"/>
      <c r="AZ100" s="173"/>
      <c r="BA100" s="173"/>
      <c r="BB100" s="173">
        <f t="shared" si="46"/>
        <v>0</v>
      </c>
      <c r="BC100" s="4">
        <f t="shared" si="47"/>
        <v>0</v>
      </c>
      <c r="BD100" s="4"/>
      <c r="BE100" s="4"/>
      <c r="BF100" s="4"/>
      <c r="BG100" s="10"/>
      <c r="BH100" s="4">
        <f t="shared" si="49"/>
        <v>0</v>
      </c>
      <c r="BI100" s="40"/>
      <c r="BJ100" s="4">
        <f t="shared" si="50"/>
        <v>0</v>
      </c>
      <c r="BK100" s="472">
        <f t="shared" si="51"/>
        <v>0</v>
      </c>
      <c r="BL100" s="4">
        <f t="shared" si="48"/>
        <v>0</v>
      </c>
      <c r="BM100" s="4"/>
      <c r="BN100" s="4"/>
      <c r="BO100" s="4"/>
      <c r="BP100" s="4"/>
    </row>
    <row r="101" spans="1:70" s="5" customFormat="1" ht="30" customHeight="1">
      <c r="A101" s="172">
        <v>96</v>
      </c>
      <c r="B101" s="31">
        <v>2151</v>
      </c>
      <c r="C101" s="3" t="s">
        <v>709</v>
      </c>
      <c r="D101" s="4">
        <v>2000000</v>
      </c>
      <c r="E101" s="4">
        <v>2000000</v>
      </c>
      <c r="F101" s="4">
        <f t="shared" si="53"/>
        <v>0</v>
      </c>
      <c r="G101" s="4">
        <v>250000</v>
      </c>
      <c r="H101" s="4">
        <v>0</v>
      </c>
      <c r="I101" s="4"/>
      <c r="J101" s="4"/>
      <c r="K101" s="173">
        <f t="shared" si="32"/>
        <v>0</v>
      </c>
      <c r="L101" s="173">
        <f t="shared" si="35"/>
        <v>0</v>
      </c>
      <c r="M101" s="173">
        <f t="shared" si="33"/>
        <v>250000</v>
      </c>
      <c r="N101" s="4">
        <v>2000000</v>
      </c>
      <c r="O101" s="173">
        <f t="shared" si="55"/>
        <v>1750000</v>
      </c>
      <c r="P101" s="173">
        <f t="shared" si="57"/>
        <v>0</v>
      </c>
      <c r="Q101" s="173">
        <f t="shared" si="36"/>
        <v>250000</v>
      </c>
      <c r="R101" s="4"/>
      <c r="S101" s="4"/>
      <c r="T101" s="4"/>
      <c r="U101" s="4"/>
      <c r="V101" s="173">
        <f t="shared" si="38"/>
        <v>2000000</v>
      </c>
      <c r="W101" s="4">
        <f t="shared" si="60"/>
        <v>2000000</v>
      </c>
      <c r="X101" s="4"/>
      <c r="Y101" s="4"/>
      <c r="Z101" s="4"/>
      <c r="AA101" s="4"/>
      <c r="AB101" s="31" t="s">
        <v>880</v>
      </c>
      <c r="AC101" s="3">
        <v>742000</v>
      </c>
      <c r="AD101" s="292"/>
      <c r="AE101" s="292"/>
      <c r="AF101" s="173">
        <v>250000</v>
      </c>
      <c r="AG101" s="173"/>
      <c r="AH101" s="173">
        <f t="shared" si="61"/>
        <v>250000</v>
      </c>
      <c r="AI101" s="173">
        <f t="shared" si="40"/>
        <v>1750000</v>
      </c>
      <c r="AJ101" s="173">
        <f t="shared" si="41"/>
        <v>1750000</v>
      </c>
      <c r="AK101" s="3"/>
      <c r="AL101" s="3"/>
      <c r="AM101" s="3"/>
      <c r="AN101" s="3"/>
      <c r="AO101" s="314">
        <f>AI101</f>
        <v>1750000</v>
      </c>
      <c r="AP101" s="314">
        <f>M101</f>
        <v>250000</v>
      </c>
      <c r="AQ101" s="3"/>
      <c r="AR101" s="518">
        <f t="shared" si="52"/>
        <v>1750000</v>
      </c>
      <c r="AS101" s="173">
        <f t="shared" si="42"/>
        <v>250000</v>
      </c>
      <c r="AT101" s="173">
        <f t="shared" si="56"/>
        <v>2000000</v>
      </c>
      <c r="AU101" s="173">
        <f t="shared" si="43"/>
        <v>0</v>
      </c>
      <c r="AV101" s="173">
        <f t="shared" si="44"/>
        <v>1750000</v>
      </c>
      <c r="AW101" s="173">
        <f t="shared" si="45"/>
        <v>1750000</v>
      </c>
      <c r="AX101" s="173"/>
      <c r="AY101" s="173"/>
      <c r="AZ101" s="173"/>
      <c r="BA101" s="173"/>
      <c r="BB101" s="173">
        <f t="shared" si="46"/>
        <v>0</v>
      </c>
      <c r="BC101" s="4">
        <f t="shared" si="47"/>
        <v>1750000</v>
      </c>
      <c r="BD101" s="4">
        <v>1750000</v>
      </c>
      <c r="BE101" s="4"/>
      <c r="BF101" s="4"/>
      <c r="BG101" s="10"/>
      <c r="BH101" s="4">
        <f t="shared" si="49"/>
        <v>1750000</v>
      </c>
      <c r="BI101" s="40"/>
      <c r="BJ101" s="4">
        <f t="shared" si="50"/>
        <v>1750000</v>
      </c>
      <c r="BK101" s="472">
        <f t="shared" si="51"/>
        <v>0</v>
      </c>
      <c r="BL101" s="4">
        <f t="shared" si="48"/>
        <v>1750000</v>
      </c>
      <c r="BM101" s="4"/>
      <c r="BN101" s="4"/>
      <c r="BO101" s="4"/>
      <c r="BP101" s="4"/>
    </row>
    <row r="102" spans="1:70" s="5" customFormat="1" ht="30" customHeight="1">
      <c r="A102" s="172">
        <v>97</v>
      </c>
      <c r="B102" s="31">
        <v>2152</v>
      </c>
      <c r="C102" s="3" t="s">
        <v>1128</v>
      </c>
      <c r="D102" s="4">
        <v>1000000</v>
      </c>
      <c r="E102" s="4">
        <v>1000000</v>
      </c>
      <c r="F102" s="4">
        <f t="shared" si="53"/>
        <v>0</v>
      </c>
      <c r="G102" s="4">
        <v>100000</v>
      </c>
      <c r="H102" s="4">
        <v>0</v>
      </c>
      <c r="I102" s="4"/>
      <c r="J102" s="4"/>
      <c r="K102" s="173">
        <f t="shared" si="32"/>
        <v>0</v>
      </c>
      <c r="L102" s="173">
        <f t="shared" si="35"/>
        <v>0</v>
      </c>
      <c r="M102" s="173">
        <f t="shared" si="33"/>
        <v>100000</v>
      </c>
      <c r="N102" s="4">
        <f>500000+500000</f>
        <v>1000000</v>
      </c>
      <c r="O102" s="173">
        <f t="shared" si="55"/>
        <v>900000</v>
      </c>
      <c r="P102" s="173">
        <f t="shared" si="57"/>
        <v>0</v>
      </c>
      <c r="Q102" s="173">
        <f t="shared" si="36"/>
        <v>100000</v>
      </c>
      <c r="R102" s="4"/>
      <c r="S102" s="4"/>
      <c r="T102" s="4"/>
      <c r="U102" s="4"/>
      <c r="V102" s="173">
        <f t="shared" si="38"/>
        <v>1000000</v>
      </c>
      <c r="W102" s="4">
        <f t="shared" si="60"/>
        <v>500000</v>
      </c>
      <c r="X102" s="4">
        <v>500000</v>
      </c>
      <c r="Y102" s="4"/>
      <c r="Z102" s="4"/>
      <c r="AA102" s="4"/>
      <c r="AB102" s="31" t="s">
        <v>875</v>
      </c>
      <c r="AC102" s="3">
        <v>810000</v>
      </c>
      <c r="AD102" s="292"/>
      <c r="AE102" s="292"/>
      <c r="AF102" s="173">
        <v>100000</v>
      </c>
      <c r="AG102" s="173"/>
      <c r="AH102" s="173">
        <f t="shared" si="61"/>
        <v>100000</v>
      </c>
      <c r="AI102" s="173">
        <f t="shared" si="40"/>
        <v>900000</v>
      </c>
      <c r="AJ102" s="173">
        <f>AI102-AK102</f>
        <v>400000</v>
      </c>
      <c r="AK102" s="173">
        <v>500000</v>
      </c>
      <c r="AL102" s="3"/>
      <c r="AM102" s="3"/>
      <c r="AN102" s="3"/>
      <c r="AO102" s="314">
        <f>AI102</f>
        <v>900000</v>
      </c>
      <c r="AP102" s="314">
        <f>M102</f>
        <v>100000</v>
      </c>
      <c r="AQ102" s="3"/>
      <c r="AR102" s="518">
        <f t="shared" si="52"/>
        <v>900000</v>
      </c>
      <c r="AS102" s="173">
        <f t="shared" si="42"/>
        <v>100000</v>
      </c>
      <c r="AT102" s="173">
        <f t="shared" si="56"/>
        <v>1000000</v>
      </c>
      <c r="AU102" s="173">
        <f t="shared" si="43"/>
        <v>0</v>
      </c>
      <c r="AV102" s="173">
        <f t="shared" si="44"/>
        <v>900000</v>
      </c>
      <c r="AW102" s="173">
        <f t="shared" si="45"/>
        <v>900000</v>
      </c>
      <c r="AX102" s="173"/>
      <c r="AY102" s="173"/>
      <c r="AZ102" s="173"/>
      <c r="BA102" s="173"/>
      <c r="BB102" s="173">
        <f t="shared" si="46"/>
        <v>0</v>
      </c>
      <c r="BC102" s="4">
        <f t="shared" si="47"/>
        <v>900000</v>
      </c>
      <c r="BD102" s="4">
        <v>900000</v>
      </c>
      <c r="BE102" s="4"/>
      <c r="BF102" s="4"/>
      <c r="BG102" s="10"/>
      <c r="BH102" s="4">
        <f t="shared" si="49"/>
        <v>900000</v>
      </c>
      <c r="BI102" s="40"/>
      <c r="BJ102" s="4">
        <f t="shared" si="50"/>
        <v>900000</v>
      </c>
      <c r="BK102" s="472">
        <f t="shared" si="51"/>
        <v>0</v>
      </c>
      <c r="BL102" s="4">
        <f t="shared" si="48"/>
        <v>900000</v>
      </c>
      <c r="BM102" s="4"/>
      <c r="BN102" s="4"/>
      <c r="BO102" s="4"/>
      <c r="BP102" s="4"/>
    </row>
    <row r="103" spans="1:70" s="5" customFormat="1" ht="30" customHeight="1">
      <c r="A103" s="172">
        <v>98</v>
      </c>
      <c r="B103" s="31">
        <v>2153</v>
      </c>
      <c r="C103" s="3" t="s">
        <v>799</v>
      </c>
      <c r="D103" s="4">
        <v>1000000</v>
      </c>
      <c r="E103" s="4">
        <v>1000000</v>
      </c>
      <c r="F103" s="4">
        <f t="shared" si="53"/>
        <v>0</v>
      </c>
      <c r="G103" s="4">
        <v>150000</v>
      </c>
      <c r="H103" s="4">
        <v>0</v>
      </c>
      <c r="I103" s="4"/>
      <c r="J103" s="4"/>
      <c r="K103" s="173">
        <f t="shared" si="32"/>
        <v>0</v>
      </c>
      <c r="L103" s="173">
        <f t="shared" si="35"/>
        <v>0</v>
      </c>
      <c r="M103" s="173">
        <f t="shared" si="33"/>
        <v>150000</v>
      </c>
      <c r="N103" s="4">
        <f>500000+500000</f>
        <v>1000000</v>
      </c>
      <c r="O103" s="173">
        <f t="shared" si="55"/>
        <v>850000</v>
      </c>
      <c r="P103" s="173">
        <f t="shared" si="57"/>
        <v>0</v>
      </c>
      <c r="Q103" s="173">
        <f t="shared" si="36"/>
        <v>150000</v>
      </c>
      <c r="R103" s="4"/>
      <c r="S103" s="4"/>
      <c r="T103" s="4"/>
      <c r="U103" s="4"/>
      <c r="V103" s="173">
        <f t="shared" si="38"/>
        <v>1000000</v>
      </c>
      <c r="W103" s="4">
        <f t="shared" si="60"/>
        <v>1000000</v>
      </c>
      <c r="X103" s="4"/>
      <c r="Y103" s="4"/>
      <c r="Z103" s="4"/>
      <c r="AA103" s="4"/>
      <c r="AB103" s="31" t="s">
        <v>925</v>
      </c>
      <c r="AC103" s="3">
        <v>829000</v>
      </c>
      <c r="AD103" s="292"/>
      <c r="AE103" s="292"/>
      <c r="AF103" s="173">
        <v>150000</v>
      </c>
      <c r="AG103" s="173"/>
      <c r="AH103" s="173">
        <f t="shared" si="61"/>
        <v>150000</v>
      </c>
      <c r="AI103" s="173">
        <f t="shared" si="40"/>
        <v>850000</v>
      </c>
      <c r="AJ103" s="173">
        <f t="shared" si="41"/>
        <v>850000</v>
      </c>
      <c r="AK103" s="3"/>
      <c r="AL103" s="3"/>
      <c r="AM103" s="3"/>
      <c r="AN103" s="3"/>
      <c r="AO103" s="314">
        <v>150000</v>
      </c>
      <c r="AP103" s="314">
        <f>M103</f>
        <v>150000</v>
      </c>
      <c r="AQ103" s="3"/>
      <c r="AR103" s="518">
        <f t="shared" si="52"/>
        <v>150000</v>
      </c>
      <c r="AS103" s="173">
        <f t="shared" si="42"/>
        <v>150000</v>
      </c>
      <c r="AT103" s="173">
        <f t="shared" si="56"/>
        <v>300000</v>
      </c>
      <c r="AU103" s="173">
        <f t="shared" si="43"/>
        <v>700000</v>
      </c>
      <c r="AV103" s="173">
        <f t="shared" si="44"/>
        <v>150000</v>
      </c>
      <c r="AW103" s="173">
        <f t="shared" si="45"/>
        <v>150000</v>
      </c>
      <c r="AX103" s="173"/>
      <c r="AY103" s="173"/>
      <c r="AZ103" s="173"/>
      <c r="BA103" s="173"/>
      <c r="BB103" s="173">
        <f t="shared" si="46"/>
        <v>0</v>
      </c>
      <c r="BC103" s="4">
        <f t="shared" si="47"/>
        <v>150000</v>
      </c>
      <c r="BD103" s="4">
        <v>150000</v>
      </c>
      <c r="BE103" s="4"/>
      <c r="BF103" s="4"/>
      <c r="BG103" s="10"/>
      <c r="BH103" s="4">
        <f t="shared" si="49"/>
        <v>150000</v>
      </c>
      <c r="BI103" s="40"/>
      <c r="BJ103" s="4">
        <f t="shared" si="50"/>
        <v>150000</v>
      </c>
      <c r="BK103" s="472">
        <f t="shared" si="51"/>
        <v>0</v>
      </c>
      <c r="BL103" s="4">
        <f t="shared" si="48"/>
        <v>150000</v>
      </c>
      <c r="BM103" s="4"/>
      <c r="BN103" s="4"/>
      <c r="BO103" s="4"/>
      <c r="BP103" s="4"/>
    </row>
    <row r="104" spans="1:70" s="5" customFormat="1" ht="30" customHeight="1">
      <c r="A104" s="172">
        <v>99</v>
      </c>
      <c r="B104" s="31">
        <v>2174</v>
      </c>
      <c r="C104" s="3" t="s">
        <v>1129</v>
      </c>
      <c r="D104" s="4">
        <v>500000</v>
      </c>
      <c r="E104" s="4">
        <v>500000</v>
      </c>
      <c r="F104" s="4">
        <f>D104-E104</f>
        <v>0</v>
      </c>
      <c r="G104" s="4">
        <v>0</v>
      </c>
      <c r="H104" s="4">
        <v>0</v>
      </c>
      <c r="I104" s="4"/>
      <c r="J104" s="4"/>
      <c r="K104" s="173">
        <f t="shared" si="32"/>
        <v>0</v>
      </c>
      <c r="L104" s="173">
        <f t="shared" si="35"/>
        <v>0</v>
      </c>
      <c r="M104" s="173">
        <f t="shared" si="33"/>
        <v>0</v>
      </c>
      <c r="N104" s="4">
        <v>500000</v>
      </c>
      <c r="O104" s="173">
        <f t="shared" si="55"/>
        <v>500000</v>
      </c>
      <c r="P104" s="173">
        <f t="shared" si="57"/>
        <v>0</v>
      </c>
      <c r="Q104" s="173">
        <f t="shared" si="36"/>
        <v>0</v>
      </c>
      <c r="R104" s="4"/>
      <c r="S104" s="4"/>
      <c r="T104" s="4"/>
      <c r="U104" s="4"/>
      <c r="V104" s="173">
        <f>N104-U104</f>
        <v>500000</v>
      </c>
      <c r="W104" s="4">
        <f>V104-AA104-X104-Z104</f>
        <v>0</v>
      </c>
      <c r="X104" s="4">
        <v>500000</v>
      </c>
      <c r="Y104" s="4"/>
      <c r="Z104" s="4"/>
      <c r="AA104" s="4"/>
      <c r="AB104" s="31" t="s">
        <v>1130</v>
      </c>
      <c r="AC104" s="3">
        <v>829000</v>
      </c>
      <c r="AD104" s="292"/>
      <c r="AE104" s="292"/>
      <c r="AF104" s="173"/>
      <c r="AG104" s="173"/>
      <c r="AH104" s="173">
        <f>SUM(AD104:AG104)</f>
        <v>0</v>
      </c>
      <c r="AI104" s="173">
        <f>V104-AH104</f>
        <v>500000</v>
      </c>
      <c r="AJ104" s="173"/>
      <c r="AK104" s="4">
        <f>AI104</f>
        <v>500000</v>
      </c>
      <c r="AL104" s="3"/>
      <c r="AM104" s="3"/>
      <c r="AN104" s="3"/>
      <c r="AO104" s="314">
        <f>AI104</f>
        <v>500000</v>
      </c>
      <c r="AP104" s="278"/>
      <c r="AQ104" s="490" t="s">
        <v>1131</v>
      </c>
      <c r="AR104" s="518">
        <f t="shared" si="52"/>
        <v>500000</v>
      </c>
      <c r="AS104" s="173">
        <f t="shared" si="42"/>
        <v>0</v>
      </c>
      <c r="AT104" s="173">
        <f t="shared" si="56"/>
        <v>500000</v>
      </c>
      <c r="AU104" s="173">
        <f t="shared" si="43"/>
        <v>0</v>
      </c>
      <c r="AV104" s="173">
        <f t="shared" si="44"/>
        <v>500000</v>
      </c>
      <c r="AW104" s="173">
        <f t="shared" si="45"/>
        <v>500000</v>
      </c>
      <c r="AX104" s="173"/>
      <c r="AY104" s="173"/>
      <c r="AZ104" s="173"/>
      <c r="BA104" s="173"/>
      <c r="BB104" s="173">
        <f t="shared" si="46"/>
        <v>0</v>
      </c>
      <c r="BC104" s="4">
        <f t="shared" si="47"/>
        <v>500000</v>
      </c>
      <c r="BD104" s="4">
        <v>500000</v>
      </c>
      <c r="BE104" s="4"/>
      <c r="BF104" s="4"/>
      <c r="BG104" s="10"/>
      <c r="BH104" s="4">
        <f t="shared" si="49"/>
        <v>500000</v>
      </c>
      <c r="BI104" s="40"/>
      <c r="BJ104" s="4">
        <f t="shared" si="50"/>
        <v>500000</v>
      </c>
      <c r="BK104" s="472">
        <f t="shared" si="51"/>
        <v>0</v>
      </c>
      <c r="BL104" s="4">
        <f t="shared" si="48"/>
        <v>500000</v>
      </c>
      <c r="BM104" s="4"/>
      <c r="BN104" s="4"/>
      <c r="BO104" s="4"/>
      <c r="BP104" s="4"/>
    </row>
    <row r="105" spans="1:70" s="5" customFormat="1" ht="30" customHeight="1">
      <c r="A105" s="172">
        <v>100</v>
      </c>
      <c r="B105" s="31">
        <v>2175</v>
      </c>
      <c r="C105" s="3" t="s">
        <v>1132</v>
      </c>
      <c r="D105" s="4">
        <v>500000</v>
      </c>
      <c r="E105" s="4">
        <v>500000</v>
      </c>
      <c r="F105" s="4">
        <f>D105-E105</f>
        <v>0</v>
      </c>
      <c r="G105" s="4">
        <v>0</v>
      </c>
      <c r="H105" s="4">
        <v>0</v>
      </c>
      <c r="I105" s="4"/>
      <c r="J105" s="4"/>
      <c r="K105" s="173">
        <f>SUM(I105:J105)</f>
        <v>0</v>
      </c>
      <c r="L105" s="173">
        <f>K105+H105</f>
        <v>0</v>
      </c>
      <c r="M105" s="173">
        <f>Q105+T105</f>
        <v>0</v>
      </c>
      <c r="N105" s="4">
        <v>500000</v>
      </c>
      <c r="O105" s="173">
        <f>N105-AH105</f>
        <v>500000</v>
      </c>
      <c r="P105" s="173">
        <f>D105-L105-M105-O105</f>
        <v>0</v>
      </c>
      <c r="Q105" s="173">
        <f>G105-L105</f>
        <v>0</v>
      </c>
      <c r="R105" s="4"/>
      <c r="S105" s="4"/>
      <c r="T105" s="4"/>
      <c r="U105" s="4"/>
      <c r="V105" s="173">
        <f>N105-U105</f>
        <v>500000</v>
      </c>
      <c r="W105" s="4">
        <f>V105-AA105-X105-Z105</f>
        <v>0</v>
      </c>
      <c r="X105" s="4">
        <v>500000</v>
      </c>
      <c r="Y105" s="4"/>
      <c r="Z105" s="4"/>
      <c r="AA105" s="4"/>
      <c r="AB105" s="31" t="s">
        <v>1133</v>
      </c>
      <c r="AC105" s="3">
        <v>829000</v>
      </c>
      <c r="AD105" s="292"/>
      <c r="AE105" s="292"/>
      <c r="AF105" s="173"/>
      <c r="AG105" s="173"/>
      <c r="AH105" s="173">
        <f>SUM(AD105:AG105)</f>
        <v>0</v>
      </c>
      <c r="AI105" s="173">
        <f>V105-AH105</f>
        <v>500000</v>
      </c>
      <c r="AJ105" s="173"/>
      <c r="AK105" s="4">
        <f>AI105</f>
        <v>500000</v>
      </c>
      <c r="AL105" s="3"/>
      <c r="AM105" s="3"/>
      <c r="AN105" s="3"/>
      <c r="AO105" s="314">
        <f>AI105</f>
        <v>500000</v>
      </c>
      <c r="AP105" s="278"/>
      <c r="AQ105" s="490" t="s">
        <v>1131</v>
      </c>
      <c r="AR105" s="518">
        <f>AO105</f>
        <v>500000</v>
      </c>
      <c r="AS105" s="173">
        <f>M105</f>
        <v>0</v>
      </c>
      <c r="AT105" s="173">
        <f>SUM(AR105:AS105)</f>
        <v>500000</v>
      </c>
      <c r="AU105" s="173">
        <f t="shared" si="43"/>
        <v>0</v>
      </c>
      <c r="AV105" s="173">
        <f>AR105+AS105-M105</f>
        <v>500000</v>
      </c>
      <c r="AW105" s="173">
        <f>AR105+AS105-M105-AX105-BA105</f>
        <v>500000</v>
      </c>
      <c r="AX105" s="173"/>
      <c r="AY105" s="173"/>
      <c r="AZ105" s="173"/>
      <c r="BA105" s="173"/>
      <c r="BB105" s="173">
        <f t="shared" si="46"/>
        <v>0</v>
      </c>
      <c r="BC105" s="4">
        <f t="shared" si="47"/>
        <v>500000</v>
      </c>
      <c r="BD105" s="4">
        <v>500000</v>
      </c>
      <c r="BE105" s="4"/>
      <c r="BF105" s="4"/>
      <c r="BG105" s="10"/>
      <c r="BH105" s="4">
        <f t="shared" si="49"/>
        <v>500000</v>
      </c>
      <c r="BI105" s="40"/>
      <c r="BJ105" s="4">
        <f t="shared" si="50"/>
        <v>500000</v>
      </c>
      <c r="BK105" s="472">
        <f t="shared" si="51"/>
        <v>0</v>
      </c>
      <c r="BL105" s="4">
        <f t="shared" si="48"/>
        <v>500000</v>
      </c>
      <c r="BM105" s="4"/>
      <c r="BN105" s="4"/>
      <c r="BO105" s="4"/>
      <c r="BP105" s="4"/>
    </row>
    <row r="106" spans="1:70" s="5" customFormat="1" ht="30" customHeight="1">
      <c r="A106" s="172">
        <v>101</v>
      </c>
      <c r="B106" s="31">
        <v>2180</v>
      </c>
      <c r="C106" s="3" t="s">
        <v>1134</v>
      </c>
      <c r="D106" s="4">
        <v>500000</v>
      </c>
      <c r="E106" s="4"/>
      <c r="F106" s="4">
        <f>D106-E106</f>
        <v>500000</v>
      </c>
      <c r="G106" s="4">
        <v>0</v>
      </c>
      <c r="H106" s="4">
        <v>0</v>
      </c>
      <c r="I106" s="4"/>
      <c r="J106" s="4"/>
      <c r="K106" s="173">
        <f>SUM(I106:J106)</f>
        <v>0</v>
      </c>
      <c r="L106" s="173">
        <f>K106+H106</f>
        <v>0</v>
      </c>
      <c r="M106" s="173">
        <f>Q106+T106</f>
        <v>0</v>
      </c>
      <c r="N106" s="4"/>
      <c r="O106" s="173">
        <f>N106-AH106</f>
        <v>0</v>
      </c>
      <c r="P106" s="173"/>
      <c r="Q106" s="173">
        <f>G106-L106</f>
        <v>0</v>
      </c>
      <c r="R106" s="4"/>
      <c r="S106" s="4"/>
      <c r="T106" s="4"/>
      <c r="U106" s="4"/>
      <c r="V106" s="173">
        <f>N106-U106</f>
        <v>0</v>
      </c>
      <c r="W106" s="4">
        <f>V106-AA106-X106-Z106</f>
        <v>0</v>
      </c>
      <c r="X106" s="4"/>
      <c r="Y106" s="4"/>
      <c r="Z106" s="4"/>
      <c r="AA106" s="4"/>
      <c r="AB106" s="31"/>
      <c r="AC106" s="3"/>
      <c r="AD106" s="292"/>
      <c r="AE106" s="292"/>
      <c r="AF106" s="173"/>
      <c r="AG106" s="173"/>
      <c r="AH106" s="173">
        <f>SUM(AD106:AG106)</f>
        <v>0</v>
      </c>
      <c r="AI106" s="173">
        <f>V106-AH106</f>
        <v>0</v>
      </c>
      <c r="AJ106" s="173"/>
      <c r="AK106" s="4">
        <f>AI106</f>
        <v>0</v>
      </c>
      <c r="AL106" s="3"/>
      <c r="AM106" s="3"/>
      <c r="AN106" s="3"/>
      <c r="AO106" s="314">
        <v>500000</v>
      </c>
      <c r="AP106" s="278"/>
      <c r="AQ106" s="490" t="s">
        <v>1040</v>
      </c>
      <c r="AR106" s="518">
        <f>AO106</f>
        <v>500000</v>
      </c>
      <c r="AS106" s="173">
        <f>M106</f>
        <v>0</v>
      </c>
      <c r="AT106" s="173">
        <f>SUM(AR106:AS106)</f>
        <v>500000</v>
      </c>
      <c r="AU106" s="173">
        <f>D106-L106-AT106</f>
        <v>0</v>
      </c>
      <c r="AV106" s="173">
        <f>AR106+AS106-M106</f>
        <v>500000</v>
      </c>
      <c r="AW106" s="173">
        <f>AR106+AS106-M106-AX106-BA106</f>
        <v>500000</v>
      </c>
      <c r="AX106" s="173"/>
      <c r="AY106" s="173"/>
      <c r="AZ106" s="173"/>
      <c r="BA106" s="173"/>
      <c r="BB106" s="173">
        <f>AS106-M106</f>
        <v>0</v>
      </c>
      <c r="BC106" s="4">
        <f>AR106</f>
        <v>500000</v>
      </c>
      <c r="BD106" s="4">
        <v>500000</v>
      </c>
      <c r="BE106" s="4"/>
      <c r="BF106" s="4"/>
      <c r="BG106" s="10"/>
      <c r="BH106" s="4">
        <f t="shared" si="49"/>
        <v>500000</v>
      </c>
      <c r="BI106" s="40"/>
      <c r="BJ106" s="4">
        <f t="shared" si="50"/>
        <v>500000</v>
      </c>
      <c r="BK106" s="472">
        <f t="shared" si="51"/>
        <v>0</v>
      </c>
      <c r="BL106" s="4">
        <f t="shared" si="48"/>
        <v>500000</v>
      </c>
      <c r="BM106" s="4"/>
      <c r="BN106" s="4"/>
      <c r="BO106" s="4"/>
      <c r="BP106" s="4"/>
    </row>
    <row r="107" spans="1:70" s="5" customFormat="1" ht="30" customHeight="1">
      <c r="A107" s="172">
        <v>102</v>
      </c>
      <c r="B107" s="31">
        <v>2182</v>
      </c>
      <c r="C107" s="3" t="s">
        <v>948</v>
      </c>
      <c r="D107" s="4">
        <v>300000</v>
      </c>
      <c r="E107" s="4"/>
      <c r="F107" s="4">
        <f t="shared" si="53"/>
        <v>300000</v>
      </c>
      <c r="G107" s="4">
        <v>0</v>
      </c>
      <c r="H107" s="4">
        <v>0</v>
      </c>
      <c r="I107" s="4"/>
      <c r="J107" s="4"/>
      <c r="K107" s="173">
        <f t="shared" si="32"/>
        <v>0</v>
      </c>
      <c r="L107" s="173">
        <f t="shared" si="35"/>
        <v>0</v>
      </c>
      <c r="M107" s="173">
        <f t="shared" si="33"/>
        <v>0</v>
      </c>
      <c r="N107" s="4"/>
      <c r="O107" s="173">
        <f t="shared" si="55"/>
        <v>0</v>
      </c>
      <c r="P107" s="173"/>
      <c r="Q107" s="173">
        <f t="shared" si="36"/>
        <v>0</v>
      </c>
      <c r="R107" s="4"/>
      <c r="S107" s="4"/>
      <c r="T107" s="4"/>
      <c r="U107" s="4"/>
      <c r="V107" s="173">
        <f t="shared" si="38"/>
        <v>0</v>
      </c>
      <c r="W107" s="4">
        <f t="shared" si="60"/>
        <v>0</v>
      </c>
      <c r="X107" s="4"/>
      <c r="Y107" s="4"/>
      <c r="Z107" s="4"/>
      <c r="AA107" s="4"/>
      <c r="AB107" s="31"/>
      <c r="AC107" s="3"/>
      <c r="AD107" s="292"/>
      <c r="AE107" s="292"/>
      <c r="AF107" s="173"/>
      <c r="AG107" s="173"/>
      <c r="AH107" s="173">
        <f t="shared" si="61"/>
        <v>0</v>
      </c>
      <c r="AI107" s="173">
        <f t="shared" si="40"/>
        <v>0</v>
      </c>
      <c r="AJ107" s="173"/>
      <c r="AK107" s="4">
        <f>AI107</f>
        <v>0</v>
      </c>
      <c r="AL107" s="3"/>
      <c r="AM107" s="3"/>
      <c r="AN107" s="3"/>
      <c r="AO107" s="314">
        <v>500000</v>
      </c>
      <c r="AP107" s="278"/>
      <c r="AQ107" s="490" t="s">
        <v>1040</v>
      </c>
      <c r="AR107" s="518">
        <v>300000</v>
      </c>
      <c r="AS107" s="173">
        <f t="shared" si="42"/>
        <v>0</v>
      </c>
      <c r="AT107" s="173">
        <f t="shared" si="56"/>
        <v>300000</v>
      </c>
      <c r="AU107" s="173">
        <f t="shared" si="43"/>
        <v>0</v>
      </c>
      <c r="AV107" s="173">
        <f t="shared" si="44"/>
        <v>300000</v>
      </c>
      <c r="AW107" s="173">
        <f t="shared" si="45"/>
        <v>300000</v>
      </c>
      <c r="AX107" s="173"/>
      <c r="AY107" s="173"/>
      <c r="AZ107" s="173"/>
      <c r="BA107" s="173"/>
      <c r="BB107" s="173">
        <f t="shared" si="46"/>
        <v>0</v>
      </c>
      <c r="BC107" s="4">
        <f t="shared" si="47"/>
        <v>300000</v>
      </c>
      <c r="BD107" s="4">
        <v>300000</v>
      </c>
      <c r="BE107" s="4"/>
      <c r="BF107" s="4"/>
      <c r="BG107" s="10"/>
      <c r="BH107" s="4">
        <f t="shared" si="49"/>
        <v>300000</v>
      </c>
      <c r="BI107" s="40"/>
      <c r="BJ107" s="4">
        <f t="shared" si="50"/>
        <v>300000</v>
      </c>
      <c r="BK107" s="472">
        <f t="shared" si="51"/>
        <v>0</v>
      </c>
      <c r="BL107" s="4">
        <f t="shared" si="48"/>
        <v>300000</v>
      </c>
      <c r="BM107" s="4"/>
      <c r="BN107" s="4"/>
      <c r="BO107" s="4"/>
      <c r="BP107" s="4"/>
    </row>
    <row r="108" spans="1:70" s="296" customFormat="1" ht="30" customHeight="1">
      <c r="A108" s="178"/>
      <c r="B108" s="295"/>
      <c r="C108" s="178" t="s">
        <v>236</v>
      </c>
      <c r="D108" s="180">
        <f>SUM(D6:D107)</f>
        <v>1727334125</v>
      </c>
      <c r="E108" s="180">
        <f t="shared" ref="E108:BP108" si="62">SUM(E6:E107)</f>
        <v>1724264125</v>
      </c>
      <c r="F108" s="180">
        <f t="shared" si="62"/>
        <v>3070000</v>
      </c>
      <c r="G108" s="180">
        <f t="shared" si="62"/>
        <v>1023547050</v>
      </c>
      <c r="H108" s="180">
        <f t="shared" si="62"/>
        <v>740938513.65999997</v>
      </c>
      <c r="I108" s="180">
        <f t="shared" si="62"/>
        <v>999628.56</v>
      </c>
      <c r="J108" s="180">
        <f t="shared" si="62"/>
        <v>34601427.00999999</v>
      </c>
      <c r="K108" s="180">
        <f t="shared" si="62"/>
        <v>35601055.569999993</v>
      </c>
      <c r="L108" s="180">
        <f t="shared" si="62"/>
        <v>776539569.23000002</v>
      </c>
      <c r="M108" s="180">
        <f t="shared" si="62"/>
        <v>247007480.77000001</v>
      </c>
      <c r="N108" s="180">
        <f t="shared" si="62"/>
        <v>146322000</v>
      </c>
      <c r="O108" s="180">
        <f t="shared" si="62"/>
        <v>142222000</v>
      </c>
      <c r="P108" s="180">
        <f t="shared" si="62"/>
        <v>560765075</v>
      </c>
      <c r="Q108" s="180">
        <f t="shared" si="62"/>
        <v>247007480.77000001</v>
      </c>
      <c r="R108" s="180">
        <f t="shared" si="62"/>
        <v>0</v>
      </c>
      <c r="S108" s="180">
        <f t="shared" si="62"/>
        <v>0</v>
      </c>
      <c r="T108" s="180">
        <f t="shared" si="62"/>
        <v>0</v>
      </c>
      <c r="U108" s="180">
        <f t="shared" si="62"/>
        <v>0</v>
      </c>
      <c r="V108" s="180">
        <f t="shared" si="62"/>
        <v>146322000</v>
      </c>
      <c r="W108" s="180">
        <f t="shared" si="62"/>
        <v>137303099</v>
      </c>
      <c r="X108" s="180">
        <f t="shared" si="62"/>
        <v>3000000</v>
      </c>
      <c r="Y108" s="180">
        <f t="shared" si="62"/>
        <v>0</v>
      </c>
      <c r="Z108" s="180">
        <f t="shared" si="62"/>
        <v>0</v>
      </c>
      <c r="AA108" s="180">
        <f t="shared" si="62"/>
        <v>6018901</v>
      </c>
      <c r="AB108" s="180">
        <f t="shared" si="62"/>
        <v>0</v>
      </c>
      <c r="AC108" s="180">
        <f t="shared" si="62"/>
        <v>77777000</v>
      </c>
      <c r="AD108" s="180">
        <f t="shared" si="62"/>
        <v>0</v>
      </c>
      <c r="AE108" s="180">
        <f t="shared" si="62"/>
        <v>0</v>
      </c>
      <c r="AF108" s="180">
        <f t="shared" si="62"/>
        <v>4100000</v>
      </c>
      <c r="AG108" s="180">
        <f t="shared" si="62"/>
        <v>0</v>
      </c>
      <c r="AH108" s="180">
        <f t="shared" si="62"/>
        <v>4100000</v>
      </c>
      <c r="AI108" s="180">
        <f t="shared" si="62"/>
        <v>143692000</v>
      </c>
      <c r="AJ108" s="180">
        <f t="shared" si="62"/>
        <v>134673099</v>
      </c>
      <c r="AK108" s="180">
        <f t="shared" si="62"/>
        <v>3000000</v>
      </c>
      <c r="AL108" s="180">
        <f t="shared" si="62"/>
        <v>0</v>
      </c>
      <c r="AM108" s="180">
        <f t="shared" si="62"/>
        <v>0</v>
      </c>
      <c r="AN108" s="180">
        <f t="shared" si="62"/>
        <v>6018901</v>
      </c>
      <c r="AO108" s="180">
        <f t="shared" si="62"/>
        <v>71390000</v>
      </c>
      <c r="AP108" s="180">
        <f t="shared" si="62"/>
        <v>154249619.84</v>
      </c>
      <c r="AQ108" s="180">
        <f t="shared" si="62"/>
        <v>0</v>
      </c>
      <c r="AR108" s="180">
        <f t="shared" si="62"/>
        <v>61348840</v>
      </c>
      <c r="AS108" s="180">
        <f t="shared" si="62"/>
        <v>172727480.76999995</v>
      </c>
      <c r="AT108" s="180">
        <f t="shared" si="62"/>
        <v>234076320.77000001</v>
      </c>
      <c r="AU108" s="180">
        <f t="shared" si="62"/>
        <v>716718235</v>
      </c>
      <c r="AV108" s="180">
        <f t="shared" si="62"/>
        <v>-12931160</v>
      </c>
      <c r="AW108" s="180">
        <f t="shared" si="62"/>
        <v>-13829875</v>
      </c>
      <c r="AX108" s="180">
        <f t="shared" si="62"/>
        <v>-700000</v>
      </c>
      <c r="AY108" s="180">
        <f t="shared" si="62"/>
        <v>0</v>
      </c>
      <c r="AZ108" s="180">
        <f t="shared" si="62"/>
        <v>0</v>
      </c>
      <c r="BA108" s="180">
        <f t="shared" si="62"/>
        <v>1598715</v>
      </c>
      <c r="BB108" s="180">
        <f t="shared" si="62"/>
        <v>-74280000</v>
      </c>
      <c r="BC108" s="180">
        <f t="shared" si="62"/>
        <v>61348840</v>
      </c>
      <c r="BD108" s="180">
        <f t="shared" si="62"/>
        <v>-12931160</v>
      </c>
      <c r="BE108" s="180">
        <f t="shared" si="62"/>
        <v>-210000</v>
      </c>
      <c r="BF108" s="180">
        <f t="shared" si="62"/>
        <v>0</v>
      </c>
      <c r="BG108" s="525">
        <f t="shared" si="62"/>
        <v>0</v>
      </c>
      <c r="BH108" s="180">
        <f t="shared" si="62"/>
        <v>-13141160</v>
      </c>
      <c r="BI108" s="180">
        <f t="shared" si="62"/>
        <v>0</v>
      </c>
      <c r="BJ108" s="180">
        <f t="shared" si="62"/>
        <v>-13141160</v>
      </c>
      <c r="BK108" s="180">
        <f t="shared" si="62"/>
        <v>210000</v>
      </c>
      <c r="BL108" s="180">
        <f t="shared" si="62"/>
        <v>-13829876</v>
      </c>
      <c r="BM108" s="180">
        <f t="shared" si="62"/>
        <v>-700000</v>
      </c>
      <c r="BN108" s="180">
        <f t="shared" si="62"/>
        <v>0</v>
      </c>
      <c r="BO108" s="180">
        <f t="shared" si="62"/>
        <v>0</v>
      </c>
      <c r="BP108" s="180">
        <f t="shared" si="62"/>
        <v>1388716</v>
      </c>
    </row>
    <row r="109" spans="1:70" s="296" customFormat="1" ht="30" hidden="1" customHeight="1">
      <c r="A109" s="178"/>
      <c r="B109" s="295"/>
      <c r="C109" s="178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>
        <f>L108+M108+O108+P108</f>
        <v>1726534125</v>
      </c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292"/>
      <c r="AE109" s="292"/>
      <c r="AF109" s="292"/>
      <c r="AG109" s="292"/>
      <c r="AH109" s="178"/>
      <c r="AI109" s="522"/>
      <c r="AJ109" s="522"/>
      <c r="AK109" s="522"/>
      <c r="AL109" s="295"/>
      <c r="AM109" s="295"/>
      <c r="AN109" s="173"/>
      <c r="AO109" s="314"/>
      <c r="AP109" s="314"/>
      <c r="AQ109" s="292"/>
      <c r="AR109" s="518"/>
      <c r="AS109" s="292"/>
      <c r="AT109" s="292"/>
      <c r="AU109" s="292"/>
      <c r="AV109" s="292"/>
      <c r="AW109" s="173"/>
      <c r="AX109" s="292"/>
      <c r="AY109" s="292"/>
      <c r="AZ109" s="292"/>
      <c r="BA109" s="292"/>
      <c r="BB109" s="169"/>
      <c r="BC109" s="169"/>
      <c r="BD109" s="292"/>
      <c r="BE109" s="292"/>
      <c r="BF109" s="292"/>
      <c r="BG109" s="526"/>
      <c r="BH109" s="292"/>
      <c r="BI109" s="40"/>
      <c r="BJ109" s="40"/>
      <c r="BK109" s="527"/>
      <c r="BL109" s="288"/>
    </row>
    <row r="110" spans="1:70" s="528" customFormat="1" ht="30" hidden="1" customHeight="1">
      <c r="BH110" s="529"/>
      <c r="BI110" s="40"/>
      <c r="BJ110" s="40"/>
    </row>
    <row r="111" spans="1:70" s="296" customFormat="1" ht="30" customHeight="1">
      <c r="A111" s="178"/>
      <c r="B111" s="295"/>
      <c r="C111" s="178" t="s">
        <v>174</v>
      </c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69"/>
      <c r="AC111" s="178"/>
      <c r="AD111" s="292"/>
      <c r="AE111" s="292"/>
      <c r="AF111" s="292"/>
      <c r="AG111" s="292"/>
      <c r="AH111" s="178"/>
      <c r="AI111" s="522"/>
      <c r="AJ111" s="522"/>
      <c r="AK111" s="522"/>
      <c r="AL111" s="295"/>
      <c r="AM111" s="295"/>
      <c r="AN111" s="173"/>
      <c r="AO111" s="314"/>
      <c r="AP111" s="278"/>
      <c r="AQ111" s="292"/>
      <c r="AR111" s="292"/>
      <c r="AS111" s="292"/>
      <c r="AT111" s="292"/>
      <c r="AU111" s="292"/>
      <c r="AV111" s="530" t="s">
        <v>986</v>
      </c>
      <c r="AW111" s="173"/>
      <c r="AX111" s="292"/>
      <c r="AY111" s="292"/>
      <c r="AZ111" s="292"/>
      <c r="BA111" s="292"/>
      <c r="BB111" s="169"/>
      <c r="BC111" s="169"/>
      <c r="BD111" s="292"/>
      <c r="BE111" s="292"/>
      <c r="BF111" s="292"/>
      <c r="BG111" s="526"/>
      <c r="BH111" s="292"/>
      <c r="BI111" s="40"/>
      <c r="BJ111" s="40"/>
      <c r="BK111" s="527"/>
      <c r="BL111" s="169"/>
      <c r="BM111" s="531"/>
      <c r="BN111" s="531"/>
      <c r="BO111" s="531"/>
      <c r="BP111" s="531"/>
    </row>
    <row r="112" spans="1:70" s="176" customFormat="1" ht="30" customHeight="1">
      <c r="A112" s="172">
        <v>103</v>
      </c>
      <c r="B112" s="172">
        <v>1547</v>
      </c>
      <c r="C112" s="172" t="s">
        <v>701</v>
      </c>
      <c r="D112" s="173">
        <v>144000000</v>
      </c>
      <c r="E112" s="173">
        <v>144000000</v>
      </c>
      <c r="F112" s="173">
        <f t="shared" ref="F112:F126" si="63">D112-E112</f>
        <v>0</v>
      </c>
      <c r="G112" s="173">
        <v>131500000</v>
      </c>
      <c r="H112" s="173">
        <v>97702637.299999997</v>
      </c>
      <c r="I112" s="173">
        <v>941727.55</v>
      </c>
      <c r="J112" s="173">
        <v>964927.81</v>
      </c>
      <c r="K112" s="173">
        <f>SUM(I112:J112)</f>
        <v>1906655.36</v>
      </c>
      <c r="L112" s="173">
        <f>K112+H112</f>
        <v>99609292.659999996</v>
      </c>
      <c r="M112" s="173">
        <f>Q112+T112</f>
        <v>31890707.340000004</v>
      </c>
      <c r="N112" s="173">
        <v>12500000</v>
      </c>
      <c r="O112" s="173">
        <f t="shared" ref="O112:O126" si="64">N112-AH112</f>
        <v>12500000</v>
      </c>
      <c r="P112" s="173">
        <f t="shared" ref="P112:P126" si="65">D112-L112-M112-O112</f>
        <v>0</v>
      </c>
      <c r="Q112" s="173">
        <f>G112-L112</f>
        <v>31890707.340000004</v>
      </c>
      <c r="R112" s="173"/>
      <c r="S112" s="173"/>
      <c r="T112" s="173">
        <f t="shared" ref="T112:T126" si="66">SUM(R112:S112)</f>
        <v>0</v>
      </c>
      <c r="U112" s="173">
        <f>Q112-M112+T112</f>
        <v>0</v>
      </c>
      <c r="V112" s="173">
        <f>N112-U112</f>
        <v>12500000</v>
      </c>
      <c r="W112" s="173"/>
      <c r="X112" s="173"/>
      <c r="Y112" s="173"/>
      <c r="Z112" s="173">
        <f t="shared" ref="Z112:Z126" si="67">V112-AA112</f>
        <v>2527483</v>
      </c>
      <c r="AA112" s="389">
        <f>38972517-29000000</f>
        <v>9972517</v>
      </c>
      <c r="AB112" s="172" t="s">
        <v>538</v>
      </c>
      <c r="AC112" s="172">
        <v>742000</v>
      </c>
      <c r="AD112" s="292"/>
      <c r="AE112" s="292"/>
      <c r="AF112" s="292"/>
      <c r="AG112" s="292"/>
      <c r="AH112" s="173">
        <f>SUM(AD112:AG112)</f>
        <v>0</v>
      </c>
      <c r="AI112" s="173">
        <f>V112-AH112</f>
        <v>12500000</v>
      </c>
      <c r="AJ112" s="522"/>
      <c r="AK112" s="522"/>
      <c r="AL112" s="172"/>
      <c r="AM112" s="173">
        <f>AI112-AN112</f>
        <v>2527483</v>
      </c>
      <c r="AN112" s="389">
        <f>38972517-29000000</f>
        <v>9972517</v>
      </c>
      <c r="AO112" s="314">
        <f>AI112</f>
        <v>12500000</v>
      </c>
      <c r="AP112" s="314">
        <f>M112</f>
        <v>31890707.340000004</v>
      </c>
      <c r="AQ112" s="172"/>
      <c r="AR112" s="518">
        <f>AO112</f>
        <v>12500000</v>
      </c>
      <c r="AS112" s="173">
        <f t="shared" ref="AS112:AS126" si="68">M112</f>
        <v>31890707.340000004</v>
      </c>
      <c r="AT112" s="173">
        <f>SUM(AR112:AS112)</f>
        <v>44390707.340000004</v>
      </c>
      <c r="AU112" s="173">
        <f t="shared" ref="AU112:AU126" si="69">D112-L112-AT112</f>
        <v>0</v>
      </c>
      <c r="AV112" s="173">
        <f>AR112+AS112-M112</f>
        <v>12500000</v>
      </c>
      <c r="AW112" s="173"/>
      <c r="AX112" s="292"/>
      <c r="AY112" s="292"/>
      <c r="AZ112" s="518">
        <f>AS112-M112+AR112-BA112</f>
        <v>2527483</v>
      </c>
      <c r="BA112" s="518">
        <f>38972517-29000000</f>
        <v>9972517</v>
      </c>
      <c r="BB112" s="173">
        <f t="shared" ref="BB112:BB126" si="70">AS112-M112</f>
        <v>0</v>
      </c>
      <c r="BC112" s="4">
        <f t="shared" ref="BC112:BC126" si="71">AR112</f>
        <v>12500000</v>
      </c>
      <c r="BD112" s="4">
        <v>12500000</v>
      </c>
      <c r="BE112" s="4"/>
      <c r="BF112" s="4"/>
      <c r="BG112" s="10"/>
      <c r="BH112" s="4">
        <f>SUM(BD112:BG112)</f>
        <v>12500000</v>
      </c>
      <c r="BI112" s="40"/>
      <c r="BJ112" s="4">
        <f t="shared" ref="BJ112:BJ126" si="72">BH112+BI112</f>
        <v>12500000</v>
      </c>
      <c r="BK112" s="472">
        <f t="shared" ref="BK112:BK126" si="73">AV112-BJ112</f>
        <v>0</v>
      </c>
      <c r="BL112" s="4"/>
      <c r="BM112" s="4"/>
      <c r="BN112" s="4"/>
      <c r="BO112" s="4">
        <f>BJ112-BP112</f>
        <v>2527483</v>
      </c>
      <c r="BP112" s="4">
        <v>9972517</v>
      </c>
      <c r="BR112" s="296"/>
    </row>
    <row r="113" spans="1:68" ht="30" customHeight="1">
      <c r="A113" s="172">
        <v>104</v>
      </c>
      <c r="B113" s="292">
        <v>1827</v>
      </c>
      <c r="C113" s="172" t="s">
        <v>702</v>
      </c>
      <c r="D113" s="173">
        <v>100000000</v>
      </c>
      <c r="E113" s="173">
        <v>100000000</v>
      </c>
      <c r="F113" s="173">
        <f t="shared" si="63"/>
        <v>0</v>
      </c>
      <c r="G113" s="173">
        <v>68454164</v>
      </c>
      <c r="H113" s="173">
        <v>64999129</v>
      </c>
      <c r="I113" s="173"/>
      <c r="J113" s="173">
        <v>3355030.77</v>
      </c>
      <c r="K113" s="173">
        <f t="shared" ref="K113:K126" si="74">SUM(I113:J113)</f>
        <v>3355030.77</v>
      </c>
      <c r="L113" s="173">
        <f t="shared" ref="L113:L126" si="75">K113+H113</f>
        <v>68354159.769999996</v>
      </c>
      <c r="M113" s="173">
        <f t="shared" ref="M113:M126" si="76">Q113+T113</f>
        <v>100004.23000000417</v>
      </c>
      <c r="N113" s="173">
        <v>36731362</v>
      </c>
      <c r="O113" s="173">
        <f t="shared" si="64"/>
        <v>31545836</v>
      </c>
      <c r="P113" s="173">
        <f t="shared" si="65"/>
        <v>0</v>
      </c>
      <c r="Q113" s="173">
        <f t="shared" ref="Q113:Q126" si="77">G113-L113</f>
        <v>100004.23000000417</v>
      </c>
      <c r="R113" s="173"/>
      <c r="S113" s="173"/>
      <c r="T113" s="173">
        <f t="shared" si="66"/>
        <v>0</v>
      </c>
      <c r="U113" s="173">
        <f t="shared" ref="U113:U126" si="78">Q113-M113+T113</f>
        <v>0</v>
      </c>
      <c r="V113" s="173">
        <f t="shared" ref="V113:V126" si="79">N113-U113</f>
        <v>36731362</v>
      </c>
      <c r="W113" s="173"/>
      <c r="X113" s="173"/>
      <c r="Y113" s="173"/>
      <c r="Z113" s="173">
        <f t="shared" si="67"/>
        <v>0</v>
      </c>
      <c r="AA113" s="173">
        <f>70000000-33268638</f>
        <v>36731362</v>
      </c>
      <c r="AB113" s="172" t="s">
        <v>538</v>
      </c>
      <c r="AC113" s="172">
        <v>746000</v>
      </c>
      <c r="AD113" s="292"/>
      <c r="AE113" s="292"/>
      <c r="AF113" s="173">
        <v>5185526</v>
      </c>
      <c r="AG113" s="173"/>
      <c r="AH113" s="173">
        <f t="shared" ref="AH113:AH126" si="80">SUM(AD113:AG113)</f>
        <v>5185526</v>
      </c>
      <c r="AI113" s="173">
        <f t="shared" ref="AI113:AI126" si="81">V113-AH113</f>
        <v>31545836</v>
      </c>
      <c r="AJ113" s="522"/>
      <c r="AK113" s="522"/>
      <c r="AL113" s="172"/>
      <c r="AM113" s="173">
        <f>AI113-AN113</f>
        <v>0</v>
      </c>
      <c r="AN113" s="173">
        <v>31545836</v>
      </c>
      <c r="AO113" s="314">
        <f>AH113</f>
        <v>5185526</v>
      </c>
      <c r="AP113" s="314">
        <f>M113</f>
        <v>100004.23000000417</v>
      </c>
      <c r="AQ113" s="172"/>
      <c r="AR113" s="518">
        <f t="shared" ref="AR113:AR126" si="82">AO113</f>
        <v>5185526</v>
      </c>
      <c r="AS113" s="173">
        <f t="shared" si="68"/>
        <v>100004.23000000417</v>
      </c>
      <c r="AT113" s="173">
        <f t="shared" ref="AT113:AT126" si="83">SUM(AR113:AS113)</f>
        <v>5285530.2300000042</v>
      </c>
      <c r="AU113" s="173">
        <f t="shared" si="69"/>
        <v>26360310</v>
      </c>
      <c r="AV113" s="173">
        <f t="shared" ref="AV113:AV126" si="84">AR113+AS113-M113</f>
        <v>5185526</v>
      </c>
      <c r="AW113" s="173"/>
      <c r="AX113" s="292"/>
      <c r="AY113" s="292"/>
      <c r="AZ113" s="518">
        <f t="shared" ref="AZ113:AZ126" si="85">AS113-M113+AR113-BA113</f>
        <v>0</v>
      </c>
      <c r="BA113" s="518">
        <v>5185526</v>
      </c>
      <c r="BB113" s="173">
        <f t="shared" si="70"/>
        <v>0</v>
      </c>
      <c r="BC113" s="4">
        <f t="shared" si="71"/>
        <v>5185526</v>
      </c>
      <c r="BD113" s="4">
        <v>5185526</v>
      </c>
      <c r="BE113" s="4"/>
      <c r="BF113" s="4"/>
      <c r="BG113" s="10"/>
      <c r="BH113" s="4">
        <f t="shared" ref="BH113:BH126" si="86">SUM(BD113:BG113)</f>
        <v>5185526</v>
      </c>
      <c r="BI113" s="40"/>
      <c r="BJ113" s="4">
        <f t="shared" si="72"/>
        <v>5185526</v>
      </c>
      <c r="BK113" s="472">
        <f t="shared" si="73"/>
        <v>0</v>
      </c>
      <c r="BL113" s="4"/>
      <c r="BM113" s="4"/>
      <c r="BN113" s="4"/>
      <c r="BO113" s="4">
        <f t="shared" ref="BO113:BO126" si="87">BJ113-BP113</f>
        <v>0</v>
      </c>
      <c r="BP113" s="4">
        <v>5185526</v>
      </c>
    </row>
    <row r="114" spans="1:68" s="176" customFormat="1" ht="30" customHeight="1">
      <c r="A114" s="172">
        <v>105</v>
      </c>
      <c r="B114" s="172">
        <v>1905</v>
      </c>
      <c r="C114" s="172" t="s">
        <v>131</v>
      </c>
      <c r="D114" s="173">
        <v>3366000</v>
      </c>
      <c r="E114" s="173">
        <v>3366000</v>
      </c>
      <c r="F114" s="173">
        <f t="shared" si="63"/>
        <v>0</v>
      </c>
      <c r="G114" s="173">
        <v>3366000</v>
      </c>
      <c r="H114" s="173">
        <v>0</v>
      </c>
      <c r="I114" s="173"/>
      <c r="J114" s="173"/>
      <c r="K114" s="173">
        <f t="shared" si="74"/>
        <v>0</v>
      </c>
      <c r="L114" s="173">
        <f t="shared" si="75"/>
        <v>0</v>
      </c>
      <c r="M114" s="173">
        <f t="shared" si="76"/>
        <v>3366000</v>
      </c>
      <c r="N114" s="173"/>
      <c r="O114" s="173">
        <f t="shared" si="64"/>
        <v>0</v>
      </c>
      <c r="P114" s="173">
        <f t="shared" si="65"/>
        <v>0</v>
      </c>
      <c r="Q114" s="173">
        <f t="shared" si="77"/>
        <v>3366000</v>
      </c>
      <c r="R114" s="173"/>
      <c r="S114" s="173"/>
      <c r="T114" s="173">
        <f t="shared" si="66"/>
        <v>0</v>
      </c>
      <c r="U114" s="173">
        <f t="shared" si="78"/>
        <v>0</v>
      </c>
      <c r="V114" s="173">
        <f t="shared" si="79"/>
        <v>0</v>
      </c>
      <c r="W114" s="173"/>
      <c r="X114" s="173"/>
      <c r="Y114" s="173"/>
      <c r="Z114" s="173">
        <f t="shared" si="67"/>
        <v>0</v>
      </c>
      <c r="AA114" s="173"/>
      <c r="AB114" s="172" t="s">
        <v>546</v>
      </c>
      <c r="AC114" s="172">
        <v>746000</v>
      </c>
      <c r="AD114" s="292"/>
      <c r="AE114" s="292"/>
      <c r="AF114" s="292"/>
      <c r="AG114" s="292"/>
      <c r="AH114" s="173">
        <f t="shared" si="80"/>
        <v>0</v>
      </c>
      <c r="AI114" s="173">
        <f t="shared" si="81"/>
        <v>0</v>
      </c>
      <c r="AJ114" s="522"/>
      <c r="AK114" s="522"/>
      <c r="AL114" s="172"/>
      <c r="AM114" s="173">
        <f t="shared" ref="AM114:AM126" si="88">AI114-AN114</f>
        <v>0</v>
      </c>
      <c r="AN114" s="173"/>
      <c r="AO114" s="278"/>
      <c r="AP114" s="278">
        <v>3366000</v>
      </c>
      <c r="AQ114" s="172" t="s">
        <v>1111</v>
      </c>
      <c r="AR114" s="518">
        <f t="shared" si="82"/>
        <v>0</v>
      </c>
      <c r="AS114" s="173">
        <f t="shared" si="68"/>
        <v>3366000</v>
      </c>
      <c r="AT114" s="173">
        <f t="shared" si="83"/>
        <v>3366000</v>
      </c>
      <c r="AU114" s="173">
        <f t="shared" si="69"/>
        <v>0</v>
      </c>
      <c r="AV114" s="173">
        <f t="shared" si="84"/>
        <v>0</v>
      </c>
      <c r="AW114" s="173"/>
      <c r="AX114" s="292"/>
      <c r="AY114" s="292"/>
      <c r="AZ114" s="518">
        <f t="shared" si="85"/>
        <v>0</v>
      </c>
      <c r="BA114" s="518"/>
      <c r="BB114" s="173">
        <f t="shared" si="70"/>
        <v>0</v>
      </c>
      <c r="BC114" s="4">
        <f t="shared" si="71"/>
        <v>0</v>
      </c>
      <c r="BD114" s="4"/>
      <c r="BE114" s="4"/>
      <c r="BF114" s="4"/>
      <c r="BG114" s="10"/>
      <c r="BH114" s="4">
        <f t="shared" si="86"/>
        <v>0</v>
      </c>
      <c r="BI114" s="40"/>
      <c r="BJ114" s="4">
        <f t="shared" si="72"/>
        <v>0</v>
      </c>
      <c r="BK114" s="472">
        <f t="shared" si="73"/>
        <v>0</v>
      </c>
      <c r="BL114" s="4"/>
      <c r="BM114" s="4"/>
      <c r="BN114" s="4"/>
      <c r="BO114" s="4">
        <f t="shared" si="87"/>
        <v>0</v>
      </c>
      <c r="BP114" s="4"/>
    </row>
    <row r="115" spans="1:68" s="176" customFormat="1" ht="30" customHeight="1">
      <c r="A115" s="172">
        <v>106</v>
      </c>
      <c r="B115" s="172">
        <v>1906</v>
      </c>
      <c r="C115" s="172" t="s">
        <v>1604</v>
      </c>
      <c r="D115" s="173">
        <v>9708844</v>
      </c>
      <c r="E115" s="173">
        <v>9708844</v>
      </c>
      <c r="F115" s="173">
        <f t="shared" si="63"/>
        <v>0</v>
      </c>
      <c r="G115" s="173">
        <v>9708844</v>
      </c>
      <c r="H115" s="173">
        <v>9664014.7799999993</v>
      </c>
      <c r="I115" s="173"/>
      <c r="J115" s="173">
        <v>39491.86</v>
      </c>
      <c r="K115" s="173">
        <f t="shared" si="74"/>
        <v>39491.86</v>
      </c>
      <c r="L115" s="173">
        <f t="shared" si="75"/>
        <v>9703506.6399999987</v>
      </c>
      <c r="M115" s="173">
        <f t="shared" si="76"/>
        <v>5337.3600000012666</v>
      </c>
      <c r="N115" s="173"/>
      <c r="O115" s="173">
        <f t="shared" si="64"/>
        <v>0</v>
      </c>
      <c r="P115" s="173">
        <f t="shared" si="65"/>
        <v>0</v>
      </c>
      <c r="Q115" s="173">
        <f t="shared" si="77"/>
        <v>5337.3600000012666</v>
      </c>
      <c r="R115" s="173"/>
      <c r="S115" s="173"/>
      <c r="T115" s="173">
        <f t="shared" si="66"/>
        <v>0</v>
      </c>
      <c r="U115" s="173">
        <f t="shared" si="78"/>
        <v>0</v>
      </c>
      <c r="V115" s="173">
        <f t="shared" si="79"/>
        <v>0</v>
      </c>
      <c r="W115" s="173"/>
      <c r="X115" s="173"/>
      <c r="Y115" s="173"/>
      <c r="Z115" s="173">
        <f t="shared" si="67"/>
        <v>0</v>
      </c>
      <c r="AA115" s="172"/>
      <c r="AB115" s="172"/>
      <c r="AC115" s="172">
        <v>810000</v>
      </c>
      <c r="AD115" s="292"/>
      <c r="AE115" s="292"/>
      <c r="AF115" s="292"/>
      <c r="AG115" s="292"/>
      <c r="AH115" s="173">
        <f t="shared" si="80"/>
        <v>0</v>
      </c>
      <c r="AI115" s="173">
        <f t="shared" si="81"/>
        <v>0</v>
      </c>
      <c r="AJ115" s="522"/>
      <c r="AK115" s="522"/>
      <c r="AL115" s="172"/>
      <c r="AM115" s="173">
        <f t="shared" si="88"/>
        <v>0</v>
      </c>
      <c r="AN115" s="173"/>
      <c r="AO115" s="278"/>
      <c r="AP115" s="278"/>
      <c r="AQ115" s="172"/>
      <c r="AR115" s="518">
        <f t="shared" si="82"/>
        <v>0</v>
      </c>
      <c r="AS115" s="173">
        <f t="shared" si="68"/>
        <v>5337.3600000012666</v>
      </c>
      <c r="AT115" s="173">
        <f t="shared" si="83"/>
        <v>5337.3600000012666</v>
      </c>
      <c r="AU115" s="173">
        <f t="shared" si="69"/>
        <v>0</v>
      </c>
      <c r="AV115" s="173">
        <f t="shared" si="84"/>
        <v>0</v>
      </c>
      <c r="AW115" s="173"/>
      <c r="AX115" s="292"/>
      <c r="AY115" s="292"/>
      <c r="AZ115" s="518">
        <f t="shared" si="85"/>
        <v>0</v>
      </c>
      <c r="BA115" s="518"/>
      <c r="BB115" s="173">
        <f t="shared" si="70"/>
        <v>0</v>
      </c>
      <c r="BC115" s="4">
        <f t="shared" si="71"/>
        <v>0</v>
      </c>
      <c r="BD115" s="4"/>
      <c r="BE115" s="4"/>
      <c r="BF115" s="4"/>
      <c r="BG115" s="10"/>
      <c r="BH115" s="4">
        <f t="shared" si="86"/>
        <v>0</v>
      </c>
      <c r="BI115" s="40"/>
      <c r="BJ115" s="4">
        <f t="shared" si="72"/>
        <v>0</v>
      </c>
      <c r="BK115" s="472">
        <f t="shared" si="73"/>
        <v>0</v>
      </c>
      <c r="BL115" s="4"/>
      <c r="BM115" s="4"/>
      <c r="BN115" s="4"/>
      <c r="BO115" s="4">
        <f t="shared" si="87"/>
        <v>0</v>
      </c>
      <c r="BP115" s="4"/>
    </row>
    <row r="116" spans="1:68" s="176" customFormat="1" ht="30" customHeight="1">
      <c r="A116" s="172">
        <v>107</v>
      </c>
      <c r="B116" s="172">
        <v>1907</v>
      </c>
      <c r="C116" s="172" t="s">
        <v>1605</v>
      </c>
      <c r="D116" s="173">
        <v>9708844</v>
      </c>
      <c r="E116" s="173">
        <v>9708844</v>
      </c>
      <c r="F116" s="173">
        <f t="shared" si="63"/>
        <v>0</v>
      </c>
      <c r="G116" s="173">
        <v>9708844</v>
      </c>
      <c r="H116" s="173">
        <v>8495982.5</v>
      </c>
      <c r="I116" s="173"/>
      <c r="J116" s="173">
        <v>1043900.89</v>
      </c>
      <c r="K116" s="173">
        <f t="shared" si="74"/>
        <v>1043900.89</v>
      </c>
      <c r="L116" s="173">
        <f t="shared" si="75"/>
        <v>9539883.3900000006</v>
      </c>
      <c r="M116" s="173">
        <f t="shared" si="76"/>
        <v>168960.6099999994</v>
      </c>
      <c r="N116" s="173"/>
      <c r="O116" s="173">
        <f t="shared" si="64"/>
        <v>0</v>
      </c>
      <c r="P116" s="173">
        <f t="shared" si="65"/>
        <v>0</v>
      </c>
      <c r="Q116" s="173">
        <f t="shared" si="77"/>
        <v>168960.6099999994</v>
      </c>
      <c r="R116" s="173"/>
      <c r="S116" s="173"/>
      <c r="T116" s="173">
        <f t="shared" si="66"/>
        <v>0</v>
      </c>
      <c r="U116" s="173">
        <f t="shared" si="78"/>
        <v>0</v>
      </c>
      <c r="V116" s="173">
        <f t="shared" si="79"/>
        <v>0</v>
      </c>
      <c r="W116" s="173"/>
      <c r="X116" s="173"/>
      <c r="Y116" s="173"/>
      <c r="Z116" s="173">
        <f t="shared" si="67"/>
        <v>0</v>
      </c>
      <c r="AA116" s="172"/>
      <c r="AB116" s="172"/>
      <c r="AC116" s="172">
        <v>810000</v>
      </c>
      <c r="AD116" s="292"/>
      <c r="AE116" s="292"/>
      <c r="AF116" s="292"/>
      <c r="AG116" s="292"/>
      <c r="AH116" s="173">
        <f t="shared" si="80"/>
        <v>0</v>
      </c>
      <c r="AI116" s="173">
        <f t="shared" si="81"/>
        <v>0</v>
      </c>
      <c r="AJ116" s="522"/>
      <c r="AK116" s="522"/>
      <c r="AL116" s="172"/>
      <c r="AM116" s="173">
        <f t="shared" si="88"/>
        <v>0</v>
      </c>
      <c r="AN116" s="173"/>
      <c r="AO116" s="278"/>
      <c r="AP116" s="278">
        <v>168961</v>
      </c>
      <c r="AQ116" s="172"/>
      <c r="AR116" s="518">
        <f t="shared" si="82"/>
        <v>0</v>
      </c>
      <c r="AS116" s="173">
        <f t="shared" si="68"/>
        <v>168960.6099999994</v>
      </c>
      <c r="AT116" s="173">
        <f t="shared" si="83"/>
        <v>168960.6099999994</v>
      </c>
      <c r="AU116" s="173">
        <f t="shared" si="69"/>
        <v>0</v>
      </c>
      <c r="AV116" s="173">
        <f t="shared" si="84"/>
        <v>0</v>
      </c>
      <c r="AW116" s="173"/>
      <c r="AX116" s="292"/>
      <c r="AY116" s="292"/>
      <c r="AZ116" s="518">
        <f t="shared" si="85"/>
        <v>0</v>
      </c>
      <c r="BA116" s="518"/>
      <c r="BB116" s="173">
        <f t="shared" si="70"/>
        <v>0</v>
      </c>
      <c r="BC116" s="4">
        <f t="shared" si="71"/>
        <v>0</v>
      </c>
      <c r="BD116" s="4"/>
      <c r="BE116" s="4"/>
      <c r="BF116" s="4"/>
      <c r="BG116" s="10"/>
      <c r="BH116" s="4">
        <f t="shared" si="86"/>
        <v>0</v>
      </c>
      <c r="BI116" s="40"/>
      <c r="BJ116" s="4">
        <f t="shared" si="72"/>
        <v>0</v>
      </c>
      <c r="BK116" s="472">
        <f t="shared" si="73"/>
        <v>0</v>
      </c>
      <c r="BL116" s="4"/>
      <c r="BM116" s="4"/>
      <c r="BN116" s="4"/>
      <c r="BO116" s="4">
        <f t="shared" si="87"/>
        <v>0</v>
      </c>
      <c r="BP116" s="4"/>
    </row>
    <row r="117" spans="1:68" s="176" customFormat="1" ht="30" customHeight="1">
      <c r="A117" s="172">
        <v>108</v>
      </c>
      <c r="B117" s="172">
        <v>1908</v>
      </c>
      <c r="C117" s="172" t="s">
        <v>154</v>
      </c>
      <c r="D117" s="173">
        <v>19080000</v>
      </c>
      <c r="E117" s="173">
        <v>19080000</v>
      </c>
      <c r="F117" s="173">
        <f t="shared" si="63"/>
        <v>0</v>
      </c>
      <c r="G117" s="173">
        <v>10943329</v>
      </c>
      <c r="H117" s="173">
        <v>330301</v>
      </c>
      <c r="I117" s="173"/>
      <c r="J117" s="173"/>
      <c r="K117" s="173">
        <f t="shared" si="74"/>
        <v>0</v>
      </c>
      <c r="L117" s="173">
        <f t="shared" si="75"/>
        <v>330301</v>
      </c>
      <c r="M117" s="173">
        <f t="shared" si="76"/>
        <v>10613028</v>
      </c>
      <c r="N117" s="173">
        <v>8136671</v>
      </c>
      <c r="O117" s="173">
        <f t="shared" si="64"/>
        <v>8136671</v>
      </c>
      <c r="P117" s="173">
        <f t="shared" si="65"/>
        <v>0</v>
      </c>
      <c r="Q117" s="173">
        <f t="shared" si="77"/>
        <v>10613028</v>
      </c>
      <c r="R117" s="173"/>
      <c r="S117" s="173"/>
      <c r="T117" s="173">
        <f t="shared" si="66"/>
        <v>0</v>
      </c>
      <c r="U117" s="173">
        <f t="shared" si="78"/>
        <v>0</v>
      </c>
      <c r="V117" s="173">
        <f t="shared" si="79"/>
        <v>8136671</v>
      </c>
      <c r="W117" s="173"/>
      <c r="X117" s="173"/>
      <c r="Y117" s="173"/>
      <c r="Z117" s="173">
        <f t="shared" si="67"/>
        <v>6736671</v>
      </c>
      <c r="AA117" s="173">
        <f>(128*4750+92000)*2</f>
        <v>1400000</v>
      </c>
      <c r="AB117" s="291" t="s">
        <v>900</v>
      </c>
      <c r="AC117" s="172">
        <v>810000</v>
      </c>
      <c r="AD117" s="292"/>
      <c r="AE117" s="292"/>
      <c r="AF117" s="292"/>
      <c r="AG117" s="292"/>
      <c r="AH117" s="173">
        <f t="shared" si="80"/>
        <v>0</v>
      </c>
      <c r="AI117" s="173">
        <f t="shared" si="81"/>
        <v>8136671</v>
      </c>
      <c r="AJ117" s="522"/>
      <c r="AK117" s="522"/>
      <c r="AL117" s="172"/>
      <c r="AM117" s="173">
        <f t="shared" si="88"/>
        <v>6736671</v>
      </c>
      <c r="AN117" s="173">
        <v>1400000</v>
      </c>
      <c r="AO117" s="314"/>
      <c r="AP117" s="314">
        <f>M117</f>
        <v>10613028</v>
      </c>
      <c r="AQ117" s="172"/>
      <c r="AR117" s="518">
        <f t="shared" si="82"/>
        <v>0</v>
      </c>
      <c r="AS117" s="173">
        <f t="shared" si="68"/>
        <v>10613028</v>
      </c>
      <c r="AT117" s="173">
        <f t="shared" si="83"/>
        <v>10613028</v>
      </c>
      <c r="AU117" s="173">
        <f t="shared" si="69"/>
        <v>8136671</v>
      </c>
      <c r="AV117" s="173">
        <f t="shared" si="84"/>
        <v>0</v>
      </c>
      <c r="AW117" s="173"/>
      <c r="AX117" s="292"/>
      <c r="AY117" s="292"/>
      <c r="AZ117" s="518">
        <f t="shared" si="85"/>
        <v>0</v>
      </c>
      <c r="BA117" s="518"/>
      <c r="BB117" s="173">
        <f t="shared" si="70"/>
        <v>0</v>
      </c>
      <c r="BC117" s="4">
        <f t="shared" si="71"/>
        <v>0</v>
      </c>
      <c r="BD117" s="4"/>
      <c r="BE117" s="4"/>
      <c r="BF117" s="4"/>
      <c r="BG117" s="10"/>
      <c r="BH117" s="4">
        <f t="shared" si="86"/>
        <v>0</v>
      </c>
      <c r="BI117" s="40"/>
      <c r="BJ117" s="4">
        <f t="shared" si="72"/>
        <v>0</v>
      </c>
      <c r="BK117" s="472">
        <f t="shared" si="73"/>
        <v>0</v>
      </c>
      <c r="BL117" s="4"/>
      <c r="BM117" s="4"/>
      <c r="BN117" s="4"/>
      <c r="BO117" s="4">
        <f t="shared" si="87"/>
        <v>0</v>
      </c>
      <c r="BP117" s="4"/>
    </row>
    <row r="118" spans="1:68" ht="30" customHeight="1">
      <c r="A118" s="172">
        <v>109</v>
      </c>
      <c r="B118" s="292">
        <v>1909</v>
      </c>
      <c r="C118" s="172" t="s">
        <v>824</v>
      </c>
      <c r="D118" s="173">
        <v>184500000</v>
      </c>
      <c r="E118" s="173">
        <v>184500000</v>
      </c>
      <c r="F118" s="173">
        <f t="shared" si="63"/>
        <v>0</v>
      </c>
      <c r="G118" s="173">
        <v>4150000</v>
      </c>
      <c r="H118" s="173">
        <v>2746338</v>
      </c>
      <c r="I118" s="173"/>
      <c r="J118" s="173">
        <v>1403659.46</v>
      </c>
      <c r="K118" s="173">
        <f t="shared" si="74"/>
        <v>1403659.46</v>
      </c>
      <c r="L118" s="173">
        <f t="shared" si="75"/>
        <v>4149997.46</v>
      </c>
      <c r="M118" s="173">
        <f>Q118+T118</f>
        <v>2.5400000000372529</v>
      </c>
      <c r="N118" s="173">
        <f>90000000-32000000-2500000</f>
        <v>55500000</v>
      </c>
      <c r="O118" s="173">
        <f t="shared" si="64"/>
        <v>53000000</v>
      </c>
      <c r="P118" s="173">
        <f t="shared" si="65"/>
        <v>127350000</v>
      </c>
      <c r="Q118" s="173">
        <f t="shared" si="77"/>
        <v>2.5400000000372529</v>
      </c>
      <c r="R118" s="173"/>
      <c r="S118" s="173"/>
      <c r="T118" s="173">
        <f t="shared" si="66"/>
        <v>0</v>
      </c>
      <c r="U118" s="173">
        <f t="shared" si="78"/>
        <v>0</v>
      </c>
      <c r="V118" s="173">
        <f t="shared" si="79"/>
        <v>55500000</v>
      </c>
      <c r="W118" s="173"/>
      <c r="X118" s="173"/>
      <c r="Y118" s="173"/>
      <c r="Z118" s="173">
        <f t="shared" si="67"/>
        <v>40000000</v>
      </c>
      <c r="AA118" s="173">
        <f>12000000+5*700000</f>
        <v>15500000</v>
      </c>
      <c r="AB118" s="293" t="s">
        <v>777</v>
      </c>
      <c r="AC118" s="172">
        <v>810000</v>
      </c>
      <c r="AD118" s="292"/>
      <c r="AE118" s="292"/>
      <c r="AF118" s="173">
        <v>2500000</v>
      </c>
      <c r="AG118" s="173"/>
      <c r="AH118" s="173">
        <f t="shared" si="80"/>
        <v>2500000</v>
      </c>
      <c r="AI118" s="173">
        <f t="shared" si="81"/>
        <v>53000000</v>
      </c>
      <c r="AJ118" s="522"/>
      <c r="AK118" s="522"/>
      <c r="AL118" s="172"/>
      <c r="AM118" s="173">
        <f t="shared" si="88"/>
        <v>37500000</v>
      </c>
      <c r="AN118" s="173">
        <f>12000000+5*700000</f>
        <v>15500000</v>
      </c>
      <c r="AO118" s="314">
        <f>AI118</f>
        <v>53000000</v>
      </c>
      <c r="AP118" s="278"/>
      <c r="AQ118" s="172"/>
      <c r="AR118" s="518">
        <f t="shared" si="82"/>
        <v>53000000</v>
      </c>
      <c r="AS118" s="173">
        <f t="shared" si="68"/>
        <v>2.5400000000372529</v>
      </c>
      <c r="AT118" s="173">
        <f t="shared" si="83"/>
        <v>53000002.539999999</v>
      </c>
      <c r="AU118" s="173">
        <f t="shared" si="69"/>
        <v>127350000</v>
      </c>
      <c r="AV118" s="173">
        <f t="shared" si="84"/>
        <v>53000000</v>
      </c>
      <c r="AW118" s="173"/>
      <c r="AX118" s="292"/>
      <c r="AY118" s="292"/>
      <c r="AZ118" s="518">
        <f t="shared" si="85"/>
        <v>37500000</v>
      </c>
      <c r="BA118" s="173">
        <f>12000000+5*700000</f>
        <v>15500000</v>
      </c>
      <c r="BB118" s="173">
        <f t="shared" si="70"/>
        <v>0</v>
      </c>
      <c r="BC118" s="4">
        <f t="shared" si="71"/>
        <v>53000000</v>
      </c>
      <c r="BD118" s="4">
        <v>1000000</v>
      </c>
      <c r="BE118" s="4"/>
      <c r="BF118" s="4">
        <v>5000000</v>
      </c>
      <c r="BG118" s="10"/>
      <c r="BH118" s="4">
        <f t="shared" si="86"/>
        <v>6000000</v>
      </c>
      <c r="BI118" s="4">
        <v>31500000</v>
      </c>
      <c r="BJ118" s="4">
        <f t="shared" si="72"/>
        <v>37500000</v>
      </c>
      <c r="BK118" s="472">
        <f t="shared" si="73"/>
        <v>15500000</v>
      </c>
      <c r="BL118" s="4"/>
      <c r="BM118" s="4"/>
      <c r="BN118" s="4"/>
      <c r="BO118" s="4">
        <f t="shared" si="87"/>
        <v>37500000</v>
      </c>
      <c r="BP118" s="4"/>
    </row>
    <row r="119" spans="1:68" ht="30" customHeight="1">
      <c r="A119" s="172">
        <v>110</v>
      </c>
      <c r="B119" s="292">
        <v>1911</v>
      </c>
      <c r="C119" s="172" t="s">
        <v>393</v>
      </c>
      <c r="D119" s="173">
        <v>29050000</v>
      </c>
      <c r="E119" s="173">
        <v>29050000</v>
      </c>
      <c r="F119" s="173">
        <f t="shared" si="63"/>
        <v>0</v>
      </c>
      <c r="G119" s="173">
        <v>9182067</v>
      </c>
      <c r="H119" s="173">
        <v>465963</v>
      </c>
      <c r="I119" s="173"/>
      <c r="J119" s="173">
        <v>673298.9</v>
      </c>
      <c r="K119" s="173">
        <f t="shared" si="74"/>
        <v>673298.9</v>
      </c>
      <c r="L119" s="173">
        <f t="shared" si="75"/>
        <v>1139261.8999999999</v>
      </c>
      <c r="M119" s="173">
        <f>Q119+T119</f>
        <v>8042805.0999999996</v>
      </c>
      <c r="N119" s="173"/>
      <c r="O119" s="173">
        <f t="shared" si="64"/>
        <v>0</v>
      </c>
      <c r="P119" s="173">
        <f t="shared" si="65"/>
        <v>19867933</v>
      </c>
      <c r="Q119" s="173">
        <f t="shared" si="77"/>
        <v>8042805.0999999996</v>
      </c>
      <c r="R119" s="173"/>
      <c r="S119" s="173"/>
      <c r="T119" s="173">
        <f t="shared" si="66"/>
        <v>0</v>
      </c>
      <c r="U119" s="173">
        <f t="shared" si="78"/>
        <v>0</v>
      </c>
      <c r="V119" s="173">
        <f t="shared" si="79"/>
        <v>0</v>
      </c>
      <c r="W119" s="173">
        <f t="shared" ref="W119:W126" si="89">V119-Z119-Y119-AA119</f>
        <v>0</v>
      </c>
      <c r="X119" s="173"/>
      <c r="Y119" s="173"/>
      <c r="Z119" s="173">
        <f t="shared" si="67"/>
        <v>0</v>
      </c>
      <c r="AA119" s="172"/>
      <c r="AB119" s="293" t="s">
        <v>703</v>
      </c>
      <c r="AC119" s="172">
        <v>810000</v>
      </c>
      <c r="AD119" s="292"/>
      <c r="AE119" s="292"/>
      <c r="AF119" s="292"/>
      <c r="AG119" s="292"/>
      <c r="AH119" s="173">
        <f t="shared" si="80"/>
        <v>0</v>
      </c>
      <c r="AI119" s="173">
        <f t="shared" si="81"/>
        <v>0</v>
      </c>
      <c r="AJ119" s="522"/>
      <c r="AK119" s="522"/>
      <c r="AL119" s="172"/>
      <c r="AM119" s="173">
        <f t="shared" si="88"/>
        <v>0</v>
      </c>
      <c r="AN119" s="173"/>
      <c r="AO119" s="278"/>
      <c r="AP119" s="314">
        <f>M119</f>
        <v>8042805.0999999996</v>
      </c>
      <c r="AQ119" s="172"/>
      <c r="AR119" s="518">
        <f t="shared" si="82"/>
        <v>0</v>
      </c>
      <c r="AS119" s="173">
        <f t="shared" si="68"/>
        <v>8042805.0999999996</v>
      </c>
      <c r="AT119" s="173">
        <f t="shared" si="83"/>
        <v>8042805.0999999996</v>
      </c>
      <c r="AU119" s="173">
        <f t="shared" si="69"/>
        <v>19867933</v>
      </c>
      <c r="AV119" s="173">
        <f t="shared" si="84"/>
        <v>0</v>
      </c>
      <c r="AW119" s="173"/>
      <c r="AX119" s="292"/>
      <c r="AY119" s="292"/>
      <c r="AZ119" s="518">
        <f t="shared" si="85"/>
        <v>0</v>
      </c>
      <c r="BA119" s="518"/>
      <c r="BB119" s="173">
        <f t="shared" si="70"/>
        <v>0</v>
      </c>
      <c r="BC119" s="4">
        <f t="shared" si="71"/>
        <v>0</v>
      </c>
      <c r="BD119" s="4"/>
      <c r="BE119" s="4"/>
      <c r="BF119" s="4"/>
      <c r="BG119" s="10"/>
      <c r="BH119" s="4">
        <f t="shared" si="86"/>
        <v>0</v>
      </c>
      <c r="BI119" s="4"/>
      <c r="BJ119" s="4">
        <f t="shared" si="72"/>
        <v>0</v>
      </c>
      <c r="BK119" s="472">
        <f t="shared" si="73"/>
        <v>0</v>
      </c>
      <c r="BL119" s="4"/>
      <c r="BM119" s="4"/>
      <c r="BN119" s="4"/>
      <c r="BO119" s="4">
        <f t="shared" si="87"/>
        <v>0</v>
      </c>
      <c r="BP119" s="4"/>
    </row>
    <row r="120" spans="1:68" ht="42">
      <c r="A120" s="172">
        <v>111</v>
      </c>
      <c r="B120" s="292">
        <v>1912</v>
      </c>
      <c r="C120" s="172" t="s">
        <v>704</v>
      </c>
      <c r="D120" s="173">
        <v>310000000</v>
      </c>
      <c r="E120" s="173">
        <v>310000000</v>
      </c>
      <c r="F120" s="173">
        <f t="shared" si="63"/>
        <v>0</v>
      </c>
      <c r="G120" s="173">
        <v>5000000</v>
      </c>
      <c r="H120" s="173">
        <v>3602311</v>
      </c>
      <c r="I120" s="173"/>
      <c r="J120" s="173">
        <v>184005.38</v>
      </c>
      <c r="K120" s="173">
        <f t="shared" si="74"/>
        <v>184005.38</v>
      </c>
      <c r="L120" s="173">
        <f t="shared" si="75"/>
        <v>3786316.38</v>
      </c>
      <c r="M120" s="173">
        <f t="shared" si="76"/>
        <v>1213683.6200000001</v>
      </c>
      <c r="N120" s="173">
        <f>85000000-32000000-2500000</f>
        <v>50500000</v>
      </c>
      <c r="O120" s="173">
        <f t="shared" si="64"/>
        <v>50500000</v>
      </c>
      <c r="P120" s="173">
        <f t="shared" si="65"/>
        <v>254500000</v>
      </c>
      <c r="Q120" s="173">
        <f t="shared" si="77"/>
        <v>1213683.6200000001</v>
      </c>
      <c r="R120" s="173"/>
      <c r="S120" s="173"/>
      <c r="T120" s="173">
        <f t="shared" si="66"/>
        <v>0</v>
      </c>
      <c r="U120" s="173">
        <f t="shared" si="78"/>
        <v>0</v>
      </c>
      <c r="V120" s="173">
        <f t="shared" si="79"/>
        <v>50500000</v>
      </c>
      <c r="W120" s="173">
        <f t="shared" si="89"/>
        <v>0</v>
      </c>
      <c r="X120" s="173"/>
      <c r="Y120" s="173"/>
      <c r="Z120" s="173">
        <f t="shared" si="67"/>
        <v>38500000</v>
      </c>
      <c r="AA120" s="173">
        <v>12000000</v>
      </c>
      <c r="AB120" s="293" t="s">
        <v>776</v>
      </c>
      <c r="AC120" s="172">
        <v>810000</v>
      </c>
      <c r="AD120" s="292"/>
      <c r="AE120" s="292"/>
      <c r="AF120" s="173"/>
      <c r="AG120" s="173"/>
      <c r="AH120" s="173">
        <f t="shared" si="80"/>
        <v>0</v>
      </c>
      <c r="AI120" s="173">
        <f t="shared" si="81"/>
        <v>50500000</v>
      </c>
      <c r="AJ120" s="522"/>
      <c r="AK120" s="522"/>
      <c r="AL120" s="172"/>
      <c r="AM120" s="173">
        <f t="shared" si="88"/>
        <v>38500000</v>
      </c>
      <c r="AN120" s="173">
        <v>12000000</v>
      </c>
      <c r="AO120" s="314">
        <f>AI120</f>
        <v>50500000</v>
      </c>
      <c r="AP120" s="314">
        <f>M120</f>
        <v>1213683.6200000001</v>
      </c>
      <c r="AQ120" s="172"/>
      <c r="AR120" s="518">
        <f t="shared" si="82"/>
        <v>50500000</v>
      </c>
      <c r="AS120" s="173">
        <f t="shared" si="68"/>
        <v>1213683.6200000001</v>
      </c>
      <c r="AT120" s="173">
        <f t="shared" si="83"/>
        <v>51713683.619999997</v>
      </c>
      <c r="AU120" s="173">
        <f t="shared" si="69"/>
        <v>254500000</v>
      </c>
      <c r="AV120" s="173">
        <f t="shared" si="84"/>
        <v>50500000</v>
      </c>
      <c r="AW120" s="173"/>
      <c r="AX120" s="292"/>
      <c r="AY120" s="292"/>
      <c r="AZ120" s="518">
        <f t="shared" si="85"/>
        <v>38500000</v>
      </c>
      <c r="BA120" s="173">
        <v>12000000</v>
      </c>
      <c r="BB120" s="173">
        <f t="shared" si="70"/>
        <v>0</v>
      </c>
      <c r="BC120" s="4">
        <f t="shared" si="71"/>
        <v>50500000</v>
      </c>
      <c r="BD120" s="4">
        <v>1000000</v>
      </c>
      <c r="BE120" s="4"/>
      <c r="BF120" s="4">
        <v>2000000</v>
      </c>
      <c r="BG120" s="10">
        <v>3500000</v>
      </c>
      <c r="BH120" s="4">
        <f t="shared" si="86"/>
        <v>6500000</v>
      </c>
      <c r="BI120" s="4">
        <v>32000000</v>
      </c>
      <c r="BJ120" s="4">
        <f t="shared" si="72"/>
        <v>38500000</v>
      </c>
      <c r="BK120" s="472">
        <f t="shared" si="73"/>
        <v>12000000</v>
      </c>
      <c r="BL120" s="4"/>
      <c r="BM120" s="4"/>
      <c r="BN120" s="4"/>
      <c r="BO120" s="4">
        <f t="shared" si="87"/>
        <v>38500000</v>
      </c>
      <c r="BP120" s="4"/>
    </row>
    <row r="121" spans="1:68" ht="30" customHeight="1">
      <c r="A121" s="172">
        <v>112</v>
      </c>
      <c r="B121" s="292">
        <v>1914</v>
      </c>
      <c r="C121" s="172" t="s">
        <v>153</v>
      </c>
      <c r="D121" s="173">
        <v>8100000</v>
      </c>
      <c r="E121" s="173">
        <v>8100000</v>
      </c>
      <c r="F121" s="173">
        <f t="shared" si="63"/>
        <v>0</v>
      </c>
      <c r="G121" s="173">
        <v>1300000</v>
      </c>
      <c r="H121" s="173">
        <v>368449.5</v>
      </c>
      <c r="I121" s="173"/>
      <c r="J121" s="173"/>
      <c r="K121" s="173">
        <f t="shared" si="74"/>
        <v>0</v>
      </c>
      <c r="L121" s="173">
        <f t="shared" si="75"/>
        <v>368449.5</v>
      </c>
      <c r="M121" s="173">
        <f>Q121+T121</f>
        <v>931550.5</v>
      </c>
      <c r="N121" s="173">
        <v>6800000</v>
      </c>
      <c r="O121" s="173">
        <f t="shared" si="64"/>
        <v>6800000</v>
      </c>
      <c r="P121" s="173">
        <f t="shared" si="65"/>
        <v>0</v>
      </c>
      <c r="Q121" s="173">
        <f t="shared" si="77"/>
        <v>931550.5</v>
      </c>
      <c r="R121" s="173"/>
      <c r="S121" s="173"/>
      <c r="T121" s="173">
        <f t="shared" si="66"/>
        <v>0</v>
      </c>
      <c r="U121" s="173">
        <f t="shared" si="78"/>
        <v>0</v>
      </c>
      <c r="V121" s="173">
        <f t="shared" si="79"/>
        <v>6800000</v>
      </c>
      <c r="W121" s="173">
        <f t="shared" si="89"/>
        <v>0</v>
      </c>
      <c r="X121" s="173"/>
      <c r="Y121" s="173"/>
      <c r="Z121" s="173">
        <f t="shared" si="67"/>
        <v>6800000</v>
      </c>
      <c r="AA121" s="172"/>
      <c r="AB121" s="411" t="s">
        <v>901</v>
      </c>
      <c r="AC121" s="172">
        <v>810000</v>
      </c>
      <c r="AD121" s="292"/>
      <c r="AE121" s="292"/>
      <c r="AF121" s="292"/>
      <c r="AG121" s="292"/>
      <c r="AH121" s="173">
        <f t="shared" si="80"/>
        <v>0</v>
      </c>
      <c r="AI121" s="173">
        <f t="shared" si="81"/>
        <v>6800000</v>
      </c>
      <c r="AJ121" s="522"/>
      <c r="AK121" s="522"/>
      <c r="AL121" s="172"/>
      <c r="AM121" s="173">
        <f t="shared" si="88"/>
        <v>6800000</v>
      </c>
      <c r="AN121" s="173"/>
      <c r="AO121" s="314">
        <f>AI121</f>
        <v>6800000</v>
      </c>
      <c r="AP121" s="314">
        <f>M121</f>
        <v>931550.5</v>
      </c>
      <c r="AQ121" s="172"/>
      <c r="AR121" s="518">
        <f t="shared" si="82"/>
        <v>6800000</v>
      </c>
      <c r="AS121" s="173">
        <f t="shared" si="68"/>
        <v>931550.5</v>
      </c>
      <c r="AT121" s="173">
        <f t="shared" si="83"/>
        <v>7731550.5</v>
      </c>
      <c r="AU121" s="173">
        <f t="shared" si="69"/>
        <v>0</v>
      </c>
      <c r="AV121" s="173">
        <f t="shared" si="84"/>
        <v>6800000</v>
      </c>
      <c r="AW121" s="173"/>
      <c r="AX121" s="292"/>
      <c r="AY121" s="292"/>
      <c r="AZ121" s="518">
        <f t="shared" si="85"/>
        <v>6800000</v>
      </c>
      <c r="BA121" s="518"/>
      <c r="BB121" s="173">
        <f t="shared" si="70"/>
        <v>0</v>
      </c>
      <c r="BC121" s="4">
        <f t="shared" si="71"/>
        <v>6800000</v>
      </c>
      <c r="BD121" s="4">
        <v>3800000</v>
      </c>
      <c r="BE121" s="4"/>
      <c r="BF121" s="4">
        <v>3000000</v>
      </c>
      <c r="BG121" s="10"/>
      <c r="BH121" s="4">
        <f t="shared" si="86"/>
        <v>6800000</v>
      </c>
      <c r="BI121" s="4"/>
      <c r="BJ121" s="4">
        <f t="shared" si="72"/>
        <v>6800000</v>
      </c>
      <c r="BK121" s="472">
        <f t="shared" si="73"/>
        <v>0</v>
      </c>
      <c r="BL121" s="4"/>
      <c r="BM121" s="4"/>
      <c r="BN121" s="4"/>
      <c r="BO121" s="4">
        <f t="shared" si="87"/>
        <v>6800000</v>
      </c>
      <c r="BP121" s="4"/>
    </row>
    <row r="122" spans="1:68" ht="30" customHeight="1">
      <c r="A122" s="172">
        <v>113</v>
      </c>
      <c r="B122" s="292">
        <v>1919</v>
      </c>
      <c r="C122" s="172" t="s">
        <v>134</v>
      </c>
      <c r="D122" s="173">
        <v>135100000</v>
      </c>
      <c r="E122" s="173">
        <v>135100000</v>
      </c>
      <c r="F122" s="173">
        <f t="shared" si="63"/>
        <v>0</v>
      </c>
      <c r="G122" s="173">
        <v>40604778</v>
      </c>
      <c r="H122" s="173">
        <v>36494847.539999999</v>
      </c>
      <c r="I122" s="173"/>
      <c r="J122" s="173">
        <v>3416915.02</v>
      </c>
      <c r="K122" s="173">
        <f t="shared" si="74"/>
        <v>3416915.02</v>
      </c>
      <c r="L122" s="173">
        <f t="shared" si="75"/>
        <v>39911762.560000002</v>
      </c>
      <c r="M122" s="173">
        <f t="shared" si="76"/>
        <v>693015.43999999762</v>
      </c>
      <c r="N122" s="173"/>
      <c r="O122" s="173">
        <f t="shared" si="64"/>
        <v>0</v>
      </c>
      <c r="P122" s="173">
        <f t="shared" si="65"/>
        <v>94495222</v>
      </c>
      <c r="Q122" s="173">
        <f t="shared" si="77"/>
        <v>693015.43999999762</v>
      </c>
      <c r="R122" s="173"/>
      <c r="S122" s="173"/>
      <c r="T122" s="173">
        <f t="shared" si="66"/>
        <v>0</v>
      </c>
      <c r="U122" s="173">
        <f t="shared" si="78"/>
        <v>0</v>
      </c>
      <c r="V122" s="173">
        <f t="shared" si="79"/>
        <v>0</v>
      </c>
      <c r="W122" s="173">
        <f t="shared" si="89"/>
        <v>0</v>
      </c>
      <c r="X122" s="173"/>
      <c r="Y122" s="173"/>
      <c r="Z122" s="173">
        <f t="shared" si="67"/>
        <v>-1170797</v>
      </c>
      <c r="AA122" s="173">
        <v>1170797</v>
      </c>
      <c r="AB122" s="172" t="s">
        <v>787</v>
      </c>
      <c r="AC122" s="172">
        <v>742000</v>
      </c>
      <c r="AD122" s="292"/>
      <c r="AE122" s="292"/>
      <c r="AF122" s="292"/>
      <c r="AG122" s="292"/>
      <c r="AH122" s="173">
        <f t="shared" si="80"/>
        <v>0</v>
      </c>
      <c r="AI122" s="173">
        <f t="shared" si="81"/>
        <v>0</v>
      </c>
      <c r="AJ122" s="522"/>
      <c r="AK122" s="522"/>
      <c r="AL122" s="172"/>
      <c r="AM122" s="173">
        <f t="shared" si="88"/>
        <v>-1170797</v>
      </c>
      <c r="AN122" s="173">
        <v>1170797</v>
      </c>
      <c r="AO122" s="278"/>
      <c r="AP122" s="278">
        <v>693015</v>
      </c>
      <c r="AQ122" s="172" t="s">
        <v>1135</v>
      </c>
      <c r="AR122" s="518">
        <f>1170797+26682561</f>
        <v>27853358</v>
      </c>
      <c r="AS122" s="173">
        <f t="shared" si="68"/>
        <v>693015.43999999762</v>
      </c>
      <c r="AT122" s="173">
        <f t="shared" si="83"/>
        <v>28546373.439999998</v>
      </c>
      <c r="AU122" s="173">
        <f t="shared" si="69"/>
        <v>66641864</v>
      </c>
      <c r="AV122" s="173">
        <f t="shared" si="84"/>
        <v>27853358</v>
      </c>
      <c r="AW122" s="173"/>
      <c r="AX122" s="292"/>
      <c r="AY122" s="292"/>
      <c r="AZ122" s="518">
        <f t="shared" si="85"/>
        <v>0</v>
      </c>
      <c r="BA122" s="173">
        <f>1170797+26682561</f>
        <v>27853358</v>
      </c>
      <c r="BB122" s="173">
        <f t="shared" si="70"/>
        <v>0</v>
      </c>
      <c r="BC122" s="4">
        <f t="shared" si="71"/>
        <v>27853358</v>
      </c>
      <c r="BD122" s="4"/>
      <c r="BE122" s="4">
        <f>26682561+1170797</f>
        <v>27853358</v>
      </c>
      <c r="BF122" s="4"/>
      <c r="BG122" s="10"/>
      <c r="BH122" s="4">
        <f t="shared" si="86"/>
        <v>27853358</v>
      </c>
      <c r="BI122" s="4"/>
      <c r="BJ122" s="4">
        <f t="shared" si="72"/>
        <v>27853358</v>
      </c>
      <c r="BK122" s="472">
        <f t="shared" si="73"/>
        <v>0</v>
      </c>
      <c r="BL122" s="4"/>
      <c r="BM122" s="4"/>
      <c r="BN122" s="4"/>
      <c r="BO122" s="4">
        <f t="shared" si="87"/>
        <v>0</v>
      </c>
      <c r="BP122" s="4">
        <v>27853358</v>
      </c>
    </row>
    <row r="123" spans="1:68" ht="30" customHeight="1">
      <c r="A123" s="172">
        <v>114</v>
      </c>
      <c r="B123" s="292">
        <v>1960</v>
      </c>
      <c r="C123" s="172" t="s">
        <v>394</v>
      </c>
      <c r="D123" s="173">
        <v>24710000</v>
      </c>
      <c r="E123" s="173">
        <v>24710000</v>
      </c>
      <c r="F123" s="173">
        <f t="shared" si="63"/>
        <v>0</v>
      </c>
      <c r="G123" s="173">
        <v>1250000</v>
      </c>
      <c r="H123" s="173">
        <v>305253.5</v>
      </c>
      <c r="I123" s="173"/>
      <c r="J123" s="173">
        <v>73864.45</v>
      </c>
      <c r="K123" s="173">
        <f t="shared" si="74"/>
        <v>73864.45</v>
      </c>
      <c r="L123" s="173">
        <f t="shared" si="75"/>
        <v>379117.95</v>
      </c>
      <c r="M123" s="173">
        <f t="shared" si="76"/>
        <v>870882.05</v>
      </c>
      <c r="N123" s="173">
        <v>23960000</v>
      </c>
      <c r="O123" s="173">
        <f t="shared" si="64"/>
        <v>23460000</v>
      </c>
      <c r="P123" s="173">
        <f t="shared" si="65"/>
        <v>0</v>
      </c>
      <c r="Q123" s="173">
        <f t="shared" si="77"/>
        <v>870882.05</v>
      </c>
      <c r="R123" s="173"/>
      <c r="S123" s="173"/>
      <c r="T123" s="173">
        <f t="shared" si="66"/>
        <v>0</v>
      </c>
      <c r="U123" s="173">
        <f t="shared" si="78"/>
        <v>0</v>
      </c>
      <c r="V123" s="173">
        <f t="shared" si="79"/>
        <v>23960000</v>
      </c>
      <c r="W123" s="173">
        <f t="shared" si="89"/>
        <v>0</v>
      </c>
      <c r="X123" s="173"/>
      <c r="Y123" s="173"/>
      <c r="Z123" s="173">
        <f t="shared" si="67"/>
        <v>5040000</v>
      </c>
      <c r="AA123" s="173">
        <f>16820000+700000*3</f>
        <v>18920000</v>
      </c>
      <c r="AB123" s="293" t="s">
        <v>926</v>
      </c>
      <c r="AC123" s="172">
        <v>810000</v>
      </c>
      <c r="AD123" s="292"/>
      <c r="AE123" s="292"/>
      <c r="AF123" s="173">
        <v>500000</v>
      </c>
      <c r="AG123" s="173"/>
      <c r="AH123" s="173">
        <f t="shared" si="80"/>
        <v>500000</v>
      </c>
      <c r="AI123" s="173">
        <f t="shared" si="81"/>
        <v>23460000</v>
      </c>
      <c r="AJ123" s="522"/>
      <c r="AK123" s="522"/>
      <c r="AL123" s="172"/>
      <c r="AM123" s="173">
        <f t="shared" si="88"/>
        <v>4540000</v>
      </c>
      <c r="AN123" s="173">
        <f>16820000+700000*3</f>
        <v>18920000</v>
      </c>
      <c r="AO123" s="314">
        <f>AI123</f>
        <v>23460000</v>
      </c>
      <c r="AP123" s="314">
        <f>M123</f>
        <v>870882.05</v>
      </c>
      <c r="AQ123" s="172"/>
      <c r="AR123" s="518">
        <f t="shared" si="82"/>
        <v>23460000</v>
      </c>
      <c r="AS123" s="173">
        <f t="shared" si="68"/>
        <v>870882.05</v>
      </c>
      <c r="AT123" s="173">
        <f t="shared" si="83"/>
        <v>24330882.050000001</v>
      </c>
      <c r="AU123" s="173">
        <f t="shared" si="69"/>
        <v>0</v>
      </c>
      <c r="AV123" s="173">
        <f t="shared" si="84"/>
        <v>23460000</v>
      </c>
      <c r="AW123" s="173"/>
      <c r="AX123" s="292"/>
      <c r="AY123" s="292"/>
      <c r="AZ123" s="518">
        <f t="shared" si="85"/>
        <v>4540000</v>
      </c>
      <c r="BA123" s="173">
        <f>16820000+700000*3</f>
        <v>18920000</v>
      </c>
      <c r="BB123" s="173">
        <f t="shared" si="70"/>
        <v>0</v>
      </c>
      <c r="BC123" s="4">
        <f t="shared" si="71"/>
        <v>23460000</v>
      </c>
      <c r="BD123" s="4"/>
      <c r="BE123" s="4"/>
      <c r="BF123" s="4"/>
      <c r="BG123" s="10"/>
      <c r="BH123" s="4">
        <f t="shared" si="86"/>
        <v>0</v>
      </c>
      <c r="BI123" s="4">
        <f>4540000+850000+4382096</f>
        <v>9772096</v>
      </c>
      <c r="BJ123" s="4">
        <f t="shared" si="72"/>
        <v>9772096</v>
      </c>
      <c r="BK123" s="472">
        <f t="shared" si="73"/>
        <v>13687904</v>
      </c>
      <c r="BL123" s="4"/>
      <c r="BM123" s="4"/>
      <c r="BN123" s="4"/>
      <c r="BO123" s="4">
        <f t="shared" si="87"/>
        <v>4540000</v>
      </c>
      <c r="BP123" s="4">
        <f>850000+4382096</f>
        <v>5232096</v>
      </c>
    </row>
    <row r="124" spans="1:68" ht="30" customHeight="1">
      <c r="A124" s="172">
        <v>115</v>
      </c>
      <c r="B124" s="292">
        <v>1961</v>
      </c>
      <c r="C124" s="172" t="s">
        <v>169</v>
      </c>
      <c r="D124" s="173">
        <v>128000000</v>
      </c>
      <c r="E124" s="173">
        <v>128000000</v>
      </c>
      <c r="F124" s="173">
        <f t="shared" si="63"/>
        <v>0</v>
      </c>
      <c r="G124" s="173">
        <v>1500000</v>
      </c>
      <c r="H124" s="173">
        <v>0</v>
      </c>
      <c r="I124" s="173"/>
      <c r="J124" s="173"/>
      <c r="K124" s="173">
        <f t="shared" si="74"/>
        <v>0</v>
      </c>
      <c r="L124" s="173">
        <f t="shared" si="75"/>
        <v>0</v>
      </c>
      <c r="M124" s="173">
        <f>Q124+T124</f>
        <v>1500000</v>
      </c>
      <c r="N124" s="173">
        <v>3000000</v>
      </c>
      <c r="O124" s="173">
        <f t="shared" si="64"/>
        <v>3000000</v>
      </c>
      <c r="P124" s="173">
        <f t="shared" si="65"/>
        <v>123500000</v>
      </c>
      <c r="Q124" s="173">
        <f t="shared" si="77"/>
        <v>1500000</v>
      </c>
      <c r="R124" s="173"/>
      <c r="S124" s="173"/>
      <c r="T124" s="173">
        <f t="shared" si="66"/>
        <v>0</v>
      </c>
      <c r="U124" s="173">
        <f t="shared" si="78"/>
        <v>0</v>
      </c>
      <c r="V124" s="173">
        <f t="shared" si="79"/>
        <v>3000000</v>
      </c>
      <c r="W124" s="173">
        <v>3000000</v>
      </c>
      <c r="X124" s="173"/>
      <c r="Y124" s="173"/>
      <c r="Z124" s="173">
        <f>V124-AA124-W124</f>
        <v>0</v>
      </c>
      <c r="AA124" s="172"/>
      <c r="AB124" s="352" t="s">
        <v>902</v>
      </c>
      <c r="AC124" s="172">
        <v>742000</v>
      </c>
      <c r="AD124" s="292"/>
      <c r="AE124" s="292"/>
      <c r="AF124" s="292"/>
      <c r="AG124" s="292"/>
      <c r="AH124" s="173">
        <f t="shared" si="80"/>
        <v>0</v>
      </c>
      <c r="AI124" s="173">
        <f t="shared" si="81"/>
        <v>3000000</v>
      </c>
      <c r="AJ124" s="522"/>
      <c r="AK124" s="522"/>
      <c r="AL124" s="172"/>
      <c r="AM124" s="173">
        <f t="shared" si="88"/>
        <v>3000000</v>
      </c>
      <c r="AN124" s="173"/>
      <c r="AO124" s="314">
        <f>AI124</f>
        <v>3000000</v>
      </c>
      <c r="AP124" s="314">
        <f>M124</f>
        <v>1500000</v>
      </c>
      <c r="AQ124" s="172" t="s">
        <v>1136</v>
      </c>
      <c r="AR124" s="518">
        <f t="shared" si="82"/>
        <v>3000000</v>
      </c>
      <c r="AS124" s="173">
        <f t="shared" si="68"/>
        <v>1500000</v>
      </c>
      <c r="AT124" s="173">
        <f t="shared" si="83"/>
        <v>4500000</v>
      </c>
      <c r="AU124" s="173">
        <f t="shared" si="69"/>
        <v>123500000</v>
      </c>
      <c r="AV124" s="173">
        <f t="shared" si="84"/>
        <v>3000000</v>
      </c>
      <c r="AW124" s="173"/>
      <c r="AX124" s="292"/>
      <c r="AY124" s="292"/>
      <c r="AZ124" s="518">
        <f t="shared" si="85"/>
        <v>3000000</v>
      </c>
      <c r="BA124" s="518"/>
      <c r="BB124" s="173">
        <f t="shared" si="70"/>
        <v>0</v>
      </c>
      <c r="BC124" s="4">
        <f t="shared" si="71"/>
        <v>3000000</v>
      </c>
      <c r="BD124" s="4"/>
      <c r="BE124" s="4"/>
      <c r="BF124" s="4"/>
      <c r="BG124" s="10"/>
      <c r="BH124" s="4">
        <f t="shared" si="86"/>
        <v>0</v>
      </c>
      <c r="BI124" s="40"/>
      <c r="BJ124" s="4">
        <f t="shared" si="72"/>
        <v>0</v>
      </c>
      <c r="BK124" s="472">
        <f t="shared" si="73"/>
        <v>3000000</v>
      </c>
      <c r="BL124" s="4"/>
      <c r="BM124" s="4"/>
      <c r="BN124" s="4"/>
      <c r="BO124" s="4">
        <f t="shared" si="87"/>
        <v>0</v>
      </c>
      <c r="BP124" s="4"/>
    </row>
    <row r="125" spans="1:68" ht="30" customHeight="1">
      <c r="A125" s="172">
        <v>116</v>
      </c>
      <c r="B125" s="292">
        <v>1962</v>
      </c>
      <c r="C125" s="172" t="s">
        <v>170</v>
      </c>
      <c r="D125" s="173">
        <v>20000000</v>
      </c>
      <c r="E125" s="173">
        <v>20000000</v>
      </c>
      <c r="F125" s="173">
        <f t="shared" si="63"/>
        <v>0</v>
      </c>
      <c r="G125" s="173">
        <v>1000000</v>
      </c>
      <c r="H125" s="173">
        <v>0</v>
      </c>
      <c r="I125" s="173"/>
      <c r="J125" s="173"/>
      <c r="K125" s="173">
        <f t="shared" si="74"/>
        <v>0</v>
      </c>
      <c r="L125" s="173">
        <f t="shared" si="75"/>
        <v>0</v>
      </c>
      <c r="M125" s="173">
        <f t="shared" si="76"/>
        <v>1000000</v>
      </c>
      <c r="N125" s="173">
        <v>1000000</v>
      </c>
      <c r="O125" s="173">
        <f t="shared" si="64"/>
        <v>1000000</v>
      </c>
      <c r="P125" s="173">
        <f t="shared" si="65"/>
        <v>18000000</v>
      </c>
      <c r="Q125" s="173">
        <f t="shared" si="77"/>
        <v>1000000</v>
      </c>
      <c r="R125" s="173"/>
      <c r="S125" s="173"/>
      <c r="T125" s="173">
        <f t="shared" si="66"/>
        <v>0</v>
      </c>
      <c r="U125" s="173">
        <f t="shared" si="78"/>
        <v>0</v>
      </c>
      <c r="V125" s="173">
        <f t="shared" si="79"/>
        <v>1000000</v>
      </c>
      <c r="W125" s="173">
        <f t="shared" si="89"/>
        <v>0</v>
      </c>
      <c r="X125" s="173"/>
      <c r="Y125" s="173"/>
      <c r="Z125" s="173">
        <f t="shared" si="67"/>
        <v>1000000</v>
      </c>
      <c r="AA125" s="172"/>
      <c r="AB125" s="293"/>
      <c r="AC125" s="172">
        <v>742000</v>
      </c>
      <c r="AD125" s="292"/>
      <c r="AE125" s="292"/>
      <c r="AF125" s="292"/>
      <c r="AG125" s="292"/>
      <c r="AH125" s="173">
        <f t="shared" si="80"/>
        <v>0</v>
      </c>
      <c r="AI125" s="173">
        <f t="shared" si="81"/>
        <v>1000000</v>
      </c>
      <c r="AJ125" s="522"/>
      <c r="AK125" s="522"/>
      <c r="AL125" s="172"/>
      <c r="AM125" s="173">
        <f t="shared" si="88"/>
        <v>1000000</v>
      </c>
      <c r="AN125" s="173"/>
      <c r="AO125" s="314"/>
      <c r="AP125" s="314">
        <v>1000000</v>
      </c>
      <c r="AQ125" s="172"/>
      <c r="AR125" s="518">
        <f t="shared" si="82"/>
        <v>0</v>
      </c>
      <c r="AS125" s="173">
        <f t="shared" si="68"/>
        <v>1000000</v>
      </c>
      <c r="AT125" s="173">
        <f t="shared" si="83"/>
        <v>1000000</v>
      </c>
      <c r="AU125" s="173">
        <f t="shared" si="69"/>
        <v>19000000</v>
      </c>
      <c r="AV125" s="173">
        <f t="shared" si="84"/>
        <v>0</v>
      </c>
      <c r="AW125" s="173"/>
      <c r="AX125" s="292"/>
      <c r="AY125" s="292"/>
      <c r="AZ125" s="518">
        <f t="shared" si="85"/>
        <v>0</v>
      </c>
      <c r="BA125" s="518"/>
      <c r="BB125" s="173">
        <f t="shared" si="70"/>
        <v>0</v>
      </c>
      <c r="BC125" s="4">
        <f t="shared" si="71"/>
        <v>0</v>
      </c>
      <c r="BD125" s="4"/>
      <c r="BE125" s="4"/>
      <c r="BF125" s="4"/>
      <c r="BG125" s="10"/>
      <c r="BH125" s="4">
        <f t="shared" si="86"/>
        <v>0</v>
      </c>
      <c r="BI125" s="40"/>
      <c r="BJ125" s="4">
        <f t="shared" si="72"/>
        <v>0</v>
      </c>
      <c r="BK125" s="472">
        <f t="shared" si="73"/>
        <v>0</v>
      </c>
      <c r="BL125" s="4"/>
      <c r="BM125" s="4"/>
      <c r="BN125" s="4"/>
      <c r="BO125" s="4">
        <f t="shared" si="87"/>
        <v>0</v>
      </c>
      <c r="BP125" s="4"/>
    </row>
    <row r="126" spans="1:68" ht="30" customHeight="1">
      <c r="A126" s="172">
        <v>117</v>
      </c>
      <c r="B126" s="172">
        <v>1965</v>
      </c>
      <c r="C126" s="172" t="s">
        <v>395</v>
      </c>
      <c r="D126" s="173">
        <v>35000000</v>
      </c>
      <c r="E126" s="173">
        <v>35000000</v>
      </c>
      <c r="F126" s="173">
        <f t="shared" si="63"/>
        <v>0</v>
      </c>
      <c r="G126" s="173">
        <v>100000</v>
      </c>
      <c r="H126" s="173">
        <v>17037</v>
      </c>
      <c r="I126" s="173"/>
      <c r="J126" s="173">
        <v>82961.17</v>
      </c>
      <c r="K126" s="173">
        <f t="shared" si="74"/>
        <v>82961.17</v>
      </c>
      <c r="L126" s="173">
        <f t="shared" si="75"/>
        <v>99998.17</v>
      </c>
      <c r="M126" s="173">
        <f t="shared" si="76"/>
        <v>1.8300000000017462</v>
      </c>
      <c r="N126" s="173">
        <v>1000000</v>
      </c>
      <c r="O126" s="173">
        <f t="shared" si="64"/>
        <v>1000000</v>
      </c>
      <c r="P126" s="173">
        <f t="shared" si="65"/>
        <v>33900000</v>
      </c>
      <c r="Q126" s="173">
        <f t="shared" si="77"/>
        <v>1.8300000000017462</v>
      </c>
      <c r="R126" s="173"/>
      <c r="S126" s="173"/>
      <c r="T126" s="173">
        <f t="shared" si="66"/>
        <v>0</v>
      </c>
      <c r="U126" s="173">
        <f t="shared" si="78"/>
        <v>0</v>
      </c>
      <c r="V126" s="173">
        <f t="shared" si="79"/>
        <v>1000000</v>
      </c>
      <c r="W126" s="173">
        <f t="shared" si="89"/>
        <v>0</v>
      </c>
      <c r="X126" s="173"/>
      <c r="Y126" s="173"/>
      <c r="Z126" s="173">
        <f t="shared" si="67"/>
        <v>1000000</v>
      </c>
      <c r="AA126" s="172"/>
      <c r="AB126" s="411" t="s">
        <v>825</v>
      </c>
      <c r="AC126" s="172">
        <v>810000</v>
      </c>
      <c r="AD126" s="292"/>
      <c r="AE126" s="292"/>
      <c r="AF126" s="292"/>
      <c r="AG126" s="292"/>
      <c r="AH126" s="173">
        <f t="shared" si="80"/>
        <v>0</v>
      </c>
      <c r="AI126" s="173">
        <f t="shared" si="81"/>
        <v>1000000</v>
      </c>
      <c r="AJ126" s="522"/>
      <c r="AK126" s="522"/>
      <c r="AL126" s="172"/>
      <c r="AM126" s="173">
        <f t="shared" si="88"/>
        <v>1000000</v>
      </c>
      <c r="AN126" s="173"/>
      <c r="AO126" s="314">
        <f>AM126</f>
        <v>1000000</v>
      </c>
      <c r="AP126" s="278"/>
      <c r="AQ126" s="172"/>
      <c r="AR126" s="518">
        <f t="shared" si="82"/>
        <v>1000000</v>
      </c>
      <c r="AS126" s="173">
        <f t="shared" si="68"/>
        <v>1.8300000000017462</v>
      </c>
      <c r="AT126" s="173">
        <f t="shared" si="83"/>
        <v>1000001.83</v>
      </c>
      <c r="AU126" s="173">
        <f t="shared" si="69"/>
        <v>33900000</v>
      </c>
      <c r="AV126" s="173">
        <f t="shared" si="84"/>
        <v>1000000</v>
      </c>
      <c r="AW126" s="173"/>
      <c r="AX126" s="292"/>
      <c r="AY126" s="292"/>
      <c r="AZ126" s="518">
        <f t="shared" si="85"/>
        <v>1000000</v>
      </c>
      <c r="BA126" s="518"/>
      <c r="BB126" s="173">
        <f t="shared" si="70"/>
        <v>0</v>
      </c>
      <c r="BC126" s="4">
        <f t="shared" si="71"/>
        <v>1000000</v>
      </c>
      <c r="BD126" s="4"/>
      <c r="BE126" s="4"/>
      <c r="BF126" s="4"/>
      <c r="BG126" s="10"/>
      <c r="BH126" s="4">
        <f t="shared" si="86"/>
        <v>0</v>
      </c>
      <c r="BI126" s="4">
        <v>1000000</v>
      </c>
      <c r="BJ126" s="4">
        <f t="shared" si="72"/>
        <v>1000000</v>
      </c>
      <c r="BK126" s="472">
        <f t="shared" si="73"/>
        <v>0</v>
      </c>
      <c r="BL126" s="4"/>
      <c r="BM126" s="4"/>
      <c r="BN126" s="4"/>
      <c r="BO126" s="4">
        <f t="shared" si="87"/>
        <v>1000000</v>
      </c>
      <c r="BP126" s="4"/>
    </row>
    <row r="127" spans="1:68" s="296" customFormat="1" ht="30" customHeight="1">
      <c r="A127" s="178"/>
      <c r="B127" s="295"/>
      <c r="C127" s="178" t="s">
        <v>396</v>
      </c>
      <c r="D127" s="180">
        <f>SUM(D112:D126)</f>
        <v>1160323688</v>
      </c>
      <c r="E127" s="180">
        <f t="shared" ref="E127:BP127" si="90">SUM(E112:E126)</f>
        <v>1160323688</v>
      </c>
      <c r="F127" s="180">
        <f t="shared" si="90"/>
        <v>0</v>
      </c>
      <c r="G127" s="180">
        <f t="shared" si="90"/>
        <v>297768026</v>
      </c>
      <c r="H127" s="180">
        <f t="shared" si="90"/>
        <v>225192264.12</v>
      </c>
      <c r="I127" s="180">
        <f t="shared" si="90"/>
        <v>941727.55</v>
      </c>
      <c r="J127" s="180">
        <f t="shared" si="90"/>
        <v>11238055.709999999</v>
      </c>
      <c r="K127" s="180">
        <f t="shared" si="90"/>
        <v>12179783.26</v>
      </c>
      <c r="L127" s="180">
        <f t="shared" si="90"/>
        <v>237372047.37999997</v>
      </c>
      <c r="M127" s="180">
        <f t="shared" si="90"/>
        <v>60395978.619999997</v>
      </c>
      <c r="N127" s="180">
        <f t="shared" si="90"/>
        <v>199128033</v>
      </c>
      <c r="O127" s="180">
        <f t="shared" si="90"/>
        <v>190942507</v>
      </c>
      <c r="P127" s="180">
        <f t="shared" si="90"/>
        <v>671613155</v>
      </c>
      <c r="Q127" s="180">
        <f t="shared" si="90"/>
        <v>60395978.619999997</v>
      </c>
      <c r="R127" s="180">
        <f t="shared" si="90"/>
        <v>0</v>
      </c>
      <c r="S127" s="180">
        <f t="shared" si="90"/>
        <v>0</v>
      </c>
      <c r="T127" s="180">
        <f t="shared" si="90"/>
        <v>0</v>
      </c>
      <c r="U127" s="180">
        <f t="shared" si="90"/>
        <v>0</v>
      </c>
      <c r="V127" s="180">
        <f t="shared" si="90"/>
        <v>199128033</v>
      </c>
      <c r="W127" s="180">
        <f t="shared" si="90"/>
        <v>3000000</v>
      </c>
      <c r="X127" s="180">
        <f t="shared" si="90"/>
        <v>0</v>
      </c>
      <c r="Y127" s="180">
        <f t="shared" si="90"/>
        <v>0</v>
      </c>
      <c r="Z127" s="180">
        <f t="shared" si="90"/>
        <v>100433357</v>
      </c>
      <c r="AA127" s="180">
        <f t="shared" si="90"/>
        <v>95694676</v>
      </c>
      <c r="AB127" s="180">
        <f t="shared" si="90"/>
        <v>0</v>
      </c>
      <c r="AC127" s="180">
        <f t="shared" si="90"/>
        <v>11750000</v>
      </c>
      <c r="AD127" s="180">
        <f t="shared" si="90"/>
        <v>0</v>
      </c>
      <c r="AE127" s="180">
        <f t="shared" si="90"/>
        <v>0</v>
      </c>
      <c r="AF127" s="180">
        <f t="shared" si="90"/>
        <v>8185526</v>
      </c>
      <c r="AG127" s="180">
        <f t="shared" si="90"/>
        <v>0</v>
      </c>
      <c r="AH127" s="180">
        <f t="shared" si="90"/>
        <v>8185526</v>
      </c>
      <c r="AI127" s="180">
        <f t="shared" si="90"/>
        <v>190942507</v>
      </c>
      <c r="AJ127" s="180">
        <f t="shared" si="90"/>
        <v>0</v>
      </c>
      <c r="AK127" s="180">
        <f t="shared" si="90"/>
        <v>0</v>
      </c>
      <c r="AL127" s="180">
        <f t="shared" si="90"/>
        <v>0</v>
      </c>
      <c r="AM127" s="180">
        <f t="shared" si="90"/>
        <v>100433357</v>
      </c>
      <c r="AN127" s="180">
        <f t="shared" si="90"/>
        <v>90509150</v>
      </c>
      <c r="AO127" s="180">
        <f t="shared" si="90"/>
        <v>155445526</v>
      </c>
      <c r="AP127" s="180">
        <f t="shared" si="90"/>
        <v>60390636.840000004</v>
      </c>
      <c r="AQ127" s="180">
        <f t="shared" si="90"/>
        <v>0</v>
      </c>
      <c r="AR127" s="180">
        <f t="shared" si="90"/>
        <v>183298884</v>
      </c>
      <c r="AS127" s="180">
        <f t="shared" si="90"/>
        <v>60395978.619999997</v>
      </c>
      <c r="AT127" s="180">
        <f t="shared" si="90"/>
        <v>243694862.62000003</v>
      </c>
      <c r="AU127" s="180">
        <f t="shared" si="90"/>
        <v>679256778</v>
      </c>
      <c r="AV127" s="180">
        <f t="shared" si="90"/>
        <v>183298884</v>
      </c>
      <c r="AW127" s="180">
        <f t="shared" si="90"/>
        <v>0</v>
      </c>
      <c r="AX127" s="180">
        <f t="shared" si="90"/>
        <v>0</v>
      </c>
      <c r="AY127" s="180">
        <f t="shared" si="90"/>
        <v>0</v>
      </c>
      <c r="AZ127" s="180">
        <f t="shared" si="90"/>
        <v>93867483</v>
      </c>
      <c r="BA127" s="180">
        <f t="shared" si="90"/>
        <v>89431401</v>
      </c>
      <c r="BB127" s="180">
        <f t="shared" si="90"/>
        <v>0</v>
      </c>
      <c r="BC127" s="180">
        <f t="shared" si="90"/>
        <v>183298884</v>
      </c>
      <c r="BD127" s="180">
        <f t="shared" si="90"/>
        <v>23485526</v>
      </c>
      <c r="BE127" s="180">
        <f t="shared" si="90"/>
        <v>27853358</v>
      </c>
      <c r="BF127" s="180">
        <f t="shared" si="90"/>
        <v>10000000</v>
      </c>
      <c r="BG127" s="525">
        <f t="shared" si="90"/>
        <v>3500000</v>
      </c>
      <c r="BH127" s="180">
        <f t="shared" si="90"/>
        <v>64838884</v>
      </c>
      <c r="BI127" s="180">
        <f t="shared" si="90"/>
        <v>74272096</v>
      </c>
      <c r="BJ127" s="180">
        <f t="shared" si="90"/>
        <v>139110980</v>
      </c>
      <c r="BK127" s="180">
        <f t="shared" si="90"/>
        <v>44187904</v>
      </c>
      <c r="BL127" s="180">
        <f t="shared" si="90"/>
        <v>0</v>
      </c>
      <c r="BM127" s="180">
        <f t="shared" si="90"/>
        <v>0</v>
      </c>
      <c r="BN127" s="180">
        <f t="shared" si="90"/>
        <v>0</v>
      </c>
      <c r="BO127" s="180">
        <f t="shared" si="90"/>
        <v>90867483</v>
      </c>
      <c r="BP127" s="180">
        <f t="shared" si="90"/>
        <v>48243497</v>
      </c>
    </row>
    <row r="128" spans="1:68" s="296" customFormat="1" ht="30" hidden="1" customHeight="1">
      <c r="A128" s="178"/>
      <c r="B128" s="295"/>
      <c r="C128" s="178"/>
      <c r="D128" s="180"/>
      <c r="E128" s="180"/>
      <c r="F128" s="180"/>
      <c r="G128" s="180"/>
      <c r="H128" s="180"/>
      <c r="I128" s="180"/>
      <c r="J128" s="180"/>
      <c r="K128" s="180"/>
      <c r="L128" s="180">
        <f>K127+H127</f>
        <v>237372047.38</v>
      </c>
      <c r="M128" s="180">
        <f>G127-L128</f>
        <v>60395978.620000005</v>
      </c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69"/>
      <c r="AC128" s="178"/>
      <c r="AD128" s="292"/>
      <c r="AE128" s="292"/>
      <c r="AF128" s="292"/>
      <c r="AG128" s="292"/>
      <c r="AH128" s="178"/>
      <c r="AI128" s="522"/>
      <c r="AJ128" s="522"/>
      <c r="AK128" s="522"/>
      <c r="AL128" s="295"/>
      <c r="AM128" s="295"/>
      <c r="AN128" s="295"/>
      <c r="AO128" s="278"/>
      <c r="AP128" s="278"/>
      <c r="AQ128" s="292"/>
      <c r="AR128" s="292"/>
      <c r="AS128" s="292"/>
      <c r="AT128" s="292"/>
      <c r="AU128" s="292"/>
      <c r="AV128" s="292"/>
      <c r="AW128" s="292"/>
      <c r="AX128" s="292"/>
      <c r="AY128" s="292"/>
      <c r="AZ128" s="292"/>
      <c r="BA128" s="292"/>
      <c r="BB128" s="169"/>
      <c r="BC128" s="169"/>
      <c r="BD128" s="169"/>
      <c r="BE128" s="169"/>
      <c r="BF128" s="169"/>
      <c r="BG128" s="532"/>
      <c r="BH128" s="169"/>
      <c r="BI128" s="40"/>
      <c r="BJ128" s="40"/>
      <c r="BK128" s="533"/>
      <c r="BL128" s="169"/>
      <c r="BM128" s="169"/>
      <c r="BN128" s="169"/>
      <c r="BO128" s="169"/>
      <c r="BP128" s="169"/>
    </row>
    <row r="129" spans="1:69" s="296" customFormat="1" ht="30" customHeight="1">
      <c r="A129" s="180">
        <f>A126</f>
        <v>117</v>
      </c>
      <c r="B129" s="295"/>
      <c r="C129" s="178" t="s">
        <v>88</v>
      </c>
      <c r="D129" s="180">
        <f t="shared" ref="D129:BO129" si="91">D127+D108</f>
        <v>2887657813</v>
      </c>
      <c r="E129" s="180">
        <f t="shared" si="91"/>
        <v>2884587813</v>
      </c>
      <c r="F129" s="180">
        <f t="shared" si="91"/>
        <v>3070000</v>
      </c>
      <c r="G129" s="180">
        <f t="shared" si="91"/>
        <v>1321315076</v>
      </c>
      <c r="H129" s="180">
        <f t="shared" si="91"/>
        <v>966130777.77999997</v>
      </c>
      <c r="I129" s="180">
        <f t="shared" si="91"/>
        <v>1941356.11</v>
      </c>
      <c r="J129" s="180">
        <f t="shared" si="91"/>
        <v>45839482.719999991</v>
      </c>
      <c r="K129" s="180">
        <f t="shared" si="91"/>
        <v>47780838.829999991</v>
      </c>
      <c r="L129" s="180">
        <f t="shared" si="91"/>
        <v>1013911616.61</v>
      </c>
      <c r="M129" s="180">
        <f t="shared" si="91"/>
        <v>307403459.38999999</v>
      </c>
      <c r="N129" s="180">
        <f t="shared" si="91"/>
        <v>345450033</v>
      </c>
      <c r="O129" s="180">
        <f t="shared" si="91"/>
        <v>333164507</v>
      </c>
      <c r="P129" s="180">
        <f t="shared" si="91"/>
        <v>1232378230</v>
      </c>
      <c r="Q129" s="180">
        <f t="shared" si="91"/>
        <v>307403459.38999999</v>
      </c>
      <c r="R129" s="180">
        <f t="shared" si="91"/>
        <v>0</v>
      </c>
      <c r="S129" s="180">
        <f t="shared" si="91"/>
        <v>0</v>
      </c>
      <c r="T129" s="180">
        <f t="shared" si="91"/>
        <v>0</v>
      </c>
      <c r="U129" s="180">
        <f t="shared" si="91"/>
        <v>0</v>
      </c>
      <c r="V129" s="180">
        <f t="shared" si="91"/>
        <v>345450033</v>
      </c>
      <c r="W129" s="180">
        <f t="shared" si="91"/>
        <v>140303099</v>
      </c>
      <c r="X129" s="180">
        <f t="shared" si="91"/>
        <v>3000000</v>
      </c>
      <c r="Y129" s="180">
        <f t="shared" si="91"/>
        <v>0</v>
      </c>
      <c r="Z129" s="180">
        <f t="shared" si="91"/>
        <v>100433357</v>
      </c>
      <c r="AA129" s="180">
        <f t="shared" si="91"/>
        <v>101713577</v>
      </c>
      <c r="AB129" s="180">
        <f t="shared" si="91"/>
        <v>0</v>
      </c>
      <c r="AC129" s="180"/>
      <c r="AD129" s="180">
        <f t="shared" si="91"/>
        <v>0</v>
      </c>
      <c r="AE129" s="180">
        <f>AE127+AE108</f>
        <v>0</v>
      </c>
      <c r="AF129" s="180">
        <f>AF127+AF108</f>
        <v>12285526</v>
      </c>
      <c r="AG129" s="180">
        <f t="shared" si="91"/>
        <v>0</v>
      </c>
      <c r="AH129" s="180">
        <f t="shared" si="91"/>
        <v>12285526</v>
      </c>
      <c r="AI129" s="180">
        <f t="shared" si="91"/>
        <v>334634507</v>
      </c>
      <c r="AJ129" s="180">
        <f t="shared" si="91"/>
        <v>134673099</v>
      </c>
      <c r="AK129" s="180">
        <f t="shared" si="91"/>
        <v>3000000</v>
      </c>
      <c r="AL129" s="180">
        <f t="shared" si="91"/>
        <v>0</v>
      </c>
      <c r="AM129" s="180">
        <f t="shared" si="91"/>
        <v>100433357</v>
      </c>
      <c r="AN129" s="180">
        <f t="shared" si="91"/>
        <v>96528051</v>
      </c>
      <c r="AO129" s="180">
        <f t="shared" si="91"/>
        <v>226835526</v>
      </c>
      <c r="AP129" s="180">
        <f t="shared" si="91"/>
        <v>214640256.68000001</v>
      </c>
      <c r="AQ129" s="292"/>
      <c r="AR129" s="180">
        <f t="shared" si="91"/>
        <v>244647724</v>
      </c>
      <c r="AS129" s="180">
        <f t="shared" si="91"/>
        <v>233123459.38999996</v>
      </c>
      <c r="AT129" s="180">
        <f t="shared" si="91"/>
        <v>477771183.39000005</v>
      </c>
      <c r="AU129" s="180">
        <f t="shared" si="91"/>
        <v>1395975013</v>
      </c>
      <c r="AV129" s="180">
        <f t="shared" si="91"/>
        <v>170367724</v>
      </c>
      <c r="AW129" s="180">
        <f t="shared" si="91"/>
        <v>-13829875</v>
      </c>
      <c r="AX129" s="180">
        <f t="shared" si="91"/>
        <v>-700000</v>
      </c>
      <c r="AY129" s="180">
        <f t="shared" si="91"/>
        <v>0</v>
      </c>
      <c r="AZ129" s="180">
        <f t="shared" si="91"/>
        <v>93867483</v>
      </c>
      <c r="BA129" s="180">
        <f t="shared" si="91"/>
        <v>91030116</v>
      </c>
      <c r="BB129" s="180">
        <f t="shared" si="91"/>
        <v>-74280000</v>
      </c>
      <c r="BC129" s="180">
        <f t="shared" si="91"/>
        <v>244647724</v>
      </c>
      <c r="BD129" s="180">
        <f t="shared" si="91"/>
        <v>10554366</v>
      </c>
      <c r="BE129" s="180">
        <f t="shared" si="91"/>
        <v>27643358</v>
      </c>
      <c r="BF129" s="180">
        <f t="shared" si="91"/>
        <v>10000000</v>
      </c>
      <c r="BG129" s="525">
        <f t="shared" si="91"/>
        <v>3500000</v>
      </c>
      <c r="BH129" s="180">
        <f t="shared" si="91"/>
        <v>51697724</v>
      </c>
      <c r="BI129" s="180">
        <f t="shared" si="91"/>
        <v>74272096</v>
      </c>
      <c r="BJ129" s="180">
        <f t="shared" si="91"/>
        <v>125969820</v>
      </c>
      <c r="BK129" s="180">
        <f t="shared" si="91"/>
        <v>44397904</v>
      </c>
      <c r="BL129" s="180">
        <f t="shared" si="91"/>
        <v>-13829876</v>
      </c>
      <c r="BM129" s="180">
        <f t="shared" si="91"/>
        <v>-700000</v>
      </c>
      <c r="BN129" s="180">
        <f t="shared" si="91"/>
        <v>0</v>
      </c>
      <c r="BO129" s="180">
        <f t="shared" si="91"/>
        <v>90867483</v>
      </c>
      <c r="BP129" s="180">
        <f>BP127+BP108</f>
        <v>49632213</v>
      </c>
    </row>
    <row r="130" spans="1:69" ht="18">
      <c r="A130" s="286"/>
      <c r="B130" s="176"/>
      <c r="C130" s="183"/>
      <c r="D130" s="186"/>
      <c r="E130" s="186"/>
      <c r="F130" s="186"/>
      <c r="G130" s="186"/>
      <c r="H130" s="186"/>
      <c r="I130" s="186"/>
      <c r="J130" s="186"/>
      <c r="K130" s="186"/>
      <c r="L130" s="509">
        <f>H129+K129</f>
        <v>1013911616.61</v>
      </c>
      <c r="M130" s="509">
        <f>Q129+T129-U129</f>
        <v>307403459.38999999</v>
      </c>
      <c r="N130" s="186"/>
      <c r="O130" s="186"/>
      <c r="P130" s="186">
        <f>L129+M129+O129+P129</f>
        <v>2886857813</v>
      </c>
      <c r="Q130" s="509">
        <f>G129-L129</f>
        <v>307403459.38999999</v>
      </c>
      <c r="R130" s="186"/>
      <c r="S130" s="186"/>
      <c r="T130" s="186"/>
      <c r="U130" s="167"/>
      <c r="V130" s="509">
        <f>N129-U129</f>
        <v>345450033</v>
      </c>
      <c r="W130" s="188"/>
      <c r="X130" s="188"/>
      <c r="Y130" s="188"/>
      <c r="Z130" s="166"/>
      <c r="AA130" s="166"/>
      <c r="AB130" s="327"/>
      <c r="AC130" s="183"/>
      <c r="AD130" s="166"/>
      <c r="AE130" s="166"/>
      <c r="AF130" s="166"/>
      <c r="AG130" s="166"/>
      <c r="AH130" s="166"/>
      <c r="AI130" s="284"/>
      <c r="AJ130" s="284"/>
      <c r="AK130" s="284"/>
      <c r="AL130" s="166"/>
      <c r="AM130" s="166"/>
      <c r="AN130" s="166"/>
      <c r="AO130" s="12"/>
      <c r="AP130" s="12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288"/>
      <c r="BC130" s="288"/>
      <c r="BD130" s="166"/>
      <c r="BE130" s="166"/>
      <c r="BF130" s="166"/>
      <c r="BG130" s="166"/>
      <c r="BH130" s="166"/>
      <c r="BI130" s="12"/>
      <c r="BJ130" s="12"/>
      <c r="BK130" s="166"/>
      <c r="BL130" s="288"/>
      <c r="BM130" s="166"/>
      <c r="BN130" s="166"/>
      <c r="BO130" s="166"/>
      <c r="BP130" s="166"/>
    </row>
    <row r="131" spans="1:69" ht="18">
      <c r="A131" s="286"/>
      <c r="B131" s="287"/>
      <c r="C131" s="32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8"/>
      <c r="O131" s="298"/>
      <c r="P131" s="298"/>
      <c r="Q131" s="299"/>
      <c r="R131" s="299"/>
      <c r="S131" s="299"/>
      <c r="T131" s="299"/>
      <c r="U131" s="167"/>
      <c r="V131" s="166"/>
      <c r="W131" s="166"/>
      <c r="X131" s="167"/>
      <c r="Y131" s="167"/>
      <c r="Z131" s="166"/>
      <c r="AA131" s="166"/>
      <c r="AB131" s="325"/>
      <c r="AC131" s="166"/>
      <c r="AD131" s="166"/>
      <c r="AE131" s="166"/>
      <c r="AF131" s="166"/>
      <c r="AG131" s="166"/>
      <c r="AH131" s="166"/>
      <c r="AI131" s="284"/>
      <c r="AJ131" s="284"/>
      <c r="AK131" s="284"/>
      <c r="AL131" s="166"/>
      <c r="AM131" s="166"/>
      <c r="AN131" s="166"/>
      <c r="AO131" s="12"/>
      <c r="AP131" s="12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288"/>
      <c r="BC131" s="288"/>
      <c r="BD131" s="166"/>
      <c r="BE131" s="166"/>
      <c r="BF131" s="166"/>
      <c r="BG131" s="166"/>
      <c r="BH131" s="166"/>
      <c r="BI131" s="12"/>
      <c r="BJ131" s="12"/>
      <c r="BK131" s="166"/>
      <c r="BL131" s="288"/>
      <c r="BM131" s="166"/>
      <c r="BN131" s="166"/>
      <c r="BO131" s="166"/>
      <c r="BP131" s="166"/>
    </row>
    <row r="132" spans="1:69" ht="18">
      <c r="A132" s="286"/>
      <c r="B132" s="287"/>
      <c r="C132" s="183"/>
      <c r="D132" s="167"/>
      <c r="E132" s="167"/>
      <c r="F132" s="299"/>
      <c r="G132" s="299"/>
      <c r="H132" s="299"/>
      <c r="I132" s="299"/>
      <c r="J132" s="299"/>
      <c r="K132" s="299"/>
      <c r="L132" s="299"/>
      <c r="M132" s="299"/>
      <c r="N132" s="299">
        <f>N108</f>
        <v>146322000</v>
      </c>
      <c r="O132" s="299"/>
      <c r="P132" s="299">
        <f>P108</f>
        <v>560765075</v>
      </c>
      <c r="Q132" s="299"/>
      <c r="R132" s="299"/>
      <c r="S132" s="299"/>
      <c r="T132" s="299"/>
      <c r="U132" s="299"/>
      <c r="V132" s="166"/>
      <c r="W132" s="166"/>
      <c r="X132" s="166"/>
      <c r="Y132" s="166"/>
      <c r="Z132" s="166"/>
      <c r="AA132" s="166"/>
      <c r="AB132" s="325"/>
      <c r="AC132" s="166"/>
      <c r="AD132" s="166"/>
      <c r="AE132" s="166"/>
      <c r="AF132" s="166"/>
      <c r="AG132" s="166"/>
      <c r="AH132" s="166"/>
      <c r="AI132" s="284"/>
      <c r="AJ132" s="284"/>
      <c r="AK132" s="284"/>
      <c r="AL132" s="166"/>
      <c r="AM132" s="166"/>
      <c r="AN132" s="166"/>
      <c r="AO132" s="12"/>
      <c r="AP132" s="12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288"/>
      <c r="BC132" s="288"/>
      <c r="BD132" s="166"/>
      <c r="BE132" s="166"/>
      <c r="BF132" s="166"/>
      <c r="BG132" s="166"/>
      <c r="BH132" s="166"/>
      <c r="BI132" s="12"/>
      <c r="BJ132" s="12"/>
      <c r="BK132" s="166"/>
      <c r="BL132" s="288"/>
      <c r="BM132" s="166"/>
      <c r="BN132" s="166"/>
      <c r="BO132" s="166"/>
      <c r="BP132" s="166"/>
    </row>
    <row r="133" spans="1:69" ht="18">
      <c r="A133" s="286"/>
      <c r="B133" s="287"/>
      <c r="C133" s="183"/>
      <c r="D133" s="167"/>
      <c r="E133" s="167"/>
      <c r="F133" s="299"/>
      <c r="G133" s="299"/>
      <c r="H133" s="299"/>
      <c r="I133" s="299"/>
      <c r="J133" s="299"/>
      <c r="K133" s="299"/>
      <c r="L133" s="299"/>
      <c r="M133" s="299" t="s">
        <v>637</v>
      </c>
      <c r="N133" s="299" t="e">
        <f>#REF!-N132</f>
        <v>#REF!</v>
      </c>
      <c r="O133" s="299"/>
      <c r="P133" s="299" t="e">
        <f>#REF!-P132</f>
        <v>#REF!</v>
      </c>
      <c r="Q133" s="299"/>
      <c r="R133" s="299"/>
      <c r="S133" s="300"/>
      <c r="T133" s="299"/>
      <c r="U133" s="299"/>
      <c r="V133" s="166"/>
      <c r="W133" s="166"/>
      <c r="X133" s="166"/>
      <c r="Y133" s="166"/>
      <c r="Z133" s="166"/>
      <c r="AA133" s="166"/>
      <c r="AB133" s="325"/>
      <c r="AC133" s="166"/>
      <c r="AD133" s="166"/>
      <c r="AE133" s="166"/>
      <c r="AF133" s="166"/>
      <c r="AG133" s="166"/>
      <c r="AH133" s="166"/>
      <c r="AI133" s="284"/>
      <c r="AJ133" s="284"/>
      <c r="AK133" s="284"/>
      <c r="AL133" s="166"/>
      <c r="AM133" s="166"/>
      <c r="AN133" s="166"/>
      <c r="AO133" s="12"/>
      <c r="AP133" s="12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288"/>
      <c r="BC133" s="288"/>
      <c r="BD133" s="166"/>
      <c r="BE133" s="166"/>
      <c r="BF133" s="166"/>
      <c r="BG133" s="166"/>
      <c r="BH133" s="166"/>
      <c r="BI133" s="12"/>
      <c r="BJ133" s="12"/>
      <c r="BK133" s="166"/>
      <c r="BL133" s="288"/>
      <c r="BM133" s="166"/>
      <c r="BN133" s="166"/>
      <c r="BO133" s="166"/>
      <c r="BP133" s="166"/>
    </row>
    <row r="134" spans="1:69" ht="18">
      <c r="A134" s="286"/>
      <c r="B134" s="287"/>
      <c r="C134" s="183"/>
      <c r="D134" s="167"/>
      <c r="E134" s="167"/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  <c r="U134" s="299"/>
      <c r="V134" s="166"/>
      <c r="W134" s="166"/>
      <c r="X134" s="166"/>
      <c r="Y134" s="166"/>
      <c r="Z134" s="166"/>
      <c r="AA134" s="166"/>
      <c r="AB134" s="325"/>
      <c r="AC134" s="166"/>
      <c r="AD134" s="166"/>
      <c r="AE134" s="166"/>
      <c r="AF134" s="166"/>
      <c r="AG134" s="166"/>
      <c r="AH134" s="166"/>
      <c r="AI134" s="284"/>
      <c r="AJ134" s="284"/>
      <c r="AK134" s="284"/>
      <c r="AL134" s="166"/>
      <c r="AM134" s="166"/>
      <c r="AN134" s="166"/>
      <c r="AO134" s="12"/>
      <c r="AP134" s="12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288"/>
      <c r="BC134" s="288"/>
      <c r="BD134" s="166"/>
      <c r="BE134" s="166"/>
      <c r="BF134" s="166"/>
      <c r="BG134" s="166"/>
      <c r="BH134" s="166"/>
      <c r="BI134" s="12"/>
      <c r="BJ134" s="12"/>
      <c r="BK134" s="166"/>
      <c r="BL134" s="288"/>
      <c r="BM134" s="166"/>
      <c r="BN134" s="166"/>
      <c r="BO134" s="166"/>
      <c r="BP134" s="166"/>
    </row>
    <row r="135" spans="1:69" ht="14">
      <c r="A135" s="286"/>
      <c r="B135" s="287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</row>
    <row r="136" spans="1:69" ht="14">
      <c r="A136" s="286"/>
      <c r="B136" s="287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</row>
    <row r="137" spans="1:69" ht="14">
      <c r="A137" s="286"/>
      <c r="B137" s="287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</row>
    <row r="138" spans="1:69" ht="14">
      <c r="A138" s="286"/>
      <c r="B138" s="287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</row>
    <row r="139" spans="1:69" ht="14">
      <c r="A139" s="286"/>
      <c r="B139" s="287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>
        <f>AR137-AO137</f>
        <v>0</v>
      </c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</row>
    <row r="140" spans="1:69" ht="14">
      <c r="A140" s="286"/>
      <c r="B140" s="287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>
        <f>BD7+BD12+BD14+BD22+BD23+BD26+BD28+BD31+BD32+BD33+BD34+BD38+BD41+BD45+BD50+BD51+BD54+BD55+BD57+BD60+BD64+BD66+BD70+BD80+BD82+BD65</f>
        <v>-80770000</v>
      </c>
      <c r="BE140" s="183">
        <f>BE7+BE12+BE14+BE22+BE23+BE26+BE28+BE31+BE32+BE33+BE34+BE38+BE41+BE45+BE50+BE51+BE54+BE55+BE57+BE60+BE64+BE66+BE70+BE80+BE82+BE65</f>
        <v>0</v>
      </c>
      <c r="BF140" s="183">
        <f>BF7+BF12+BF14+BF22+BF23+BF26+BF28+BF31+BF32+BF33+BF34+BF38+BF41+BF45+BF50+BF51+BF54+BF55+BF57+BF60+BF64+BF66+BF70+BF80+BF82+BF65</f>
        <v>0</v>
      </c>
      <c r="BG140" s="183">
        <f>BG7+BG12+BG14+BG22+BG23+BG26+BG28+BG31+BG32+BG33+BG34+BG38+BG41+BG45+BG50+BG51+BG54+BG55+BG57+BG60+BG64+BG66+BG70+BG80+BG82+BG65</f>
        <v>0</v>
      </c>
      <c r="BH140" s="183">
        <f t="shared" ref="BH140" si="92">BH7+BH12+BH14+BH22+BH23+BH26+BH28+BH31+BH32+BH33+BH34+BH38+BH41+BH45+BH50+BH51+BH54+BH55+BH57+BH60+BH64+BH66+BH70+BH80+BH82+BH65</f>
        <v>-80770000</v>
      </c>
      <c r="BI140" s="183"/>
      <c r="BJ140" s="183"/>
      <c r="BK140" s="183"/>
      <c r="BL140" s="183"/>
      <c r="BM140" s="183"/>
      <c r="BN140" s="183"/>
      <c r="BO140" s="183"/>
      <c r="BP140" s="183"/>
      <c r="BQ140" s="183"/>
    </row>
    <row r="141" spans="1:69" ht="14">
      <c r="A141" s="286"/>
      <c r="B141" s="287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/>
      <c r="BB141" s="183"/>
      <c r="BC141" s="183"/>
      <c r="BD141" s="183">
        <f>BD8+BD10+BD11+BD27+BD29+BD35+BD37+BD39+BD46+BD58+BD62+BD67+BD79+BD81+BD85+BD86+BD90+BD91+BD92+BD97+BD99+BD102+BD103+BD104+BD105+BD106+BD107</f>
        <v>68948840</v>
      </c>
      <c r="BE141" s="183">
        <f>BE8+BE10+BE11+BE27+BE29+BE35+BE37+BE39+BE46+BE58+BE62+BE67+BE79+BE81+BE85+BE86+BE90+BE91+BE92+BE97+BE99+BE102+BE103+BE104+BE105+BE106+BE107</f>
        <v>-210000</v>
      </c>
      <c r="BF141" s="183">
        <f>BF8+BF10+BF11+BF27+BF29+BF35+BF37+BF39+BF46+BF58+BF62+BF67+BF79+BF81+BF85+BF86+BF90+BF91+BF92+BF97+BF99+BF102+BF103+BF104+BF105+BF106+BF107</f>
        <v>0</v>
      </c>
      <c r="BG141" s="183">
        <f>BG8+BG10+BG11+BG27+BG29+BG35+BG37+BG39+BG46+BG58+BG62+BG67+BG79+BG81+BG85+BG86+BG90+BG91+BG92+BG97+BG99+BG102+BG103+BG104+BG105+BG106+BG107</f>
        <v>0</v>
      </c>
      <c r="BH141" s="183">
        <f t="shared" ref="BH141" si="93">BH8+BH10+BH11+BH27+BH29+BH35+BH37+BH39+BH46+BH58+BH62+BH67+BH79+BH81+BH85+BH86+BH90+BH91+BH92+BH97+BH99+BH102+BH103+BH104+BH105+BH106+BH107</f>
        <v>68738840</v>
      </c>
      <c r="BI141" s="183"/>
      <c r="BJ141" s="183"/>
      <c r="BK141" s="183"/>
      <c r="BL141" s="183"/>
      <c r="BM141" s="183"/>
      <c r="BN141" s="183"/>
      <c r="BO141" s="183"/>
      <c r="BP141" s="183"/>
      <c r="BQ141" s="183"/>
    </row>
    <row r="142" spans="1:69" ht="14">
      <c r="A142" s="286"/>
      <c r="B142" s="287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>
        <f>BD15+BD24+BD30+BD101</f>
        <v>-1110000</v>
      </c>
      <c r="BE142" s="183">
        <f>BE15+BE24+BE30+BE101</f>
        <v>0</v>
      </c>
      <c r="BF142" s="183">
        <f>BF15+BF24+BF30+BF101</f>
        <v>0</v>
      </c>
      <c r="BG142" s="183">
        <f>BG15+BG24+BG30+BG101</f>
        <v>0</v>
      </c>
      <c r="BH142" s="183">
        <f t="shared" ref="BH142" si="94">BH15+BH24+BH30+BH101</f>
        <v>-1110000</v>
      </c>
      <c r="BI142" s="183"/>
      <c r="BJ142" s="183"/>
      <c r="BK142" s="183"/>
      <c r="BL142" s="183"/>
      <c r="BM142" s="183"/>
      <c r="BN142" s="183"/>
      <c r="BO142" s="183"/>
      <c r="BP142" s="183"/>
      <c r="BQ142" s="183"/>
    </row>
    <row r="143" spans="1:69" ht="14">
      <c r="A143" s="286"/>
      <c r="B143" s="287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>
        <f>SUM(BD140:BD142)</f>
        <v>-12931160</v>
      </c>
      <c r="BE143" s="183">
        <f>SUM(BE140:BE142)</f>
        <v>-210000</v>
      </c>
      <c r="BF143" s="183">
        <f>SUM(BF140:BF142)</f>
        <v>0</v>
      </c>
      <c r="BG143" s="183">
        <f>SUM(BG140:BG142)</f>
        <v>0</v>
      </c>
      <c r="BH143" s="183">
        <f t="shared" ref="BH143" si="95">SUM(BH140:BH142)</f>
        <v>-13141160</v>
      </c>
      <c r="BI143" s="183"/>
      <c r="BJ143" s="183"/>
      <c r="BK143" s="183"/>
      <c r="BL143" s="183"/>
      <c r="BM143" s="183"/>
      <c r="BN143" s="183"/>
      <c r="BO143" s="183"/>
      <c r="BP143" s="183"/>
      <c r="BQ143" s="183"/>
    </row>
    <row r="144" spans="1:69" ht="14">
      <c r="A144" s="286"/>
      <c r="B144" s="287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</row>
    <row r="145" spans="3:69" ht="14"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>
        <f>BD108</f>
        <v>-12931160</v>
      </c>
      <c r="BE145" s="183">
        <f>BE108</f>
        <v>-210000</v>
      </c>
      <c r="BF145" s="183">
        <f>BF108</f>
        <v>0</v>
      </c>
      <c r="BG145" s="183">
        <f>BG108</f>
        <v>0</v>
      </c>
      <c r="BH145" s="183">
        <f t="shared" ref="BH145" si="96">BH108</f>
        <v>-13141160</v>
      </c>
      <c r="BI145" s="183"/>
      <c r="BJ145" s="183"/>
      <c r="BK145" s="183"/>
      <c r="BL145" s="183"/>
      <c r="BM145" s="183"/>
      <c r="BN145" s="183"/>
      <c r="BO145" s="183"/>
      <c r="BP145" s="183"/>
      <c r="BQ145" s="183"/>
    </row>
    <row r="146" spans="3:69" ht="14"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</row>
    <row r="147" spans="3:69" ht="14"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</row>
    <row r="148" spans="3:69" ht="14"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G4:BJ4"/>
    <mergeCell ref="BL4:BP4"/>
  </mergeCells>
  <conditionalFormatting sqref="AB5">
    <cfRule type="cellIs" dxfId="169" priority="9" operator="equal">
      <formula>0</formula>
    </cfRule>
  </conditionalFormatting>
  <conditionalFormatting sqref="AR1:BA3">
    <cfRule type="cellIs" dxfId="168" priority="8" operator="equal">
      <formula>0</formula>
    </cfRule>
  </conditionalFormatting>
  <conditionalFormatting sqref="AQ1:AQ3">
    <cfRule type="cellIs" dxfId="167" priority="7" operator="equal">
      <formula>0</formula>
    </cfRule>
  </conditionalFormatting>
  <conditionalFormatting sqref="BG1:BG3">
    <cfRule type="cellIs" dxfId="166" priority="6" operator="equal">
      <formula>0</formula>
    </cfRule>
  </conditionalFormatting>
  <conditionalFormatting sqref="BK1:BK3">
    <cfRule type="cellIs" dxfId="165" priority="5" operator="equal">
      <formula>0</formula>
    </cfRule>
  </conditionalFormatting>
  <conditionalFormatting sqref="BH1:BJ3">
    <cfRule type="cellIs" dxfId="164" priority="4" operator="equal">
      <formula>0</formula>
    </cfRule>
  </conditionalFormatting>
  <conditionalFormatting sqref="BD1:BD3">
    <cfRule type="cellIs" dxfId="163" priority="3" operator="equal">
      <formula>0</formula>
    </cfRule>
  </conditionalFormatting>
  <conditionalFormatting sqref="BE1:BE3">
    <cfRule type="cellIs" dxfId="162" priority="2" operator="equal">
      <formula>0</formula>
    </cfRule>
  </conditionalFormatting>
  <conditionalFormatting sqref="BF1:BF3">
    <cfRule type="cellIs" dxfId="16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110" max="16383" man="1"/>
  </rowBreaks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22"/>
  <sheetViews>
    <sheetView showZeros="0" rightToLeft="1" zoomScaleNormal="100" workbookViewId="0">
      <pane xSplit="3" ySplit="5" topLeftCell="D43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3.36328125" style="29" customWidth="1"/>
    <col min="2" max="2" width="4.6328125" style="12" customWidth="1"/>
    <col min="3" max="3" width="29.36328125" style="12" customWidth="1"/>
    <col min="4" max="5" width="10.08984375" style="14" hidden="1" customWidth="1"/>
    <col min="6" max="6" width="7.08984375" style="14" hidden="1" customWidth="1"/>
    <col min="7" max="8" width="11.08984375" style="14" hidden="1" customWidth="1"/>
    <col min="9" max="11" width="10.08984375" style="14" hidden="1" customWidth="1"/>
    <col min="12" max="12" width="11.08984375" style="14" hidden="1" customWidth="1"/>
    <col min="13" max="15" width="10.08984375" style="14" hidden="1" customWidth="1"/>
    <col min="16" max="16" width="11.08984375" style="14" hidden="1" customWidth="1"/>
    <col min="17" max="17" width="10.08984375" style="14" hidden="1" customWidth="1"/>
    <col min="18" max="21" width="9.08984375" style="14" hidden="1" customWidth="1"/>
    <col min="22" max="24" width="10.08984375" style="12" hidden="1" customWidth="1"/>
    <col min="25" max="25" width="9" style="12" hidden="1" customWidth="1"/>
    <col min="26" max="26" width="7.54296875" style="12" hidden="1" customWidth="1"/>
    <col min="27" max="27" width="10.08984375" style="12" hidden="1" customWidth="1"/>
    <col min="28" max="28" width="53.08984375" style="18" hidden="1" customWidth="1"/>
    <col min="29" max="29" width="10.08984375" style="12" hidden="1" customWidth="1"/>
    <col min="30" max="30" width="9.90625" style="166" hidden="1" customWidth="1"/>
    <col min="31" max="31" width="10.08984375" style="166" hidden="1" customWidth="1"/>
    <col min="32" max="32" width="9.08984375" style="166" hidden="1" customWidth="1"/>
    <col min="33" max="33" width="6.90625" style="166" hidden="1" customWidth="1"/>
    <col min="34" max="34" width="10.08984375" style="24" hidden="1" customWidth="1"/>
    <col min="35" max="36" width="10.08984375" style="301" hidden="1" customWidth="1"/>
    <col min="37" max="37" width="10.6328125" style="302" hidden="1" customWidth="1"/>
    <col min="38" max="38" width="10.6328125" style="307" hidden="1" customWidth="1"/>
    <col min="39" max="40" width="10.6328125" style="17" hidden="1" customWidth="1"/>
    <col min="41" max="41" width="16.54296875" style="12" hidden="1" customWidth="1"/>
    <col min="42" max="42" width="16.36328125" style="12" hidden="1" customWidth="1"/>
    <col min="43" max="43" width="21.6328125" style="650" hidden="1" customWidth="1"/>
    <col min="44" max="44" width="9.90625" style="12" hidden="1" customWidth="1"/>
    <col min="45" max="45" width="10.6328125" style="12" hidden="1" customWidth="1"/>
    <col min="46" max="46" width="9.81640625" style="12" hidden="1" customWidth="1"/>
    <col min="47" max="47" width="10.36328125" style="12" hidden="1" customWidth="1"/>
    <col min="48" max="50" width="11.81640625" style="12" customWidth="1"/>
    <col min="51" max="52" width="11.81640625" style="12" hidden="1" customWidth="1"/>
    <col min="53" max="55" width="11.81640625" style="12" customWidth="1"/>
    <col min="56" max="60" width="12.81640625" style="17" hidden="1" customWidth="1"/>
    <col min="61" max="61" width="12.81640625" style="12" hidden="1" customWidth="1"/>
    <col min="62" max="62" width="11.81640625" style="12" customWidth="1"/>
    <col min="63" max="63" width="11.81640625" style="17" customWidth="1"/>
    <col min="64" max="65" width="11.81640625" style="12" customWidth="1"/>
    <col min="66" max="67" width="12.81640625" style="12" hidden="1" customWidth="1"/>
    <col min="68" max="68" width="11.81640625" style="12" customWidth="1"/>
    <col min="69" max="16384" width="9.08984375" style="12"/>
  </cols>
  <sheetData>
    <row r="1" spans="1:68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5"/>
      <c r="AD1" s="166"/>
      <c r="AE1" s="166"/>
      <c r="AF1" s="166"/>
      <c r="AG1" s="166"/>
      <c r="AH1" s="24"/>
      <c r="AI1" s="303"/>
      <c r="AJ1" s="304"/>
      <c r="AK1" s="305"/>
      <c r="AL1" s="305"/>
      <c r="AO1" s="28"/>
      <c r="AP1" s="28"/>
      <c r="AQ1" s="283"/>
    </row>
    <row r="2" spans="1:68" s="166" customFormat="1" ht="18">
      <c r="A2" s="282" t="s">
        <v>1445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H2" s="24"/>
      <c r="AI2" s="303"/>
      <c r="AJ2" s="304"/>
      <c r="AK2" s="305"/>
      <c r="AL2" s="305"/>
      <c r="AO2" s="12"/>
      <c r="AP2" s="12"/>
      <c r="AQ2" s="286"/>
    </row>
    <row r="3" spans="1:68" s="166" customFormat="1" ht="18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183"/>
      <c r="AH3" s="24"/>
      <c r="AI3" s="303"/>
      <c r="AJ3" s="304"/>
      <c r="AK3" s="305"/>
      <c r="AL3" s="305"/>
      <c r="AO3" s="12"/>
      <c r="AP3" s="12"/>
      <c r="AQ3" s="286"/>
    </row>
    <row r="4" spans="1:68" ht="21.65" customHeight="1">
      <c r="A4" s="40"/>
      <c r="B4" s="40"/>
      <c r="C4" s="376"/>
      <c r="D4" s="784" t="s">
        <v>95</v>
      </c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5"/>
      <c r="AB4" s="785"/>
      <c r="AC4" s="785"/>
      <c r="AD4" s="785"/>
      <c r="AE4" s="785"/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6"/>
      <c r="AV4" s="512" t="s">
        <v>292</v>
      </c>
      <c r="AW4" s="775" t="s">
        <v>967</v>
      </c>
      <c r="AX4" s="775"/>
      <c r="AY4" s="775"/>
      <c r="AZ4" s="775"/>
      <c r="BA4" s="775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24" customFormat="1" ht="70">
      <c r="A5" s="433" t="s">
        <v>0</v>
      </c>
      <c r="B5" s="433" t="s">
        <v>1</v>
      </c>
      <c r="C5" s="433" t="s">
        <v>2</v>
      </c>
      <c r="D5" s="433" t="s">
        <v>3</v>
      </c>
      <c r="E5" s="433" t="s">
        <v>4</v>
      </c>
      <c r="F5" s="433" t="s">
        <v>5</v>
      </c>
      <c r="G5" s="433" t="s">
        <v>6</v>
      </c>
      <c r="H5" s="433" t="s">
        <v>7</v>
      </c>
      <c r="I5" s="433" t="s">
        <v>9</v>
      </c>
      <c r="J5" s="433" t="s">
        <v>178</v>
      </c>
      <c r="K5" s="433" t="s">
        <v>10</v>
      </c>
      <c r="L5" s="433" t="s">
        <v>11</v>
      </c>
      <c r="M5" s="430" t="s">
        <v>970</v>
      </c>
      <c r="N5" s="430" t="s">
        <v>971</v>
      </c>
      <c r="O5" s="430" t="s">
        <v>972</v>
      </c>
      <c r="P5" s="430" t="s">
        <v>628</v>
      </c>
      <c r="Q5" s="430" t="s">
        <v>12</v>
      </c>
      <c r="R5" s="430" t="s">
        <v>633</v>
      </c>
      <c r="S5" s="430" t="s">
        <v>634</v>
      </c>
      <c r="T5" s="430" t="s">
        <v>632</v>
      </c>
      <c r="U5" s="430" t="s">
        <v>629</v>
      </c>
      <c r="V5" s="430" t="s">
        <v>973</v>
      </c>
      <c r="W5" s="430" t="s">
        <v>13</v>
      </c>
      <c r="X5" s="430" t="s">
        <v>14</v>
      </c>
      <c r="Y5" s="430" t="s">
        <v>15</v>
      </c>
      <c r="Z5" s="430" t="s">
        <v>301</v>
      </c>
      <c r="AA5" s="430" t="s">
        <v>91</v>
      </c>
      <c r="AB5" s="430" t="s">
        <v>344</v>
      </c>
      <c r="AC5" s="430" t="s">
        <v>16</v>
      </c>
      <c r="AD5" s="430" t="s">
        <v>974</v>
      </c>
      <c r="AE5" s="430" t="s">
        <v>975</v>
      </c>
      <c r="AF5" s="430" t="s">
        <v>976</v>
      </c>
      <c r="AG5" s="430" t="s">
        <v>977</v>
      </c>
      <c r="AH5" s="430" t="s">
        <v>978</v>
      </c>
      <c r="AI5" s="430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645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3" t="s">
        <v>13</v>
      </c>
      <c r="AX5" s="433" t="s">
        <v>14</v>
      </c>
      <c r="AY5" s="433" t="s">
        <v>15</v>
      </c>
      <c r="AZ5" s="433" t="s">
        <v>301</v>
      </c>
      <c r="BA5" s="433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">
        <v>1</v>
      </c>
      <c r="B6" s="3">
        <v>1247</v>
      </c>
      <c r="C6" s="3" t="s">
        <v>52</v>
      </c>
      <c r="D6" s="4">
        <v>9500000</v>
      </c>
      <c r="E6" s="4">
        <v>9500000</v>
      </c>
      <c r="F6" s="4">
        <f t="shared" ref="F6:F60" si="0">D6-E6</f>
        <v>0</v>
      </c>
      <c r="G6" s="4">
        <v>9050000</v>
      </c>
      <c r="H6" s="4">
        <v>8414489</v>
      </c>
      <c r="I6" s="4"/>
      <c r="J6" s="4">
        <v>328821.83</v>
      </c>
      <c r="K6" s="4">
        <f>SUM(I6:J6)</f>
        <v>328821.83</v>
      </c>
      <c r="L6" s="4">
        <f>K6+H6</f>
        <v>8743310.8300000001</v>
      </c>
      <c r="M6" s="4">
        <f t="shared" ref="M6:M18" si="1">Q6+T6</f>
        <v>306689.16999999993</v>
      </c>
      <c r="N6" s="4">
        <v>200000</v>
      </c>
      <c r="O6" s="4">
        <f>N6-AH6</f>
        <v>0</v>
      </c>
      <c r="P6" s="4">
        <f>D6-L6-M6-O6</f>
        <v>450000</v>
      </c>
      <c r="Q6" s="4">
        <f t="shared" ref="Q6:Q60" si="2">G6-L6</f>
        <v>306689.16999999993</v>
      </c>
      <c r="R6" s="4"/>
      <c r="S6" s="4"/>
      <c r="T6" s="4">
        <f>SUM(R6:S6)</f>
        <v>0</v>
      </c>
      <c r="U6" s="4">
        <f t="shared" ref="U6:U60" si="3">Q6-M6+T6</f>
        <v>0</v>
      </c>
      <c r="V6" s="4">
        <f t="shared" ref="V6:V60" si="4">N6-U6</f>
        <v>200000</v>
      </c>
      <c r="W6" s="4">
        <f>V6-X6-Y6-Z6-AA6</f>
        <v>0</v>
      </c>
      <c r="X6" s="4">
        <v>200000</v>
      </c>
      <c r="Y6" s="4"/>
      <c r="Z6" s="4"/>
      <c r="AA6" s="3"/>
      <c r="AB6" s="3" t="s">
        <v>397</v>
      </c>
      <c r="AC6" s="3">
        <v>732000</v>
      </c>
      <c r="AD6" s="4">
        <v>100000</v>
      </c>
      <c r="AE6" s="184"/>
      <c r="AF6" s="4">
        <v>100000</v>
      </c>
      <c r="AG6" s="4"/>
      <c r="AH6" s="4">
        <f>SUM(AD6:AG6)</f>
        <v>200000</v>
      </c>
      <c r="AI6" s="4">
        <f>V6-AH6</f>
        <v>0</v>
      </c>
      <c r="AJ6" s="4"/>
      <c r="AK6" s="4">
        <f>AI6-AJ6-AN6</f>
        <v>0</v>
      </c>
      <c r="AL6" s="379"/>
      <c r="AM6" s="3"/>
      <c r="AN6" s="3"/>
      <c r="AO6" s="4"/>
      <c r="AP6" s="4">
        <v>306689</v>
      </c>
      <c r="AQ6" s="314"/>
      <c r="AR6" s="3"/>
      <c r="AS6" s="4">
        <f>AP6</f>
        <v>306689</v>
      </c>
      <c r="AT6" s="173">
        <f>SUM(AR6:AS6)</f>
        <v>306689</v>
      </c>
      <c r="AU6" s="173">
        <f>D6-L6-AT6</f>
        <v>450000.16999999993</v>
      </c>
      <c r="AV6" s="173">
        <f>AR6+AS6-M6</f>
        <v>-0.16999999992549419</v>
      </c>
      <c r="AW6" s="3"/>
      <c r="AX6" s="4">
        <f>AS6-M6+AR6-AW6-BA6</f>
        <v>-0.16999999992549419</v>
      </c>
      <c r="AY6" s="3"/>
      <c r="AZ6" s="3"/>
      <c r="BA6" s="3"/>
      <c r="BB6" s="173">
        <f>AS6-M6</f>
        <v>-0.16999999992549419</v>
      </c>
      <c r="BC6" s="4">
        <f>AR6</f>
        <v>0</v>
      </c>
      <c r="BD6" s="4">
        <v>0</v>
      </c>
      <c r="BE6" s="4"/>
      <c r="BF6" s="4"/>
      <c r="BG6" s="4"/>
      <c r="BH6" s="4">
        <f>SUM(BD6:BF6)</f>
        <v>0</v>
      </c>
      <c r="BI6" s="3"/>
      <c r="BJ6" s="4">
        <f>BH6+BI6</f>
        <v>0</v>
      </c>
      <c r="BK6" s="4"/>
      <c r="BL6" s="4"/>
      <c r="BM6" s="4">
        <f>BJ6-BL6-BP6</f>
        <v>0</v>
      </c>
      <c r="BN6" s="4"/>
      <c r="BO6" s="4"/>
      <c r="BP6" s="4"/>
    </row>
    <row r="7" spans="1:68" s="5" customFormat="1" ht="30" customHeight="1">
      <c r="A7" s="3">
        <v>2</v>
      </c>
      <c r="B7" s="3">
        <v>1250</v>
      </c>
      <c r="C7" s="3" t="s">
        <v>1586</v>
      </c>
      <c r="D7" s="4">
        <v>1800000</v>
      </c>
      <c r="E7" s="4">
        <v>1800000</v>
      </c>
      <c r="F7" s="4">
        <f t="shared" si="0"/>
        <v>0</v>
      </c>
      <c r="G7" s="4">
        <v>1800000</v>
      </c>
      <c r="H7" s="4">
        <v>1356100</v>
      </c>
      <c r="I7" s="4"/>
      <c r="J7" s="4"/>
      <c r="K7" s="4">
        <f t="shared" ref="K7:K60" si="5">SUM(I7:J7)</f>
        <v>0</v>
      </c>
      <c r="L7" s="4">
        <f t="shared" ref="L7:L52" si="6">K7+H7</f>
        <v>1356100</v>
      </c>
      <c r="M7" s="4">
        <f t="shared" si="1"/>
        <v>443900</v>
      </c>
      <c r="N7" s="4">
        <v>400000</v>
      </c>
      <c r="O7" s="4">
        <f t="shared" ref="O7:O60" si="7">N7-AH7</f>
        <v>0</v>
      </c>
      <c r="P7" s="4">
        <f t="shared" ref="P7:P60" si="8">D7-L7-M7-O7</f>
        <v>0</v>
      </c>
      <c r="Q7" s="4">
        <f t="shared" si="2"/>
        <v>443900</v>
      </c>
      <c r="R7" s="4"/>
      <c r="S7" s="4"/>
      <c r="T7" s="4">
        <f t="shared" ref="T7:T60" si="9">SUM(R7:S7)</f>
        <v>0</v>
      </c>
      <c r="U7" s="4">
        <f t="shared" si="3"/>
        <v>0</v>
      </c>
      <c r="V7" s="4">
        <f t="shared" si="4"/>
        <v>400000</v>
      </c>
      <c r="W7" s="4"/>
      <c r="X7" s="4">
        <f t="shared" ref="X7:X51" si="10">V7-W7-Z7-AA7</f>
        <v>400000</v>
      </c>
      <c r="Y7" s="4"/>
      <c r="Z7" s="4"/>
      <c r="AA7" s="3"/>
      <c r="AB7" s="3" t="s">
        <v>398</v>
      </c>
      <c r="AC7" s="3">
        <v>749000</v>
      </c>
      <c r="AD7" s="4"/>
      <c r="AE7" s="184"/>
      <c r="AF7" s="4">
        <v>400000</v>
      </c>
      <c r="AG7" s="4"/>
      <c r="AH7" s="4">
        <f t="shared" ref="AH7:AH58" si="11">SUM(AD7:AG7)</f>
        <v>400000</v>
      </c>
      <c r="AI7" s="4">
        <f t="shared" ref="AI7:AI58" si="12">V7-AH7</f>
        <v>0</v>
      </c>
      <c r="AJ7" s="4"/>
      <c r="AK7" s="4">
        <f t="shared" ref="AK7:AK14" si="13">AI7-AJ7-AN7</f>
        <v>0</v>
      </c>
      <c r="AL7" s="379"/>
      <c r="AM7" s="3"/>
      <c r="AN7" s="3"/>
      <c r="AO7" s="4"/>
      <c r="AP7" s="4"/>
      <c r="AQ7" s="314"/>
      <c r="AR7" s="4">
        <f>AO7</f>
        <v>0</v>
      </c>
      <c r="AS7" s="4">
        <f>2400+1500</f>
        <v>3900</v>
      </c>
      <c r="AT7" s="173">
        <f t="shared" ref="AT7:AT60" si="14">SUM(AR7:AS7)</f>
        <v>3900</v>
      </c>
      <c r="AU7" s="173">
        <f t="shared" ref="AU7:AU60" si="15">D7-L7-AT7</f>
        <v>440000</v>
      </c>
      <c r="AV7" s="173">
        <f t="shared" ref="AV7:AV60" si="16">AR7+AS7-M7</f>
        <v>-440000</v>
      </c>
      <c r="AW7" s="3"/>
      <c r="AX7" s="4">
        <f t="shared" ref="AX7:AX60" si="17">AS7-M7+AR7-AW7-BA7</f>
        <v>-440000</v>
      </c>
      <c r="AY7" s="3"/>
      <c r="AZ7" s="3"/>
      <c r="BA7" s="3"/>
      <c r="BB7" s="173">
        <f t="shared" ref="BB7:BB60" si="18">AS7-M7</f>
        <v>-440000</v>
      </c>
      <c r="BC7" s="4">
        <f t="shared" ref="BC7:BC60" si="19">AR7</f>
        <v>0</v>
      </c>
      <c r="BD7" s="4">
        <v>-440000</v>
      </c>
      <c r="BE7" s="4"/>
      <c r="BF7" s="4"/>
      <c r="BG7" s="4"/>
      <c r="BH7" s="4">
        <f>SUM(BD7:BF7)</f>
        <v>-440000</v>
      </c>
      <c r="BI7" s="3"/>
      <c r="BJ7" s="4">
        <f t="shared" ref="BJ7:BJ60" si="20">BH7+BI7</f>
        <v>-440000</v>
      </c>
      <c r="BK7" s="4">
        <f t="shared" ref="BK7:BK60" si="21">AV7-BH7</f>
        <v>0</v>
      </c>
      <c r="BL7" s="4"/>
      <c r="BM7" s="4">
        <f t="shared" ref="BM7:BM60" si="22">BJ7-BL7-BP7</f>
        <v>-440000</v>
      </c>
      <c r="BN7" s="4"/>
      <c r="BO7" s="4"/>
      <c r="BP7" s="4"/>
    </row>
    <row r="8" spans="1:68" s="5" customFormat="1" ht="30" customHeight="1">
      <c r="A8" s="3">
        <v>3</v>
      </c>
      <c r="B8" s="3">
        <v>1253</v>
      </c>
      <c r="C8" s="3" t="s">
        <v>53</v>
      </c>
      <c r="D8" s="4">
        <v>5200000</v>
      </c>
      <c r="E8" s="4">
        <v>5200000</v>
      </c>
      <c r="F8" s="4">
        <f t="shared" si="0"/>
        <v>0</v>
      </c>
      <c r="G8" s="4">
        <v>5200000</v>
      </c>
      <c r="H8" s="4">
        <v>4447334</v>
      </c>
      <c r="I8" s="4"/>
      <c r="J8" s="4">
        <v>40543.47</v>
      </c>
      <c r="K8" s="4">
        <f t="shared" si="5"/>
        <v>40543.47</v>
      </c>
      <c r="L8" s="4">
        <f t="shared" si="6"/>
        <v>4487877.47</v>
      </c>
      <c r="M8" s="4">
        <f t="shared" si="1"/>
        <v>712122.53000000026</v>
      </c>
      <c r="N8" s="4">
        <v>500000</v>
      </c>
      <c r="O8" s="4">
        <f t="shared" si="7"/>
        <v>0</v>
      </c>
      <c r="P8" s="4">
        <f t="shared" si="8"/>
        <v>0</v>
      </c>
      <c r="Q8" s="4">
        <f t="shared" si="2"/>
        <v>712122.53000000026</v>
      </c>
      <c r="R8" s="4"/>
      <c r="S8" s="4"/>
      <c r="T8" s="4">
        <f t="shared" si="9"/>
        <v>0</v>
      </c>
      <c r="U8" s="4">
        <f t="shared" si="3"/>
        <v>0</v>
      </c>
      <c r="V8" s="4">
        <f t="shared" si="4"/>
        <v>500000</v>
      </c>
      <c r="W8" s="4"/>
      <c r="X8" s="4">
        <f t="shared" si="10"/>
        <v>500000</v>
      </c>
      <c r="Y8" s="4"/>
      <c r="Z8" s="4"/>
      <c r="AA8" s="3"/>
      <c r="AB8" s="3" t="s">
        <v>399</v>
      </c>
      <c r="AC8" s="3">
        <v>850000</v>
      </c>
      <c r="AD8" s="4"/>
      <c r="AE8" s="184"/>
      <c r="AF8" s="4">
        <v>500000</v>
      </c>
      <c r="AG8" s="4"/>
      <c r="AH8" s="4">
        <f t="shared" si="11"/>
        <v>500000</v>
      </c>
      <c r="AI8" s="4">
        <f t="shared" si="12"/>
        <v>0</v>
      </c>
      <c r="AJ8" s="4"/>
      <c r="AK8" s="4">
        <f t="shared" si="13"/>
        <v>0</v>
      </c>
      <c r="AL8" s="379"/>
      <c r="AM8" s="3"/>
      <c r="AN8" s="3"/>
      <c r="AO8" s="4"/>
      <c r="AP8" s="4"/>
      <c r="AQ8" s="314"/>
      <c r="AR8" s="4">
        <f t="shared" ref="AR8:AR60" si="23">AO8</f>
        <v>0</v>
      </c>
      <c r="AS8" s="4">
        <f>36723+75400</f>
        <v>112123</v>
      </c>
      <c r="AT8" s="173">
        <f t="shared" si="14"/>
        <v>112123</v>
      </c>
      <c r="AU8" s="173">
        <f t="shared" si="15"/>
        <v>599999.53000000026</v>
      </c>
      <c r="AV8" s="173">
        <f t="shared" si="16"/>
        <v>-599999.53000000026</v>
      </c>
      <c r="AW8" s="3"/>
      <c r="AX8" s="4">
        <f t="shared" si="17"/>
        <v>-599999.53000000026</v>
      </c>
      <c r="AY8" s="3"/>
      <c r="AZ8" s="3"/>
      <c r="BA8" s="3"/>
      <c r="BB8" s="173">
        <f t="shared" si="18"/>
        <v>-599999.53000000026</v>
      </c>
      <c r="BC8" s="4">
        <f t="shared" si="19"/>
        <v>0</v>
      </c>
      <c r="BD8" s="4">
        <v>-600000</v>
      </c>
      <c r="BE8" s="4"/>
      <c r="BF8" s="4"/>
      <c r="BG8" s="4"/>
      <c r="BH8" s="4">
        <f t="shared" ref="BH8:BH13" si="24">SUM(BD8:BF8)</f>
        <v>-600000</v>
      </c>
      <c r="BI8" s="3"/>
      <c r="BJ8" s="4">
        <f t="shared" si="20"/>
        <v>-600000</v>
      </c>
      <c r="BK8" s="4">
        <f t="shared" si="21"/>
        <v>0.46999999973922968</v>
      </c>
      <c r="BL8" s="4"/>
      <c r="BM8" s="4">
        <f t="shared" si="22"/>
        <v>-600000</v>
      </c>
      <c r="BN8" s="4"/>
      <c r="BO8" s="4"/>
      <c r="BP8" s="4"/>
    </row>
    <row r="9" spans="1:68" s="5" customFormat="1" ht="30" customHeight="1">
      <c r="A9" s="3">
        <v>4</v>
      </c>
      <c r="B9" s="3">
        <v>1415</v>
      </c>
      <c r="C9" s="3" t="s">
        <v>618</v>
      </c>
      <c r="D9" s="4">
        <v>1200000</v>
      </c>
      <c r="E9" s="4">
        <v>1200000</v>
      </c>
      <c r="F9" s="4">
        <f t="shared" si="0"/>
        <v>0</v>
      </c>
      <c r="G9" s="4">
        <v>1170000</v>
      </c>
      <c r="H9" s="4">
        <v>1053511</v>
      </c>
      <c r="I9" s="4"/>
      <c r="J9" s="4">
        <v>52743.19</v>
      </c>
      <c r="K9" s="4">
        <f t="shared" si="5"/>
        <v>52743.19</v>
      </c>
      <c r="L9" s="4">
        <f t="shared" si="6"/>
        <v>1106254.19</v>
      </c>
      <c r="M9" s="4">
        <f t="shared" si="1"/>
        <v>63745.810000000056</v>
      </c>
      <c r="N9" s="4">
        <v>100000</v>
      </c>
      <c r="O9" s="4">
        <f t="shared" si="7"/>
        <v>30000</v>
      </c>
      <c r="P9" s="4">
        <f t="shared" si="8"/>
        <v>0</v>
      </c>
      <c r="Q9" s="4">
        <f t="shared" si="2"/>
        <v>63745.810000000056</v>
      </c>
      <c r="R9" s="4"/>
      <c r="S9" s="4"/>
      <c r="T9" s="4">
        <f t="shared" si="9"/>
        <v>0</v>
      </c>
      <c r="U9" s="4">
        <f t="shared" si="3"/>
        <v>0</v>
      </c>
      <c r="V9" s="4">
        <f t="shared" si="4"/>
        <v>100000</v>
      </c>
      <c r="W9" s="4"/>
      <c r="X9" s="4">
        <f t="shared" si="10"/>
        <v>100000</v>
      </c>
      <c r="Y9" s="4"/>
      <c r="Z9" s="4"/>
      <c r="AA9" s="3"/>
      <c r="AB9" s="3" t="s">
        <v>400</v>
      </c>
      <c r="AC9" s="3">
        <v>930000</v>
      </c>
      <c r="AD9" s="4">
        <v>50000</v>
      </c>
      <c r="AE9" s="184"/>
      <c r="AF9" s="4">
        <v>20000</v>
      </c>
      <c r="AG9" s="4"/>
      <c r="AH9" s="4">
        <f t="shared" si="11"/>
        <v>70000</v>
      </c>
      <c r="AI9" s="4">
        <f t="shared" si="12"/>
        <v>30000</v>
      </c>
      <c r="AJ9" s="4"/>
      <c r="AK9" s="4">
        <f t="shared" si="13"/>
        <v>30000</v>
      </c>
      <c r="AL9" s="379"/>
      <c r="AM9" s="3"/>
      <c r="AN9" s="3"/>
      <c r="AO9" s="4">
        <v>30000</v>
      </c>
      <c r="AP9" s="4">
        <v>63746</v>
      </c>
      <c r="AQ9" s="646" t="s">
        <v>1059</v>
      </c>
      <c r="AR9" s="4">
        <v>30000</v>
      </c>
      <c r="AS9" s="4">
        <f>23746+40000</f>
        <v>63746</v>
      </c>
      <c r="AT9" s="173">
        <f t="shared" si="14"/>
        <v>93746</v>
      </c>
      <c r="AU9" s="173">
        <f t="shared" si="15"/>
        <v>-0.18999999994412065</v>
      </c>
      <c r="AV9" s="173">
        <f t="shared" si="16"/>
        <v>30000.189999999944</v>
      </c>
      <c r="AW9" s="3"/>
      <c r="AX9" s="4">
        <f t="shared" si="17"/>
        <v>30000.189999999944</v>
      </c>
      <c r="AY9" s="3"/>
      <c r="AZ9" s="3"/>
      <c r="BA9" s="3"/>
      <c r="BB9" s="173">
        <f t="shared" si="18"/>
        <v>0.18999999994412065</v>
      </c>
      <c r="BC9" s="4">
        <f t="shared" si="19"/>
        <v>30000</v>
      </c>
      <c r="BD9" s="4">
        <v>30000</v>
      </c>
      <c r="BE9" s="4"/>
      <c r="BF9" s="4"/>
      <c r="BG9" s="4"/>
      <c r="BH9" s="4">
        <f t="shared" si="24"/>
        <v>30000</v>
      </c>
      <c r="BI9" s="3"/>
      <c r="BJ9" s="4">
        <f t="shared" si="20"/>
        <v>30000</v>
      </c>
      <c r="BK9" s="4">
        <f t="shared" si="21"/>
        <v>0.18999999994412065</v>
      </c>
      <c r="BL9" s="4"/>
      <c r="BM9" s="4">
        <f t="shared" si="22"/>
        <v>30000</v>
      </c>
      <c r="BN9" s="4"/>
      <c r="BO9" s="4"/>
      <c r="BP9" s="4"/>
    </row>
    <row r="10" spans="1:68" s="5" customFormat="1" ht="30" customHeight="1">
      <c r="A10" s="3">
        <v>5</v>
      </c>
      <c r="B10" s="3">
        <v>1416</v>
      </c>
      <c r="C10" s="3" t="s">
        <v>117</v>
      </c>
      <c r="D10" s="4">
        <v>1800000</v>
      </c>
      <c r="E10" s="4">
        <v>1800000</v>
      </c>
      <c r="F10" s="4">
        <f t="shared" si="0"/>
        <v>0</v>
      </c>
      <c r="G10" s="4">
        <v>1750000</v>
      </c>
      <c r="H10" s="4">
        <v>1482812</v>
      </c>
      <c r="I10" s="4"/>
      <c r="J10" s="4">
        <v>253987.99</v>
      </c>
      <c r="K10" s="4">
        <f t="shared" si="5"/>
        <v>253987.99</v>
      </c>
      <c r="L10" s="4">
        <f t="shared" si="6"/>
        <v>1736799.99</v>
      </c>
      <c r="M10" s="4">
        <f t="shared" si="1"/>
        <v>13200.010000000009</v>
      </c>
      <c r="N10" s="4">
        <v>300000</v>
      </c>
      <c r="O10" s="4">
        <f t="shared" si="7"/>
        <v>50000</v>
      </c>
      <c r="P10" s="4">
        <f t="shared" si="8"/>
        <v>0</v>
      </c>
      <c r="Q10" s="4">
        <f t="shared" si="2"/>
        <v>13200.010000000009</v>
      </c>
      <c r="R10" s="4"/>
      <c r="S10" s="4"/>
      <c r="T10" s="4">
        <f t="shared" si="9"/>
        <v>0</v>
      </c>
      <c r="U10" s="4">
        <f t="shared" si="3"/>
        <v>0</v>
      </c>
      <c r="V10" s="4">
        <f t="shared" si="4"/>
        <v>300000</v>
      </c>
      <c r="W10" s="4"/>
      <c r="X10" s="4">
        <f t="shared" si="10"/>
        <v>300000</v>
      </c>
      <c r="Y10" s="4"/>
      <c r="Z10" s="4"/>
      <c r="AA10" s="3"/>
      <c r="AB10" s="3" t="s">
        <v>401</v>
      </c>
      <c r="AC10" s="3">
        <v>930000</v>
      </c>
      <c r="AD10" s="4">
        <v>150000</v>
      </c>
      <c r="AE10" s="184"/>
      <c r="AF10" s="4">
        <v>100000</v>
      </c>
      <c r="AG10" s="4"/>
      <c r="AH10" s="4">
        <f t="shared" si="11"/>
        <v>250000</v>
      </c>
      <c r="AI10" s="4">
        <f t="shared" si="12"/>
        <v>50000</v>
      </c>
      <c r="AJ10" s="4"/>
      <c r="AK10" s="4">
        <f t="shared" si="13"/>
        <v>50000</v>
      </c>
      <c r="AL10" s="379"/>
      <c r="AM10" s="3"/>
      <c r="AN10" s="3"/>
      <c r="AO10" s="4">
        <v>50000</v>
      </c>
      <c r="AP10" s="4">
        <v>13200</v>
      </c>
      <c r="AQ10" s="646" t="s">
        <v>1060</v>
      </c>
      <c r="AR10" s="4">
        <f t="shared" si="23"/>
        <v>50000</v>
      </c>
      <c r="AS10" s="4">
        <f>AP10</f>
        <v>13200</v>
      </c>
      <c r="AT10" s="173">
        <f t="shared" si="14"/>
        <v>63200</v>
      </c>
      <c r="AU10" s="173">
        <f t="shared" si="15"/>
        <v>1.0000000009313226E-2</v>
      </c>
      <c r="AV10" s="173">
        <f t="shared" si="16"/>
        <v>49999.989999999991</v>
      </c>
      <c r="AW10" s="3"/>
      <c r="AX10" s="4">
        <f t="shared" si="17"/>
        <v>49999.989999999991</v>
      </c>
      <c r="AY10" s="3"/>
      <c r="AZ10" s="3"/>
      <c r="BA10" s="3"/>
      <c r="BB10" s="173">
        <f t="shared" si="18"/>
        <v>-1.0000000009313226E-2</v>
      </c>
      <c r="BC10" s="4">
        <f t="shared" si="19"/>
        <v>50000</v>
      </c>
      <c r="BD10" s="4">
        <v>50000</v>
      </c>
      <c r="BE10" s="4"/>
      <c r="BF10" s="4"/>
      <c r="BG10" s="4"/>
      <c r="BH10" s="4">
        <f t="shared" si="24"/>
        <v>50000</v>
      </c>
      <c r="BI10" s="3"/>
      <c r="BJ10" s="4">
        <f t="shared" si="20"/>
        <v>50000</v>
      </c>
      <c r="BK10" s="4">
        <f t="shared" si="21"/>
        <v>-1.0000000009313226E-2</v>
      </c>
      <c r="BL10" s="4"/>
      <c r="BM10" s="4">
        <f t="shared" si="22"/>
        <v>50000</v>
      </c>
      <c r="BN10" s="4"/>
      <c r="BO10" s="4"/>
      <c r="BP10" s="4"/>
    </row>
    <row r="11" spans="1:68" s="5" customFormat="1" ht="30" customHeight="1">
      <c r="A11" s="3">
        <v>6</v>
      </c>
      <c r="B11" s="3">
        <v>1472</v>
      </c>
      <c r="C11" s="3" t="s">
        <v>54</v>
      </c>
      <c r="D11" s="4">
        <v>11350000</v>
      </c>
      <c r="E11" s="4">
        <v>11350000</v>
      </c>
      <c r="F11" s="4">
        <f t="shared" si="0"/>
        <v>0</v>
      </c>
      <c r="G11" s="4">
        <v>11276096</v>
      </c>
      <c r="H11" s="4">
        <v>11164949</v>
      </c>
      <c r="I11" s="4"/>
      <c r="J11" s="4">
        <v>38181.78</v>
      </c>
      <c r="K11" s="4">
        <f t="shared" si="5"/>
        <v>38181.78</v>
      </c>
      <c r="L11" s="4">
        <f t="shared" si="6"/>
        <v>11203130.779999999</v>
      </c>
      <c r="M11" s="4">
        <f t="shared" si="1"/>
        <v>72965.220000000671</v>
      </c>
      <c r="N11" s="4">
        <v>100000</v>
      </c>
      <c r="O11" s="4">
        <f t="shared" si="7"/>
        <v>30000</v>
      </c>
      <c r="P11" s="4">
        <f t="shared" si="8"/>
        <v>43904</v>
      </c>
      <c r="Q11" s="4">
        <f t="shared" si="2"/>
        <v>72965.220000000671</v>
      </c>
      <c r="R11" s="4"/>
      <c r="S11" s="4"/>
      <c r="T11" s="4">
        <f t="shared" si="9"/>
        <v>0</v>
      </c>
      <c r="U11" s="4">
        <f t="shared" si="3"/>
        <v>0</v>
      </c>
      <c r="V11" s="4">
        <f t="shared" si="4"/>
        <v>100000</v>
      </c>
      <c r="W11" s="4"/>
      <c r="X11" s="4">
        <f t="shared" si="10"/>
        <v>100000</v>
      </c>
      <c r="Y11" s="4"/>
      <c r="Z11" s="4"/>
      <c r="AA11" s="3"/>
      <c r="AB11" s="3" t="s">
        <v>903</v>
      </c>
      <c r="AC11" s="3">
        <v>810000</v>
      </c>
      <c r="AD11" s="4">
        <v>50000</v>
      </c>
      <c r="AE11" s="184"/>
      <c r="AF11" s="4">
        <v>20000</v>
      </c>
      <c r="AG11" s="4"/>
      <c r="AH11" s="4">
        <f t="shared" si="11"/>
        <v>70000</v>
      </c>
      <c r="AI11" s="4">
        <f t="shared" si="12"/>
        <v>30000</v>
      </c>
      <c r="AJ11" s="4"/>
      <c r="AK11" s="4">
        <f t="shared" si="13"/>
        <v>30000</v>
      </c>
      <c r="AL11" s="379"/>
      <c r="AM11" s="3"/>
      <c r="AN11" s="3"/>
      <c r="AO11" s="4">
        <v>30000</v>
      </c>
      <c r="AP11" s="4">
        <v>72965</v>
      </c>
      <c r="AQ11" s="646" t="s">
        <v>1059</v>
      </c>
      <c r="AR11" s="4">
        <v>30000</v>
      </c>
      <c r="AS11" s="4">
        <f>AP11</f>
        <v>72965</v>
      </c>
      <c r="AT11" s="173">
        <f t="shared" si="14"/>
        <v>102965</v>
      </c>
      <c r="AU11" s="173">
        <f t="shared" si="15"/>
        <v>43904.220000000671</v>
      </c>
      <c r="AV11" s="173">
        <f t="shared" si="16"/>
        <v>29999.779999999329</v>
      </c>
      <c r="AW11" s="3"/>
      <c r="AX11" s="4">
        <f t="shared" si="17"/>
        <v>29999.779999999329</v>
      </c>
      <c r="AY11" s="3"/>
      <c r="AZ11" s="3"/>
      <c r="BA11" s="3"/>
      <c r="BB11" s="173">
        <f t="shared" si="18"/>
        <v>-0.22000000067055225</v>
      </c>
      <c r="BC11" s="4">
        <f t="shared" si="19"/>
        <v>30000</v>
      </c>
      <c r="BD11" s="4">
        <v>30000</v>
      </c>
      <c r="BE11" s="4"/>
      <c r="BF11" s="4"/>
      <c r="BG11" s="4"/>
      <c r="BH11" s="4">
        <f t="shared" si="24"/>
        <v>30000</v>
      </c>
      <c r="BI11" s="3"/>
      <c r="BJ11" s="4">
        <f t="shared" si="20"/>
        <v>30000</v>
      </c>
      <c r="BK11" s="4">
        <f t="shared" si="21"/>
        <v>-0.22000000067055225</v>
      </c>
      <c r="BL11" s="4"/>
      <c r="BM11" s="4">
        <f t="shared" si="22"/>
        <v>30000</v>
      </c>
      <c r="BN11" s="4"/>
      <c r="BO11" s="4"/>
      <c r="BP11" s="4"/>
    </row>
    <row r="12" spans="1:68" s="5" customFormat="1" ht="30" customHeight="1">
      <c r="A12" s="3">
        <v>7</v>
      </c>
      <c r="B12" s="3">
        <v>1477</v>
      </c>
      <c r="C12" s="3" t="s">
        <v>713</v>
      </c>
      <c r="D12" s="4">
        <v>9350000</v>
      </c>
      <c r="E12" s="4">
        <v>9350000</v>
      </c>
      <c r="F12" s="4">
        <f t="shared" si="0"/>
        <v>0</v>
      </c>
      <c r="G12" s="4">
        <v>4450000</v>
      </c>
      <c r="H12" s="4">
        <v>2167202</v>
      </c>
      <c r="I12" s="4">
        <v>1334615.49</v>
      </c>
      <c r="J12" s="4">
        <v>321750</v>
      </c>
      <c r="K12" s="4">
        <f t="shared" si="5"/>
        <v>1656365.49</v>
      </c>
      <c r="L12" s="4">
        <f t="shared" si="6"/>
        <v>3823567.49</v>
      </c>
      <c r="M12" s="4">
        <f t="shared" si="1"/>
        <v>626432.50999999978</v>
      </c>
      <c r="N12" s="4">
        <f>1600000-1000000</f>
        <v>600000</v>
      </c>
      <c r="O12" s="4">
        <f t="shared" si="7"/>
        <v>0</v>
      </c>
      <c r="P12" s="4">
        <f t="shared" si="8"/>
        <v>4900000</v>
      </c>
      <c r="Q12" s="4">
        <f t="shared" si="2"/>
        <v>626432.50999999978</v>
      </c>
      <c r="R12" s="4"/>
      <c r="S12" s="4"/>
      <c r="T12" s="4">
        <f t="shared" si="9"/>
        <v>0</v>
      </c>
      <c r="U12" s="4">
        <f t="shared" si="3"/>
        <v>0</v>
      </c>
      <c r="V12" s="4">
        <f t="shared" si="4"/>
        <v>600000</v>
      </c>
      <c r="W12" s="4">
        <f>V12-X12-Y12-Z12-AA12</f>
        <v>0</v>
      </c>
      <c r="X12" s="4">
        <v>600000</v>
      </c>
      <c r="Y12" s="4"/>
      <c r="Z12" s="4"/>
      <c r="AA12" s="3"/>
      <c r="AB12" s="3" t="s">
        <v>904</v>
      </c>
      <c r="AC12" s="3">
        <v>810000</v>
      </c>
      <c r="AD12" s="4"/>
      <c r="AE12" s="184"/>
      <c r="AF12" s="4">
        <f>600000</f>
        <v>600000</v>
      </c>
      <c r="AG12" s="4"/>
      <c r="AH12" s="4">
        <f t="shared" si="11"/>
        <v>600000</v>
      </c>
      <c r="AI12" s="4">
        <f t="shared" si="12"/>
        <v>0</v>
      </c>
      <c r="AJ12" s="4"/>
      <c r="AK12" s="4">
        <f t="shared" si="13"/>
        <v>0</v>
      </c>
      <c r="AL12" s="379"/>
      <c r="AM12" s="3"/>
      <c r="AN12" s="3"/>
      <c r="AO12" s="4"/>
      <c r="AP12" s="4">
        <v>600000</v>
      </c>
      <c r="AQ12" s="646" t="s">
        <v>1061</v>
      </c>
      <c r="AR12" s="4">
        <f t="shared" si="23"/>
        <v>0</v>
      </c>
      <c r="AS12" s="4">
        <v>626433</v>
      </c>
      <c r="AT12" s="173">
        <f t="shared" si="14"/>
        <v>626433</v>
      </c>
      <c r="AU12" s="173">
        <f t="shared" si="15"/>
        <v>4899999.51</v>
      </c>
      <c r="AV12" s="173">
        <f t="shared" si="16"/>
        <v>0.49000000022351742</v>
      </c>
      <c r="AW12" s="3"/>
      <c r="AX12" s="4">
        <f t="shared" si="17"/>
        <v>0.49000000022351742</v>
      </c>
      <c r="AY12" s="3"/>
      <c r="AZ12" s="3"/>
      <c r="BA12" s="3"/>
      <c r="BB12" s="173">
        <f t="shared" si="18"/>
        <v>0.49000000022351742</v>
      </c>
      <c r="BC12" s="4">
        <f t="shared" si="19"/>
        <v>0</v>
      </c>
      <c r="BD12" s="4">
        <v>0</v>
      </c>
      <c r="BE12" s="4"/>
      <c r="BF12" s="4"/>
      <c r="BG12" s="4"/>
      <c r="BH12" s="4">
        <f t="shared" si="24"/>
        <v>0</v>
      </c>
      <c r="BI12" s="3"/>
      <c r="BJ12" s="4">
        <f t="shared" si="20"/>
        <v>0</v>
      </c>
      <c r="BK12" s="4">
        <f t="shared" si="21"/>
        <v>0.49000000022351742</v>
      </c>
      <c r="BL12" s="4"/>
      <c r="BM12" s="4">
        <f t="shared" si="22"/>
        <v>0</v>
      </c>
      <c r="BN12" s="4"/>
      <c r="BO12" s="4"/>
      <c r="BP12" s="4"/>
    </row>
    <row r="13" spans="1:68" s="5" customFormat="1" ht="30" customHeight="1">
      <c r="A13" s="3">
        <v>8</v>
      </c>
      <c r="B13" s="3">
        <v>1483</v>
      </c>
      <c r="C13" s="3" t="s">
        <v>55</v>
      </c>
      <c r="D13" s="4">
        <v>2700000</v>
      </c>
      <c r="E13" s="4">
        <v>2700000</v>
      </c>
      <c r="F13" s="4">
        <f t="shared" si="0"/>
        <v>0</v>
      </c>
      <c r="G13" s="4">
        <v>2100000</v>
      </c>
      <c r="H13" s="4">
        <v>2031708</v>
      </c>
      <c r="I13" s="4"/>
      <c r="J13" s="4">
        <v>67766.899999999994</v>
      </c>
      <c r="K13" s="4">
        <f t="shared" si="5"/>
        <v>67766.899999999994</v>
      </c>
      <c r="L13" s="4">
        <f t="shared" si="6"/>
        <v>2099474.9</v>
      </c>
      <c r="M13" s="4">
        <f t="shared" si="1"/>
        <v>525.10000000009313</v>
      </c>
      <c r="N13" s="4"/>
      <c r="O13" s="4">
        <f t="shared" si="7"/>
        <v>0</v>
      </c>
      <c r="P13" s="4">
        <f t="shared" si="8"/>
        <v>600000</v>
      </c>
      <c r="Q13" s="4">
        <f t="shared" si="2"/>
        <v>525.10000000009313</v>
      </c>
      <c r="R13" s="4"/>
      <c r="S13" s="4"/>
      <c r="T13" s="4">
        <f t="shared" si="9"/>
        <v>0</v>
      </c>
      <c r="U13" s="4">
        <f t="shared" si="3"/>
        <v>0</v>
      </c>
      <c r="V13" s="4">
        <f t="shared" si="4"/>
        <v>0</v>
      </c>
      <c r="W13" s="4"/>
      <c r="X13" s="4">
        <f t="shared" si="10"/>
        <v>0</v>
      </c>
      <c r="Y13" s="4"/>
      <c r="Z13" s="4"/>
      <c r="AA13" s="3"/>
      <c r="AB13" s="3" t="s">
        <v>402</v>
      </c>
      <c r="AC13" s="3">
        <v>812000</v>
      </c>
      <c r="AD13" s="4"/>
      <c r="AE13" s="184"/>
      <c r="AF13" s="4"/>
      <c r="AG13" s="4"/>
      <c r="AH13" s="4">
        <f t="shared" si="11"/>
        <v>0</v>
      </c>
      <c r="AI13" s="4">
        <f t="shared" si="12"/>
        <v>0</v>
      </c>
      <c r="AJ13" s="4"/>
      <c r="AK13" s="4">
        <f t="shared" si="13"/>
        <v>0</v>
      </c>
      <c r="AL13" s="379"/>
      <c r="AM13" s="3"/>
      <c r="AN13" s="3"/>
      <c r="AO13" s="4"/>
      <c r="AP13" s="4"/>
      <c r="AQ13" s="314"/>
      <c r="AR13" s="4">
        <f t="shared" si="23"/>
        <v>0</v>
      </c>
      <c r="AS13" s="4">
        <v>525</v>
      </c>
      <c r="AT13" s="173">
        <f t="shared" si="14"/>
        <v>525</v>
      </c>
      <c r="AU13" s="173">
        <f t="shared" si="15"/>
        <v>600000.10000000009</v>
      </c>
      <c r="AV13" s="173">
        <f t="shared" si="16"/>
        <v>-0.10000000009313226</v>
      </c>
      <c r="AW13" s="3"/>
      <c r="AX13" s="4">
        <f t="shared" si="17"/>
        <v>-0.10000000009313226</v>
      </c>
      <c r="AY13" s="3"/>
      <c r="AZ13" s="3"/>
      <c r="BA13" s="3"/>
      <c r="BB13" s="173">
        <f t="shared" si="18"/>
        <v>-0.10000000009313226</v>
      </c>
      <c r="BC13" s="4">
        <f t="shared" si="19"/>
        <v>0</v>
      </c>
      <c r="BD13" s="4">
        <v>0</v>
      </c>
      <c r="BE13" s="4"/>
      <c r="BF13" s="4"/>
      <c r="BG13" s="4"/>
      <c r="BH13" s="4">
        <f t="shared" si="24"/>
        <v>0</v>
      </c>
      <c r="BI13" s="3"/>
      <c r="BJ13" s="4">
        <f t="shared" si="20"/>
        <v>0</v>
      </c>
      <c r="BK13" s="4">
        <f t="shared" si="21"/>
        <v>-0.10000000009313226</v>
      </c>
      <c r="BL13" s="4"/>
      <c r="BM13" s="4">
        <f t="shared" si="22"/>
        <v>0</v>
      </c>
      <c r="BN13" s="4"/>
      <c r="BO13" s="4"/>
      <c r="BP13" s="4"/>
    </row>
    <row r="14" spans="1:68" s="5" customFormat="1" ht="30" customHeight="1">
      <c r="A14" s="3">
        <v>9</v>
      </c>
      <c r="B14" s="3">
        <v>1489</v>
      </c>
      <c r="C14" s="3" t="s">
        <v>403</v>
      </c>
      <c r="D14" s="4">
        <v>48500000</v>
      </c>
      <c r="E14" s="4">
        <v>48500000</v>
      </c>
      <c r="F14" s="4">
        <f t="shared" si="0"/>
        <v>0</v>
      </c>
      <c r="G14" s="4">
        <v>46000000</v>
      </c>
      <c r="H14" s="4">
        <v>40839959</v>
      </c>
      <c r="I14" s="4"/>
      <c r="J14" s="4">
        <v>3684290.93</v>
      </c>
      <c r="K14" s="4">
        <f t="shared" si="5"/>
        <v>3684290.93</v>
      </c>
      <c r="L14" s="4">
        <f t="shared" si="6"/>
        <v>44524249.93</v>
      </c>
      <c r="M14" s="4">
        <f t="shared" si="1"/>
        <v>1475750.0700000003</v>
      </c>
      <c r="N14" s="4">
        <f>4000000-500000</f>
        <v>3500000</v>
      </c>
      <c r="O14" s="4">
        <f t="shared" si="7"/>
        <v>2000000</v>
      </c>
      <c r="P14" s="4">
        <f t="shared" si="8"/>
        <v>500000</v>
      </c>
      <c r="Q14" s="4">
        <f t="shared" si="2"/>
        <v>1475750.0700000003</v>
      </c>
      <c r="R14" s="4"/>
      <c r="S14" s="4"/>
      <c r="T14" s="4">
        <f t="shared" si="9"/>
        <v>0</v>
      </c>
      <c r="U14" s="4">
        <f t="shared" si="3"/>
        <v>0</v>
      </c>
      <c r="V14" s="4">
        <f t="shared" si="4"/>
        <v>3500000</v>
      </c>
      <c r="W14" s="4"/>
      <c r="X14" s="4">
        <f t="shared" si="10"/>
        <v>3500000</v>
      </c>
      <c r="Y14" s="4"/>
      <c r="Z14" s="4"/>
      <c r="AA14" s="3"/>
      <c r="AB14" s="3" t="s">
        <v>548</v>
      </c>
      <c r="AC14" s="3">
        <v>742000</v>
      </c>
      <c r="AD14" s="4"/>
      <c r="AE14" s="184"/>
      <c r="AF14" s="4">
        <f>1500000</f>
        <v>1500000</v>
      </c>
      <c r="AG14" s="4"/>
      <c r="AH14" s="4">
        <f t="shared" si="11"/>
        <v>1500000</v>
      </c>
      <c r="AI14" s="4">
        <f t="shared" si="12"/>
        <v>2000000</v>
      </c>
      <c r="AJ14" s="4"/>
      <c r="AK14" s="4">
        <f t="shared" si="13"/>
        <v>2000000</v>
      </c>
      <c r="AL14" s="379"/>
      <c r="AM14" s="3"/>
      <c r="AN14" s="3"/>
      <c r="AO14" s="4">
        <v>2000000</v>
      </c>
      <c r="AP14" s="4">
        <v>1475750.5300000012</v>
      </c>
      <c r="AQ14" s="646" t="s">
        <v>1062</v>
      </c>
      <c r="AR14" s="4">
        <f t="shared" si="23"/>
        <v>2000000</v>
      </c>
      <c r="AS14" s="4">
        <f>AP14</f>
        <v>1475750.5300000012</v>
      </c>
      <c r="AT14" s="173">
        <f t="shared" si="14"/>
        <v>3475750.5300000012</v>
      </c>
      <c r="AU14" s="173">
        <f t="shared" si="15"/>
        <v>499999.53999999911</v>
      </c>
      <c r="AV14" s="173">
        <f t="shared" si="16"/>
        <v>2000000.4600000009</v>
      </c>
      <c r="AW14" s="3"/>
      <c r="AX14" s="4">
        <f t="shared" si="17"/>
        <v>2000000.4600000009</v>
      </c>
      <c r="AY14" s="3"/>
      <c r="AZ14" s="3"/>
      <c r="BA14" s="3"/>
      <c r="BB14" s="173">
        <f t="shared" si="18"/>
        <v>0.46000000089406967</v>
      </c>
      <c r="BC14" s="4">
        <f t="shared" si="19"/>
        <v>2000000</v>
      </c>
      <c r="BD14" s="4">
        <v>2000000</v>
      </c>
      <c r="BE14" s="4"/>
      <c r="BF14" s="4"/>
      <c r="BG14" s="4"/>
      <c r="BH14" s="4">
        <f t="shared" ref="BH14:BH60" si="25">SUM(BD14:BF14)</f>
        <v>2000000</v>
      </c>
      <c r="BI14" s="3"/>
      <c r="BJ14" s="4">
        <f t="shared" si="20"/>
        <v>2000000</v>
      </c>
      <c r="BK14" s="4">
        <f t="shared" si="21"/>
        <v>0.46000000089406967</v>
      </c>
      <c r="BL14" s="4"/>
      <c r="BM14" s="4">
        <f t="shared" si="22"/>
        <v>2000000</v>
      </c>
      <c r="BN14" s="4"/>
      <c r="BO14" s="4"/>
      <c r="BP14" s="4"/>
    </row>
    <row r="15" spans="1:68" s="5" customFormat="1" ht="30" customHeight="1">
      <c r="A15" s="3">
        <v>10</v>
      </c>
      <c r="B15" s="3">
        <v>1560</v>
      </c>
      <c r="C15" s="3" t="s">
        <v>56</v>
      </c>
      <c r="D15" s="4">
        <v>5510000</v>
      </c>
      <c r="E15" s="4">
        <v>5510000</v>
      </c>
      <c r="F15" s="4">
        <f t="shared" si="0"/>
        <v>0</v>
      </c>
      <c r="G15" s="4">
        <v>5060000</v>
      </c>
      <c r="H15" s="4">
        <v>3887696</v>
      </c>
      <c r="I15" s="4"/>
      <c r="J15" s="4">
        <v>554264.32999999996</v>
      </c>
      <c r="K15" s="4">
        <f t="shared" si="5"/>
        <v>554264.32999999996</v>
      </c>
      <c r="L15" s="4">
        <f t="shared" si="6"/>
        <v>4441960.33</v>
      </c>
      <c r="M15" s="4">
        <f t="shared" si="1"/>
        <v>618039.66999999993</v>
      </c>
      <c r="N15" s="4">
        <v>900000</v>
      </c>
      <c r="O15" s="4">
        <f t="shared" si="7"/>
        <v>450000</v>
      </c>
      <c r="P15" s="4">
        <f t="shared" si="8"/>
        <v>0</v>
      </c>
      <c r="Q15" s="4">
        <f t="shared" si="2"/>
        <v>618039.66999999993</v>
      </c>
      <c r="R15" s="4"/>
      <c r="S15" s="4"/>
      <c r="T15" s="4">
        <f t="shared" si="9"/>
        <v>0</v>
      </c>
      <c r="U15" s="4">
        <f t="shared" si="3"/>
        <v>0</v>
      </c>
      <c r="V15" s="4">
        <f t="shared" si="4"/>
        <v>900000</v>
      </c>
      <c r="W15" s="4"/>
      <c r="X15" s="4">
        <f t="shared" si="10"/>
        <v>900000</v>
      </c>
      <c r="Y15" s="4"/>
      <c r="Z15" s="4"/>
      <c r="AA15" s="3"/>
      <c r="AB15" s="3" t="s">
        <v>714</v>
      </c>
      <c r="AC15" s="3">
        <v>746000</v>
      </c>
      <c r="AD15" s="4"/>
      <c r="AE15" s="184"/>
      <c r="AF15" s="4">
        <v>450000</v>
      </c>
      <c r="AG15" s="4"/>
      <c r="AH15" s="4">
        <f t="shared" si="11"/>
        <v>450000</v>
      </c>
      <c r="AI15" s="4">
        <f t="shared" si="12"/>
        <v>450000</v>
      </c>
      <c r="AJ15" s="4"/>
      <c r="AK15" s="4">
        <f>AI15-AJ15-AN15</f>
        <v>450000</v>
      </c>
      <c r="AL15" s="379"/>
      <c r="AM15" s="3"/>
      <c r="AN15" s="3"/>
      <c r="AO15" s="4">
        <v>450000</v>
      </c>
      <c r="AP15" s="4">
        <v>618040</v>
      </c>
      <c r="AQ15" s="646" t="s">
        <v>1063</v>
      </c>
      <c r="AR15" s="4">
        <f t="shared" si="23"/>
        <v>450000</v>
      </c>
      <c r="AS15" s="4">
        <v>618040</v>
      </c>
      <c r="AT15" s="173">
        <f t="shared" si="14"/>
        <v>1068040</v>
      </c>
      <c r="AU15" s="173">
        <f t="shared" si="15"/>
        <v>-0.33000000007450581</v>
      </c>
      <c r="AV15" s="173">
        <f t="shared" si="16"/>
        <v>450000.33000000007</v>
      </c>
      <c r="AW15" s="3"/>
      <c r="AX15" s="4">
        <f t="shared" si="17"/>
        <v>450000.33000000007</v>
      </c>
      <c r="AY15" s="3"/>
      <c r="AZ15" s="3"/>
      <c r="BA15" s="3"/>
      <c r="BB15" s="173">
        <f t="shared" si="18"/>
        <v>0.33000000007450581</v>
      </c>
      <c r="BC15" s="4">
        <f t="shared" si="19"/>
        <v>450000</v>
      </c>
      <c r="BD15" s="4">
        <v>450000</v>
      </c>
      <c r="BE15" s="4"/>
      <c r="BF15" s="4"/>
      <c r="BG15" s="4"/>
      <c r="BH15" s="4">
        <f t="shared" si="25"/>
        <v>450000</v>
      </c>
      <c r="BI15" s="3"/>
      <c r="BJ15" s="4">
        <f t="shared" si="20"/>
        <v>450000</v>
      </c>
      <c r="BK15" s="4">
        <f t="shared" si="21"/>
        <v>0.33000000007450581</v>
      </c>
      <c r="BL15" s="4"/>
      <c r="BM15" s="4">
        <f t="shared" si="22"/>
        <v>450000</v>
      </c>
      <c r="BN15" s="4"/>
      <c r="BO15" s="4"/>
      <c r="BP15" s="4"/>
    </row>
    <row r="16" spans="1:68" s="5" customFormat="1" ht="30" customHeight="1">
      <c r="A16" s="3">
        <v>11</v>
      </c>
      <c r="B16" s="3">
        <v>1662</v>
      </c>
      <c r="C16" s="3" t="s">
        <v>142</v>
      </c>
      <c r="D16" s="4">
        <v>815000</v>
      </c>
      <c r="E16" s="4">
        <v>815000</v>
      </c>
      <c r="F16" s="4">
        <f t="shared" si="0"/>
        <v>0</v>
      </c>
      <c r="G16" s="4">
        <v>815000</v>
      </c>
      <c r="H16" s="4">
        <v>271205</v>
      </c>
      <c r="I16" s="4"/>
      <c r="J16" s="4">
        <v>400000</v>
      </c>
      <c r="K16" s="4">
        <f t="shared" si="5"/>
        <v>400000</v>
      </c>
      <c r="L16" s="4">
        <f t="shared" si="6"/>
        <v>671205</v>
      </c>
      <c r="M16" s="4">
        <f t="shared" si="1"/>
        <v>143795</v>
      </c>
      <c r="N16" s="4"/>
      <c r="O16" s="4">
        <f t="shared" si="7"/>
        <v>0</v>
      </c>
      <c r="P16" s="4">
        <f t="shared" si="8"/>
        <v>0</v>
      </c>
      <c r="Q16" s="4">
        <f t="shared" si="2"/>
        <v>143795</v>
      </c>
      <c r="R16" s="4"/>
      <c r="S16" s="4"/>
      <c r="T16" s="4">
        <f t="shared" si="9"/>
        <v>0</v>
      </c>
      <c r="U16" s="4">
        <f t="shared" si="3"/>
        <v>0</v>
      </c>
      <c r="V16" s="4">
        <f t="shared" si="4"/>
        <v>0</v>
      </c>
      <c r="W16" s="4"/>
      <c r="X16" s="4">
        <f t="shared" si="10"/>
        <v>0</v>
      </c>
      <c r="Y16" s="4"/>
      <c r="Z16" s="4"/>
      <c r="AA16" s="3"/>
      <c r="AB16" s="3"/>
      <c r="AC16" s="3">
        <v>870000</v>
      </c>
      <c r="AD16" s="4"/>
      <c r="AE16" s="184"/>
      <c r="AF16" s="4"/>
      <c r="AG16" s="4"/>
      <c r="AH16" s="4">
        <f t="shared" si="11"/>
        <v>0</v>
      </c>
      <c r="AI16" s="4">
        <f t="shared" si="12"/>
        <v>0</v>
      </c>
      <c r="AJ16" s="4"/>
      <c r="AK16" s="4">
        <f t="shared" ref="AK16:AK60" si="26">AI16-AJ16-AN16</f>
        <v>0</v>
      </c>
      <c r="AL16" s="379"/>
      <c r="AM16" s="3"/>
      <c r="AN16" s="3"/>
      <c r="AO16" s="4"/>
      <c r="AP16" s="4"/>
      <c r="AQ16" s="314"/>
      <c r="AR16" s="4">
        <f t="shared" si="23"/>
        <v>0</v>
      </c>
      <c r="AS16" s="4">
        <v>3795</v>
      </c>
      <c r="AT16" s="173">
        <f t="shared" si="14"/>
        <v>3795</v>
      </c>
      <c r="AU16" s="173">
        <f t="shared" si="15"/>
        <v>140000</v>
      </c>
      <c r="AV16" s="173">
        <f t="shared" si="16"/>
        <v>-140000</v>
      </c>
      <c r="AW16" s="3"/>
      <c r="AX16" s="4">
        <f t="shared" si="17"/>
        <v>-140000</v>
      </c>
      <c r="AY16" s="3"/>
      <c r="AZ16" s="3"/>
      <c r="BA16" s="3"/>
      <c r="BB16" s="173">
        <f t="shared" si="18"/>
        <v>-140000</v>
      </c>
      <c r="BC16" s="4">
        <f t="shared" si="19"/>
        <v>0</v>
      </c>
      <c r="BD16" s="4">
        <v>-140000</v>
      </c>
      <c r="BE16" s="4"/>
      <c r="BF16" s="4"/>
      <c r="BG16" s="4"/>
      <c r="BH16" s="4">
        <f t="shared" si="25"/>
        <v>-140000</v>
      </c>
      <c r="BI16" s="3"/>
      <c r="BJ16" s="4">
        <f t="shared" si="20"/>
        <v>-140000</v>
      </c>
      <c r="BK16" s="4">
        <f t="shared" si="21"/>
        <v>0</v>
      </c>
      <c r="BL16" s="4"/>
      <c r="BM16" s="4">
        <f t="shared" si="22"/>
        <v>-140000</v>
      </c>
      <c r="BN16" s="4"/>
      <c r="BO16" s="4"/>
      <c r="BP16" s="4"/>
    </row>
    <row r="17" spans="1:68" s="5" customFormat="1" ht="30" customHeight="1">
      <c r="A17" s="3">
        <v>12</v>
      </c>
      <c r="B17" s="3">
        <v>1691</v>
      </c>
      <c r="C17" s="3" t="s">
        <v>1064</v>
      </c>
      <c r="D17" s="4">
        <v>210000</v>
      </c>
      <c r="E17" s="4">
        <v>210000</v>
      </c>
      <c r="F17" s="4">
        <f t="shared" si="0"/>
        <v>0</v>
      </c>
      <c r="G17" s="4">
        <v>210000</v>
      </c>
      <c r="H17" s="4">
        <v>184254</v>
      </c>
      <c r="I17" s="4"/>
      <c r="J17" s="4"/>
      <c r="K17" s="4">
        <f t="shared" si="5"/>
        <v>0</v>
      </c>
      <c r="L17" s="4">
        <f t="shared" si="6"/>
        <v>184254</v>
      </c>
      <c r="M17" s="4">
        <f t="shared" si="1"/>
        <v>25746</v>
      </c>
      <c r="N17" s="4"/>
      <c r="O17" s="4">
        <f t="shared" si="7"/>
        <v>0</v>
      </c>
      <c r="P17" s="4">
        <f t="shared" si="8"/>
        <v>0</v>
      </c>
      <c r="Q17" s="4">
        <f t="shared" si="2"/>
        <v>25746</v>
      </c>
      <c r="R17" s="4"/>
      <c r="S17" s="4"/>
      <c r="T17" s="4">
        <f t="shared" si="9"/>
        <v>0</v>
      </c>
      <c r="U17" s="4">
        <f t="shared" si="3"/>
        <v>0</v>
      </c>
      <c r="V17" s="4">
        <f t="shared" si="4"/>
        <v>0</v>
      </c>
      <c r="W17" s="4"/>
      <c r="X17" s="4">
        <f t="shared" si="10"/>
        <v>0</v>
      </c>
      <c r="Y17" s="4"/>
      <c r="Z17" s="4"/>
      <c r="AA17" s="3"/>
      <c r="AB17" s="3" t="s">
        <v>715</v>
      </c>
      <c r="AC17" s="3">
        <v>810000</v>
      </c>
      <c r="AD17" s="4"/>
      <c r="AE17" s="184"/>
      <c r="AF17" s="4"/>
      <c r="AG17" s="4"/>
      <c r="AH17" s="4">
        <f t="shared" si="11"/>
        <v>0</v>
      </c>
      <c r="AI17" s="4">
        <f t="shared" si="12"/>
        <v>0</v>
      </c>
      <c r="AJ17" s="4"/>
      <c r="AK17" s="4">
        <f t="shared" si="26"/>
        <v>0</v>
      </c>
      <c r="AL17" s="379"/>
      <c r="AM17" s="3"/>
      <c r="AN17" s="3"/>
      <c r="AO17" s="4"/>
      <c r="AP17" s="4"/>
      <c r="AQ17" s="314"/>
      <c r="AR17" s="4">
        <f t="shared" si="23"/>
        <v>0</v>
      </c>
      <c r="AS17" s="4">
        <v>25746</v>
      </c>
      <c r="AT17" s="173">
        <f t="shared" si="14"/>
        <v>25746</v>
      </c>
      <c r="AU17" s="173">
        <f t="shared" si="15"/>
        <v>0</v>
      </c>
      <c r="AV17" s="173">
        <f t="shared" si="16"/>
        <v>0</v>
      </c>
      <c r="AW17" s="3"/>
      <c r="AX17" s="4">
        <f t="shared" si="17"/>
        <v>0</v>
      </c>
      <c r="AY17" s="3"/>
      <c r="AZ17" s="3"/>
      <c r="BA17" s="4"/>
      <c r="BB17" s="173">
        <f t="shared" si="18"/>
        <v>0</v>
      </c>
      <c r="BC17" s="4">
        <f t="shared" si="19"/>
        <v>0</v>
      </c>
      <c r="BD17" s="4">
        <v>0</v>
      </c>
      <c r="BE17" s="4"/>
      <c r="BF17" s="4"/>
      <c r="BG17" s="4"/>
      <c r="BH17" s="4">
        <f t="shared" si="25"/>
        <v>0</v>
      </c>
      <c r="BI17" s="3"/>
      <c r="BJ17" s="4">
        <f t="shared" si="20"/>
        <v>0</v>
      </c>
      <c r="BK17" s="4">
        <f t="shared" si="21"/>
        <v>0</v>
      </c>
      <c r="BL17" s="4"/>
      <c r="BM17" s="4">
        <f t="shared" si="22"/>
        <v>0</v>
      </c>
      <c r="BN17" s="4"/>
      <c r="BO17" s="4"/>
      <c r="BP17" s="4"/>
    </row>
    <row r="18" spans="1:68" s="5" customFormat="1" ht="30" customHeight="1">
      <c r="A18" s="3">
        <v>13</v>
      </c>
      <c r="B18" s="3">
        <v>1770</v>
      </c>
      <c r="C18" s="3" t="s">
        <v>1065</v>
      </c>
      <c r="D18" s="4">
        <v>29752105</v>
      </c>
      <c r="E18" s="4">
        <v>29752105</v>
      </c>
      <c r="F18" s="4">
        <f t="shared" si="0"/>
        <v>0</v>
      </c>
      <c r="G18" s="4">
        <v>29752105</v>
      </c>
      <c r="H18" s="4">
        <v>28996768</v>
      </c>
      <c r="I18" s="4"/>
      <c r="J18" s="4">
        <v>100114.1</v>
      </c>
      <c r="K18" s="4">
        <f t="shared" si="5"/>
        <v>100114.1</v>
      </c>
      <c r="L18" s="4">
        <f t="shared" si="6"/>
        <v>29096882.100000001</v>
      </c>
      <c r="M18" s="4">
        <f t="shared" si="1"/>
        <v>655222.89999999851</v>
      </c>
      <c r="N18" s="4"/>
      <c r="O18" s="4">
        <f t="shared" si="7"/>
        <v>0</v>
      </c>
      <c r="P18" s="4">
        <f t="shared" si="8"/>
        <v>0</v>
      </c>
      <c r="Q18" s="4">
        <f t="shared" si="2"/>
        <v>655222.89999999851</v>
      </c>
      <c r="R18" s="4"/>
      <c r="S18" s="4"/>
      <c r="T18" s="4">
        <f t="shared" si="9"/>
        <v>0</v>
      </c>
      <c r="U18" s="4">
        <f t="shared" si="3"/>
        <v>0</v>
      </c>
      <c r="V18" s="4">
        <f t="shared" si="4"/>
        <v>0</v>
      </c>
      <c r="W18" s="4"/>
      <c r="X18" s="4">
        <f t="shared" si="10"/>
        <v>0</v>
      </c>
      <c r="Y18" s="4"/>
      <c r="Z18" s="4"/>
      <c r="AA18" s="3"/>
      <c r="AB18" s="3" t="s">
        <v>715</v>
      </c>
      <c r="AC18" s="3">
        <v>810000</v>
      </c>
      <c r="AD18" s="4"/>
      <c r="AE18" s="184"/>
      <c r="AF18" s="4"/>
      <c r="AG18" s="4"/>
      <c r="AH18" s="4">
        <f t="shared" si="11"/>
        <v>0</v>
      </c>
      <c r="AI18" s="4">
        <f t="shared" si="12"/>
        <v>0</v>
      </c>
      <c r="AJ18" s="4"/>
      <c r="AK18" s="4">
        <f t="shared" si="26"/>
        <v>0</v>
      </c>
      <c r="AL18" s="379"/>
      <c r="AM18" s="3"/>
      <c r="AN18" s="3"/>
      <c r="AO18" s="4"/>
      <c r="AP18" s="4"/>
      <c r="AQ18" s="314"/>
      <c r="AR18" s="4">
        <f t="shared" si="23"/>
        <v>0</v>
      </c>
      <c r="AS18" s="4">
        <v>655223</v>
      </c>
      <c r="AT18" s="173">
        <f t="shared" si="14"/>
        <v>655223</v>
      </c>
      <c r="AU18" s="173">
        <f t="shared" si="15"/>
        <v>-0.10000000149011612</v>
      </c>
      <c r="AV18" s="173">
        <f t="shared" si="16"/>
        <v>0.10000000149011612</v>
      </c>
      <c r="AW18" s="3"/>
      <c r="AX18" s="4">
        <f t="shared" si="17"/>
        <v>0.10000000149011612</v>
      </c>
      <c r="AY18" s="3"/>
      <c r="AZ18" s="3"/>
      <c r="BA18" s="4"/>
      <c r="BB18" s="173">
        <f t="shared" si="18"/>
        <v>0.10000000149011612</v>
      </c>
      <c r="BC18" s="4">
        <f t="shared" si="19"/>
        <v>0</v>
      </c>
      <c r="BD18" s="4">
        <v>0</v>
      </c>
      <c r="BE18" s="4"/>
      <c r="BF18" s="4"/>
      <c r="BG18" s="4"/>
      <c r="BH18" s="4">
        <f t="shared" si="25"/>
        <v>0</v>
      </c>
      <c r="BI18" s="3"/>
      <c r="BJ18" s="4">
        <f t="shared" si="20"/>
        <v>0</v>
      </c>
      <c r="BK18" s="4">
        <f t="shared" si="21"/>
        <v>0.10000000149011612</v>
      </c>
      <c r="BL18" s="4"/>
      <c r="BM18" s="4">
        <f t="shared" si="22"/>
        <v>0</v>
      </c>
      <c r="BN18" s="4"/>
      <c r="BO18" s="4"/>
      <c r="BP18" s="4"/>
    </row>
    <row r="19" spans="1:68" s="5" customFormat="1" ht="30" customHeight="1">
      <c r="A19" s="3">
        <v>14</v>
      </c>
      <c r="B19" s="3">
        <v>1773</v>
      </c>
      <c r="C19" s="3" t="s">
        <v>114</v>
      </c>
      <c r="D19" s="4">
        <v>1500000</v>
      </c>
      <c r="E19" s="4">
        <v>1500000</v>
      </c>
      <c r="F19" s="4">
        <f t="shared" si="0"/>
        <v>0</v>
      </c>
      <c r="G19" s="4">
        <v>1500000</v>
      </c>
      <c r="H19" s="4">
        <v>160524</v>
      </c>
      <c r="I19" s="4">
        <v>17401</v>
      </c>
      <c r="J19" s="4">
        <v>54990</v>
      </c>
      <c r="K19" s="4">
        <f t="shared" si="5"/>
        <v>72391</v>
      </c>
      <c r="L19" s="4">
        <f t="shared" si="6"/>
        <v>232915</v>
      </c>
      <c r="M19" s="4">
        <f>Q19+T19</f>
        <v>1267085</v>
      </c>
      <c r="N19" s="4"/>
      <c r="O19" s="4">
        <f t="shared" si="7"/>
        <v>0</v>
      </c>
      <c r="P19" s="4">
        <f t="shared" si="8"/>
        <v>0</v>
      </c>
      <c r="Q19" s="4">
        <f t="shared" si="2"/>
        <v>1267085</v>
      </c>
      <c r="R19" s="4"/>
      <c r="S19" s="4"/>
      <c r="T19" s="4">
        <f t="shared" si="9"/>
        <v>0</v>
      </c>
      <c r="U19" s="4">
        <f t="shared" si="3"/>
        <v>0</v>
      </c>
      <c r="V19" s="4"/>
      <c r="W19" s="4"/>
      <c r="X19" s="4">
        <f t="shared" si="10"/>
        <v>0</v>
      </c>
      <c r="Y19" s="4"/>
      <c r="Z19" s="4"/>
      <c r="AA19" s="3"/>
      <c r="AB19" s="3" t="s">
        <v>405</v>
      </c>
      <c r="AC19" s="3">
        <v>746000</v>
      </c>
      <c r="AD19" s="4"/>
      <c r="AE19" s="184"/>
      <c r="AF19" s="4"/>
      <c r="AG19" s="4"/>
      <c r="AH19" s="4">
        <f t="shared" si="11"/>
        <v>0</v>
      </c>
      <c r="AI19" s="4">
        <f t="shared" si="12"/>
        <v>0</v>
      </c>
      <c r="AJ19" s="4"/>
      <c r="AK19" s="4">
        <f t="shared" si="26"/>
        <v>0</v>
      </c>
      <c r="AL19" s="4"/>
      <c r="AM19" s="3"/>
      <c r="AN19" s="3"/>
      <c r="AO19" s="4"/>
      <c r="AP19" s="4">
        <v>1267085</v>
      </c>
      <c r="AQ19" s="646" t="s">
        <v>1066</v>
      </c>
      <c r="AR19" s="4">
        <f t="shared" si="23"/>
        <v>0</v>
      </c>
      <c r="AS19" s="4">
        <f>67085+1200000</f>
        <v>1267085</v>
      </c>
      <c r="AT19" s="173">
        <f t="shared" si="14"/>
        <v>1267085</v>
      </c>
      <c r="AU19" s="173">
        <f t="shared" si="15"/>
        <v>0</v>
      </c>
      <c r="AV19" s="173">
        <f t="shared" si="16"/>
        <v>0</v>
      </c>
      <c r="AW19" s="3"/>
      <c r="AX19" s="4">
        <f t="shared" si="17"/>
        <v>0</v>
      </c>
      <c r="AY19" s="3"/>
      <c r="AZ19" s="3"/>
      <c r="BA19" s="3"/>
      <c r="BB19" s="173">
        <f t="shared" si="18"/>
        <v>0</v>
      </c>
      <c r="BC19" s="4">
        <f t="shared" si="19"/>
        <v>0</v>
      </c>
      <c r="BD19" s="4">
        <v>0</v>
      </c>
      <c r="BE19" s="4"/>
      <c r="BF19" s="4"/>
      <c r="BG19" s="4"/>
      <c r="BH19" s="4">
        <f t="shared" si="25"/>
        <v>0</v>
      </c>
      <c r="BI19" s="3"/>
      <c r="BJ19" s="4">
        <f t="shared" si="20"/>
        <v>0</v>
      </c>
      <c r="BK19" s="4">
        <f t="shared" si="21"/>
        <v>0</v>
      </c>
      <c r="BL19" s="4"/>
      <c r="BM19" s="4">
        <f t="shared" si="22"/>
        <v>0</v>
      </c>
      <c r="BN19" s="4"/>
      <c r="BO19" s="4"/>
      <c r="BP19" s="4"/>
    </row>
    <row r="20" spans="1:68" s="5" customFormat="1" ht="30" customHeight="1">
      <c r="A20" s="3">
        <v>15</v>
      </c>
      <c r="B20" s="3">
        <v>1794</v>
      </c>
      <c r="C20" s="3" t="s">
        <v>122</v>
      </c>
      <c r="D20" s="4">
        <v>1100000</v>
      </c>
      <c r="E20" s="4">
        <v>1100000</v>
      </c>
      <c r="F20" s="4">
        <f t="shared" si="0"/>
        <v>0</v>
      </c>
      <c r="G20" s="4">
        <v>1100000</v>
      </c>
      <c r="H20" s="4">
        <v>949009</v>
      </c>
      <c r="I20" s="4">
        <v>20093.060000000001</v>
      </c>
      <c r="J20" s="4"/>
      <c r="K20" s="4">
        <f t="shared" si="5"/>
        <v>20093.060000000001</v>
      </c>
      <c r="L20" s="4">
        <f t="shared" si="6"/>
        <v>969102.06</v>
      </c>
      <c r="M20" s="4">
        <f t="shared" ref="M20:M26" si="27">Q20+T20</f>
        <v>130897.93999999994</v>
      </c>
      <c r="N20" s="4"/>
      <c r="O20" s="4">
        <f t="shared" si="7"/>
        <v>0</v>
      </c>
      <c r="P20" s="4">
        <f t="shared" si="8"/>
        <v>0</v>
      </c>
      <c r="Q20" s="4">
        <f t="shared" si="2"/>
        <v>130897.93999999994</v>
      </c>
      <c r="R20" s="4"/>
      <c r="S20" s="4"/>
      <c r="T20" s="4">
        <f t="shared" si="9"/>
        <v>0</v>
      </c>
      <c r="U20" s="4">
        <f t="shared" si="3"/>
        <v>0</v>
      </c>
      <c r="V20" s="4">
        <f t="shared" si="4"/>
        <v>0</v>
      </c>
      <c r="W20" s="4"/>
      <c r="X20" s="4">
        <f t="shared" si="10"/>
        <v>0</v>
      </c>
      <c r="Y20" s="4"/>
      <c r="Z20" s="4"/>
      <c r="AA20" s="3"/>
      <c r="AB20" s="3" t="s">
        <v>406</v>
      </c>
      <c r="AC20" s="3">
        <v>850000</v>
      </c>
      <c r="AD20" s="4"/>
      <c r="AE20" s="184"/>
      <c r="AF20" s="4"/>
      <c r="AG20" s="4"/>
      <c r="AH20" s="4">
        <f t="shared" si="11"/>
        <v>0</v>
      </c>
      <c r="AI20" s="4">
        <f t="shared" si="12"/>
        <v>0</v>
      </c>
      <c r="AJ20" s="4"/>
      <c r="AK20" s="4">
        <f t="shared" si="26"/>
        <v>0</v>
      </c>
      <c r="AL20" s="379"/>
      <c r="AM20" s="3"/>
      <c r="AN20" s="3"/>
      <c r="AO20" s="4"/>
      <c r="AP20" s="4"/>
      <c r="AQ20" s="314"/>
      <c r="AR20" s="4">
        <f t="shared" si="23"/>
        <v>0</v>
      </c>
      <c r="AS20" s="4">
        <v>898</v>
      </c>
      <c r="AT20" s="173">
        <f t="shared" si="14"/>
        <v>898</v>
      </c>
      <c r="AU20" s="173">
        <f t="shared" si="15"/>
        <v>129999.93999999994</v>
      </c>
      <c r="AV20" s="173">
        <f t="shared" si="16"/>
        <v>-129999.93999999994</v>
      </c>
      <c r="AW20" s="3"/>
      <c r="AX20" s="4">
        <f t="shared" si="17"/>
        <v>-129999.93999999994</v>
      </c>
      <c r="AY20" s="3"/>
      <c r="AZ20" s="3"/>
      <c r="BA20" s="3"/>
      <c r="BB20" s="173">
        <f t="shared" si="18"/>
        <v>-129999.93999999994</v>
      </c>
      <c r="BC20" s="4">
        <f t="shared" si="19"/>
        <v>0</v>
      </c>
      <c r="BD20" s="4">
        <v>-130000</v>
      </c>
      <c r="BE20" s="4"/>
      <c r="BF20" s="4"/>
      <c r="BG20" s="4"/>
      <c r="BH20" s="4">
        <f t="shared" si="25"/>
        <v>-130000</v>
      </c>
      <c r="BI20" s="3"/>
      <c r="BJ20" s="4">
        <f t="shared" si="20"/>
        <v>-130000</v>
      </c>
      <c r="BK20" s="4">
        <f t="shared" si="21"/>
        <v>6.0000000055879354E-2</v>
      </c>
      <c r="BL20" s="4"/>
      <c r="BM20" s="4">
        <f t="shared" si="22"/>
        <v>-130000</v>
      </c>
      <c r="BN20" s="4"/>
      <c r="BO20" s="4"/>
      <c r="BP20" s="4"/>
    </row>
    <row r="21" spans="1:68" s="5" customFormat="1" ht="30" customHeight="1">
      <c r="A21" s="3">
        <v>16</v>
      </c>
      <c r="B21" s="3">
        <v>1804</v>
      </c>
      <c r="C21" s="3" t="s">
        <v>119</v>
      </c>
      <c r="D21" s="4">
        <v>200000</v>
      </c>
      <c r="E21" s="4">
        <v>200000</v>
      </c>
      <c r="F21" s="4">
        <f t="shared" si="0"/>
        <v>0</v>
      </c>
      <c r="G21" s="4">
        <v>200000</v>
      </c>
      <c r="H21" s="4">
        <v>18830</v>
      </c>
      <c r="I21" s="4"/>
      <c r="J21" s="4">
        <v>28242.87</v>
      </c>
      <c r="K21" s="4">
        <f>SUM(I21:J21)</f>
        <v>28242.87</v>
      </c>
      <c r="L21" s="4">
        <f>H21+K21</f>
        <v>47072.869999999995</v>
      </c>
      <c r="M21" s="4">
        <f t="shared" si="27"/>
        <v>152927.13</v>
      </c>
      <c r="N21" s="4"/>
      <c r="O21" s="4">
        <f t="shared" si="7"/>
        <v>0</v>
      </c>
      <c r="P21" s="4">
        <f t="shared" si="8"/>
        <v>0</v>
      </c>
      <c r="Q21" s="4">
        <f t="shared" si="2"/>
        <v>152927.13</v>
      </c>
      <c r="R21" s="4"/>
      <c r="S21" s="4"/>
      <c r="T21" s="4">
        <f t="shared" si="9"/>
        <v>0</v>
      </c>
      <c r="U21" s="4">
        <f t="shared" si="3"/>
        <v>0</v>
      </c>
      <c r="V21" s="4">
        <f t="shared" si="4"/>
        <v>0</v>
      </c>
      <c r="W21" s="4">
        <f>V21-AA21-X21-Z21</f>
        <v>0</v>
      </c>
      <c r="X21" s="4"/>
      <c r="Y21" s="4"/>
      <c r="Z21" s="4"/>
      <c r="AA21" s="3"/>
      <c r="AB21" s="31" t="s">
        <v>905</v>
      </c>
      <c r="AC21" s="3">
        <v>742000</v>
      </c>
      <c r="AD21" s="4"/>
      <c r="AE21" s="378"/>
      <c r="AF21" s="4"/>
      <c r="AG21" s="4"/>
      <c r="AH21" s="4">
        <f t="shared" si="11"/>
        <v>0</v>
      </c>
      <c r="AI21" s="4">
        <f t="shared" si="12"/>
        <v>0</v>
      </c>
      <c r="AJ21" s="4"/>
      <c r="AK21" s="4">
        <f t="shared" si="26"/>
        <v>0</v>
      </c>
      <c r="AL21" s="3"/>
      <c r="AM21" s="3"/>
      <c r="AN21" s="3"/>
      <c r="AO21" s="4"/>
      <c r="AP21" s="4">
        <f>M21</f>
        <v>152927.13</v>
      </c>
      <c r="AQ21" s="278" t="s">
        <v>1067</v>
      </c>
      <c r="AR21" s="4">
        <f t="shared" si="23"/>
        <v>0</v>
      </c>
      <c r="AS21" s="4">
        <f>2927+150000</f>
        <v>152927</v>
      </c>
      <c r="AT21" s="173">
        <f t="shared" si="14"/>
        <v>152927</v>
      </c>
      <c r="AU21" s="173">
        <f t="shared" si="15"/>
        <v>0.13000000000465661</v>
      </c>
      <c r="AV21" s="173">
        <f t="shared" si="16"/>
        <v>-0.13000000000465661</v>
      </c>
      <c r="AW21" s="3"/>
      <c r="AX21" s="4">
        <f t="shared" si="17"/>
        <v>-0.13000000000465661</v>
      </c>
      <c r="AY21" s="3"/>
      <c r="AZ21" s="3"/>
      <c r="BA21" s="3"/>
      <c r="BB21" s="173">
        <f t="shared" si="18"/>
        <v>-0.13000000000465661</v>
      </c>
      <c r="BC21" s="4">
        <f t="shared" si="19"/>
        <v>0</v>
      </c>
      <c r="BD21" s="4">
        <v>0</v>
      </c>
      <c r="BE21" s="4"/>
      <c r="BF21" s="4"/>
      <c r="BG21" s="4"/>
      <c r="BH21" s="4">
        <f t="shared" si="25"/>
        <v>0</v>
      </c>
      <c r="BI21" s="3"/>
      <c r="BJ21" s="4">
        <f t="shared" si="20"/>
        <v>0</v>
      </c>
      <c r="BK21" s="4">
        <f t="shared" si="21"/>
        <v>-0.13000000000465661</v>
      </c>
      <c r="BL21" s="4"/>
      <c r="BM21" s="4">
        <f t="shared" si="22"/>
        <v>0</v>
      </c>
      <c r="BN21" s="4"/>
      <c r="BO21" s="4"/>
      <c r="BP21" s="4"/>
    </row>
    <row r="22" spans="1:68" s="5" customFormat="1" ht="30" customHeight="1">
      <c r="A22" s="3">
        <v>17</v>
      </c>
      <c r="B22" s="3">
        <v>1848</v>
      </c>
      <c r="C22" s="3" t="s">
        <v>137</v>
      </c>
      <c r="D22" s="4">
        <v>1200000</v>
      </c>
      <c r="E22" s="4">
        <v>1200000</v>
      </c>
      <c r="F22" s="4">
        <f t="shared" si="0"/>
        <v>0</v>
      </c>
      <c r="G22" s="4">
        <v>800000</v>
      </c>
      <c r="H22" s="4">
        <v>656387</v>
      </c>
      <c r="I22" s="4"/>
      <c r="J22" s="4">
        <v>32961.72</v>
      </c>
      <c r="K22" s="4">
        <f t="shared" si="5"/>
        <v>32961.72</v>
      </c>
      <c r="L22" s="4">
        <f t="shared" si="6"/>
        <v>689348.72</v>
      </c>
      <c r="M22" s="4">
        <f t="shared" si="27"/>
        <v>110651.28000000003</v>
      </c>
      <c r="N22" s="4">
        <v>500000</v>
      </c>
      <c r="O22" s="4">
        <f t="shared" si="7"/>
        <v>400000</v>
      </c>
      <c r="P22" s="4">
        <f t="shared" si="8"/>
        <v>0</v>
      </c>
      <c r="Q22" s="4">
        <f t="shared" si="2"/>
        <v>110651.28000000003</v>
      </c>
      <c r="R22" s="4"/>
      <c r="S22" s="4"/>
      <c r="T22" s="4">
        <f t="shared" si="9"/>
        <v>0</v>
      </c>
      <c r="U22" s="4">
        <f t="shared" si="3"/>
        <v>0</v>
      </c>
      <c r="V22" s="4">
        <f t="shared" si="4"/>
        <v>500000</v>
      </c>
      <c r="W22" s="4"/>
      <c r="X22" s="4">
        <f t="shared" si="10"/>
        <v>500000</v>
      </c>
      <c r="Y22" s="4"/>
      <c r="Z22" s="4"/>
      <c r="AA22" s="3"/>
      <c r="AB22" s="3" t="s">
        <v>481</v>
      </c>
      <c r="AC22" s="3">
        <v>742000</v>
      </c>
      <c r="AD22" s="4">
        <v>50000</v>
      </c>
      <c r="AE22" s="184"/>
      <c r="AF22" s="4">
        <v>50000</v>
      </c>
      <c r="AG22" s="4"/>
      <c r="AH22" s="4">
        <f t="shared" si="11"/>
        <v>100000</v>
      </c>
      <c r="AI22" s="4">
        <f t="shared" si="12"/>
        <v>400000</v>
      </c>
      <c r="AJ22" s="4"/>
      <c r="AK22" s="4">
        <f>AI22-AJ22-AN22</f>
        <v>400000</v>
      </c>
      <c r="AL22" s="379"/>
      <c r="AM22" s="3"/>
      <c r="AN22" s="3"/>
      <c r="AO22" s="4">
        <v>400000</v>
      </c>
      <c r="AP22" s="4">
        <f>110652-0.5</f>
        <v>110651.5</v>
      </c>
      <c r="AQ22" s="646" t="s">
        <v>1001</v>
      </c>
      <c r="AR22" s="4">
        <f>AO22-200000</f>
        <v>200000</v>
      </c>
      <c r="AS22" s="4">
        <f>AP22</f>
        <v>110651.5</v>
      </c>
      <c r="AT22" s="173">
        <f t="shared" si="14"/>
        <v>310651.5</v>
      </c>
      <c r="AU22" s="173">
        <f t="shared" si="15"/>
        <v>199999.78000000003</v>
      </c>
      <c r="AV22" s="173">
        <f t="shared" si="16"/>
        <v>200000.21999999997</v>
      </c>
      <c r="AW22" s="3"/>
      <c r="AX22" s="4">
        <f t="shared" si="17"/>
        <v>200000.21999999997</v>
      </c>
      <c r="AY22" s="3"/>
      <c r="AZ22" s="3"/>
      <c r="BA22" s="3"/>
      <c r="BB22" s="173">
        <f t="shared" si="18"/>
        <v>0.21999999997206032</v>
      </c>
      <c r="BC22" s="4">
        <f t="shared" si="19"/>
        <v>200000</v>
      </c>
      <c r="BD22" s="4">
        <v>200000</v>
      </c>
      <c r="BE22" s="4"/>
      <c r="BF22" s="4"/>
      <c r="BG22" s="4"/>
      <c r="BH22" s="4">
        <f t="shared" si="25"/>
        <v>200000</v>
      </c>
      <c r="BI22" s="3"/>
      <c r="BJ22" s="4">
        <f t="shared" si="20"/>
        <v>200000</v>
      </c>
      <c r="BK22" s="4">
        <f t="shared" si="21"/>
        <v>0.21999999997206032</v>
      </c>
      <c r="BL22" s="4"/>
      <c r="BM22" s="4">
        <f t="shared" si="22"/>
        <v>200000</v>
      </c>
      <c r="BN22" s="4"/>
      <c r="BO22" s="4"/>
      <c r="BP22" s="4"/>
    </row>
    <row r="23" spans="1:68" s="5" customFormat="1" ht="30" customHeight="1">
      <c r="A23" s="3">
        <v>18</v>
      </c>
      <c r="B23" s="3">
        <v>1849</v>
      </c>
      <c r="C23" s="3" t="s">
        <v>407</v>
      </c>
      <c r="D23" s="4">
        <v>1400000</v>
      </c>
      <c r="E23" s="4">
        <v>1400000</v>
      </c>
      <c r="F23" s="4">
        <f t="shared" si="0"/>
        <v>0</v>
      </c>
      <c r="G23" s="4">
        <v>1400000</v>
      </c>
      <c r="H23" s="4">
        <v>494625</v>
      </c>
      <c r="I23" s="4"/>
      <c r="J23" s="4">
        <v>602040.01</v>
      </c>
      <c r="K23" s="4">
        <f t="shared" si="5"/>
        <v>602040.01</v>
      </c>
      <c r="L23" s="4">
        <f t="shared" si="6"/>
        <v>1096665.01</v>
      </c>
      <c r="M23" s="4">
        <f t="shared" si="27"/>
        <v>303334.99</v>
      </c>
      <c r="N23" s="4"/>
      <c r="O23" s="4">
        <f t="shared" si="7"/>
        <v>0</v>
      </c>
      <c r="P23" s="4">
        <f t="shared" si="8"/>
        <v>0</v>
      </c>
      <c r="Q23" s="4">
        <f t="shared" si="2"/>
        <v>303334.99</v>
      </c>
      <c r="R23" s="4"/>
      <c r="S23" s="4"/>
      <c r="T23" s="4">
        <f t="shared" si="9"/>
        <v>0</v>
      </c>
      <c r="U23" s="4">
        <f t="shared" si="3"/>
        <v>0</v>
      </c>
      <c r="V23" s="4">
        <f t="shared" si="4"/>
        <v>0</v>
      </c>
      <c r="W23" s="4"/>
      <c r="X23" s="4">
        <f t="shared" si="10"/>
        <v>0</v>
      </c>
      <c r="Y23" s="4"/>
      <c r="Z23" s="4"/>
      <c r="AA23" s="3"/>
      <c r="AB23" s="3" t="s">
        <v>408</v>
      </c>
      <c r="AC23" s="3">
        <v>743000</v>
      </c>
      <c r="AD23" s="4"/>
      <c r="AE23" s="184"/>
      <c r="AF23" s="4"/>
      <c r="AG23" s="4"/>
      <c r="AH23" s="4">
        <f t="shared" si="11"/>
        <v>0</v>
      </c>
      <c r="AI23" s="4">
        <f t="shared" si="12"/>
        <v>0</v>
      </c>
      <c r="AJ23" s="4"/>
      <c r="AK23" s="4">
        <f t="shared" si="26"/>
        <v>0</v>
      </c>
      <c r="AL23" s="379"/>
      <c r="AM23" s="3"/>
      <c r="AN23" s="3"/>
      <c r="AO23" s="4"/>
      <c r="AP23" s="4"/>
      <c r="AQ23" s="314"/>
      <c r="AR23" s="4">
        <f t="shared" si="23"/>
        <v>0</v>
      </c>
      <c r="AS23" s="4">
        <v>3335</v>
      </c>
      <c r="AT23" s="173">
        <f t="shared" si="14"/>
        <v>3335</v>
      </c>
      <c r="AU23" s="173">
        <f t="shared" si="15"/>
        <v>299999.99</v>
      </c>
      <c r="AV23" s="173">
        <f t="shared" si="16"/>
        <v>-299999.99</v>
      </c>
      <c r="AW23" s="3"/>
      <c r="AX23" s="4">
        <f t="shared" si="17"/>
        <v>-299999.99</v>
      </c>
      <c r="AY23" s="3"/>
      <c r="AZ23" s="3"/>
      <c r="BA23" s="3"/>
      <c r="BB23" s="173">
        <f t="shared" si="18"/>
        <v>-299999.99</v>
      </c>
      <c r="BC23" s="4">
        <f t="shared" si="19"/>
        <v>0</v>
      </c>
      <c r="BD23" s="4">
        <v>-300000</v>
      </c>
      <c r="BE23" s="4"/>
      <c r="BF23" s="4"/>
      <c r="BG23" s="4"/>
      <c r="BH23" s="4">
        <f t="shared" si="25"/>
        <v>-300000</v>
      </c>
      <c r="BI23" s="3"/>
      <c r="BJ23" s="4">
        <f t="shared" si="20"/>
        <v>-300000</v>
      </c>
      <c r="BK23" s="4">
        <f t="shared" si="21"/>
        <v>1.0000000009313226E-2</v>
      </c>
      <c r="BL23" s="4"/>
      <c r="BM23" s="4">
        <f t="shared" si="22"/>
        <v>-300000</v>
      </c>
      <c r="BN23" s="4"/>
      <c r="BO23" s="4"/>
      <c r="BP23" s="4"/>
    </row>
    <row r="24" spans="1:68" s="5" customFormat="1" ht="30" customHeight="1">
      <c r="A24" s="3">
        <v>19</v>
      </c>
      <c r="B24" s="3">
        <v>1850</v>
      </c>
      <c r="C24" s="3" t="s">
        <v>784</v>
      </c>
      <c r="D24" s="4">
        <v>14600000</v>
      </c>
      <c r="E24" s="4">
        <v>14600000</v>
      </c>
      <c r="F24" s="4">
        <f t="shared" si="0"/>
        <v>0</v>
      </c>
      <c r="G24" s="4">
        <v>4430000</v>
      </c>
      <c r="H24" s="4">
        <v>3700385</v>
      </c>
      <c r="I24" s="4"/>
      <c r="J24" s="4">
        <v>459500</v>
      </c>
      <c r="K24" s="4">
        <f t="shared" si="5"/>
        <v>459500</v>
      </c>
      <c r="L24" s="4">
        <f t="shared" si="6"/>
        <v>4159885</v>
      </c>
      <c r="M24" s="4">
        <f t="shared" si="27"/>
        <v>270115</v>
      </c>
      <c r="N24" s="4">
        <f>1000000-500000</f>
        <v>500000</v>
      </c>
      <c r="O24" s="4">
        <f t="shared" si="7"/>
        <v>200000</v>
      </c>
      <c r="P24" s="4">
        <f t="shared" si="8"/>
        <v>9970000</v>
      </c>
      <c r="Q24" s="4">
        <f t="shared" si="2"/>
        <v>270115</v>
      </c>
      <c r="R24" s="4"/>
      <c r="S24" s="4"/>
      <c r="T24" s="4">
        <f t="shared" si="9"/>
        <v>0</v>
      </c>
      <c r="U24" s="4">
        <f t="shared" si="3"/>
        <v>0</v>
      </c>
      <c r="V24" s="4">
        <f t="shared" si="4"/>
        <v>500000</v>
      </c>
      <c r="W24" s="4"/>
      <c r="X24" s="4">
        <f t="shared" si="10"/>
        <v>500000</v>
      </c>
      <c r="Y24" s="4"/>
      <c r="Z24" s="4"/>
      <c r="AA24" s="3"/>
      <c r="AB24" s="3" t="s">
        <v>785</v>
      </c>
      <c r="AC24" s="3">
        <v>810000</v>
      </c>
      <c r="AD24" s="4">
        <v>100000</v>
      </c>
      <c r="AE24" s="184"/>
      <c r="AF24" s="4">
        <v>200000</v>
      </c>
      <c r="AG24" s="4"/>
      <c r="AH24" s="4">
        <f t="shared" si="11"/>
        <v>300000</v>
      </c>
      <c r="AI24" s="4">
        <f t="shared" si="12"/>
        <v>200000</v>
      </c>
      <c r="AJ24" s="4"/>
      <c r="AK24" s="4">
        <f>AI24-AJ24-AN24</f>
        <v>200000</v>
      </c>
      <c r="AL24" s="379"/>
      <c r="AM24" s="3"/>
      <c r="AN24" s="3"/>
      <c r="AO24" s="4">
        <v>200000</v>
      </c>
      <c r="AP24" s="4">
        <v>270115.45000000019</v>
      </c>
      <c r="AQ24" s="646" t="s">
        <v>1068</v>
      </c>
      <c r="AR24" s="4">
        <f t="shared" si="23"/>
        <v>200000</v>
      </c>
      <c r="AS24" s="4">
        <f>AP24</f>
        <v>270115.45000000019</v>
      </c>
      <c r="AT24" s="173">
        <f t="shared" si="14"/>
        <v>470115.45000000019</v>
      </c>
      <c r="AU24" s="173">
        <f t="shared" si="15"/>
        <v>9969999.5500000007</v>
      </c>
      <c r="AV24" s="173">
        <f t="shared" si="16"/>
        <v>200000.45000000019</v>
      </c>
      <c r="AW24" s="4">
        <v>200000</v>
      </c>
      <c r="AX24" s="4">
        <f t="shared" si="17"/>
        <v>0.45000000018626451</v>
      </c>
      <c r="AY24" s="3"/>
      <c r="AZ24" s="3"/>
      <c r="BA24" s="3"/>
      <c r="BB24" s="173">
        <f t="shared" si="18"/>
        <v>0.45000000018626451</v>
      </c>
      <c r="BC24" s="4">
        <f t="shared" si="19"/>
        <v>200000</v>
      </c>
      <c r="BD24" s="4">
        <v>200000</v>
      </c>
      <c r="BE24" s="4"/>
      <c r="BF24" s="4"/>
      <c r="BG24" s="4"/>
      <c r="BH24" s="4">
        <f t="shared" si="25"/>
        <v>200000</v>
      </c>
      <c r="BI24" s="3"/>
      <c r="BJ24" s="4">
        <f t="shared" si="20"/>
        <v>200000</v>
      </c>
      <c r="BK24" s="4">
        <f t="shared" si="21"/>
        <v>0.45000000018626451</v>
      </c>
      <c r="BL24" s="4">
        <v>200000</v>
      </c>
      <c r="BM24" s="4">
        <f t="shared" si="22"/>
        <v>0</v>
      </c>
      <c r="BN24" s="4"/>
      <c r="BO24" s="4"/>
      <c r="BP24" s="4"/>
    </row>
    <row r="25" spans="1:68" s="5" customFormat="1" ht="30" customHeight="1">
      <c r="A25" s="3">
        <v>20</v>
      </c>
      <c r="B25" s="3">
        <v>1853</v>
      </c>
      <c r="C25" s="3" t="s">
        <v>1587</v>
      </c>
      <c r="D25" s="4">
        <v>410000</v>
      </c>
      <c r="E25" s="4">
        <v>410000</v>
      </c>
      <c r="F25" s="4">
        <f t="shared" si="0"/>
        <v>0</v>
      </c>
      <c r="G25" s="4">
        <v>410000</v>
      </c>
      <c r="H25" s="4">
        <v>317125</v>
      </c>
      <c r="I25" s="4"/>
      <c r="J25" s="4"/>
      <c r="K25" s="4">
        <f t="shared" si="5"/>
        <v>0</v>
      </c>
      <c r="L25" s="4">
        <f t="shared" si="6"/>
        <v>317125</v>
      </c>
      <c r="M25" s="4">
        <f t="shared" si="27"/>
        <v>92875</v>
      </c>
      <c r="N25" s="4"/>
      <c r="O25" s="4">
        <f t="shared" si="7"/>
        <v>0</v>
      </c>
      <c r="P25" s="4">
        <f t="shared" si="8"/>
        <v>0</v>
      </c>
      <c r="Q25" s="4">
        <f t="shared" si="2"/>
        <v>92875</v>
      </c>
      <c r="R25" s="4"/>
      <c r="S25" s="4"/>
      <c r="T25" s="4">
        <f t="shared" si="9"/>
        <v>0</v>
      </c>
      <c r="U25" s="4">
        <f t="shared" si="3"/>
        <v>0</v>
      </c>
      <c r="V25" s="4">
        <f t="shared" si="4"/>
        <v>0</v>
      </c>
      <c r="W25" s="4"/>
      <c r="X25" s="4">
        <f t="shared" si="10"/>
        <v>0</v>
      </c>
      <c r="Y25" s="4"/>
      <c r="Z25" s="4"/>
      <c r="AA25" s="3"/>
      <c r="AB25" s="3" t="s">
        <v>409</v>
      </c>
      <c r="AC25" s="3">
        <v>824000</v>
      </c>
      <c r="AD25" s="4"/>
      <c r="AE25" s="184"/>
      <c r="AF25" s="4"/>
      <c r="AG25" s="4"/>
      <c r="AH25" s="4">
        <f t="shared" si="11"/>
        <v>0</v>
      </c>
      <c r="AI25" s="4">
        <f t="shared" si="12"/>
        <v>0</v>
      </c>
      <c r="AJ25" s="4"/>
      <c r="AK25" s="4">
        <f t="shared" si="26"/>
        <v>0</v>
      </c>
      <c r="AL25" s="379"/>
      <c r="AM25" s="3"/>
      <c r="AN25" s="3"/>
      <c r="AO25" s="4"/>
      <c r="AP25" s="4"/>
      <c r="AQ25" s="314"/>
      <c r="AR25" s="4">
        <f t="shared" si="23"/>
        <v>0</v>
      </c>
      <c r="AS25" s="4">
        <v>2875</v>
      </c>
      <c r="AT25" s="173">
        <f t="shared" si="14"/>
        <v>2875</v>
      </c>
      <c r="AU25" s="173">
        <f t="shared" si="15"/>
        <v>90000</v>
      </c>
      <c r="AV25" s="173">
        <f t="shared" si="16"/>
        <v>-90000</v>
      </c>
      <c r="AW25" s="3"/>
      <c r="AX25" s="4">
        <f t="shared" si="17"/>
        <v>-90000</v>
      </c>
      <c r="AY25" s="3"/>
      <c r="AZ25" s="3"/>
      <c r="BA25" s="3"/>
      <c r="BB25" s="173">
        <f t="shared" si="18"/>
        <v>-90000</v>
      </c>
      <c r="BC25" s="4">
        <f t="shared" si="19"/>
        <v>0</v>
      </c>
      <c r="BD25" s="4">
        <v>-90000</v>
      </c>
      <c r="BE25" s="4"/>
      <c r="BF25" s="4"/>
      <c r="BG25" s="4"/>
      <c r="BH25" s="4">
        <f t="shared" si="25"/>
        <v>-90000</v>
      </c>
      <c r="BI25" s="3"/>
      <c r="BJ25" s="4">
        <f t="shared" si="20"/>
        <v>-90000</v>
      </c>
      <c r="BK25" s="4">
        <f t="shared" si="21"/>
        <v>0</v>
      </c>
      <c r="BL25" s="4"/>
      <c r="BM25" s="4">
        <f t="shared" si="22"/>
        <v>-90000</v>
      </c>
      <c r="BN25" s="4"/>
      <c r="BO25" s="4"/>
      <c r="BP25" s="4"/>
    </row>
    <row r="26" spans="1:68" s="5" customFormat="1" ht="30" customHeight="1">
      <c r="A26" s="3">
        <v>21</v>
      </c>
      <c r="B26" s="3">
        <v>1883</v>
      </c>
      <c r="C26" s="3" t="s">
        <v>1069</v>
      </c>
      <c r="D26" s="4">
        <v>26215000</v>
      </c>
      <c r="E26" s="4">
        <v>26215000</v>
      </c>
      <c r="F26" s="4">
        <f t="shared" si="0"/>
        <v>0</v>
      </c>
      <c r="G26" s="4">
        <v>26215000</v>
      </c>
      <c r="H26" s="4">
        <v>26090722.93</v>
      </c>
      <c r="I26" s="4">
        <v>6309.83</v>
      </c>
      <c r="J26" s="4">
        <v>100379</v>
      </c>
      <c r="K26" s="4">
        <f t="shared" si="5"/>
        <v>106688.83</v>
      </c>
      <c r="L26" s="4">
        <f t="shared" si="6"/>
        <v>26197411.759999998</v>
      </c>
      <c r="M26" s="4">
        <f t="shared" si="27"/>
        <v>17588.240000002086</v>
      </c>
      <c r="N26" s="4"/>
      <c r="O26" s="4">
        <f t="shared" si="7"/>
        <v>0</v>
      </c>
      <c r="P26" s="4">
        <f t="shared" si="8"/>
        <v>0</v>
      </c>
      <c r="Q26" s="4">
        <f t="shared" si="2"/>
        <v>17588.240000002086</v>
      </c>
      <c r="R26" s="74"/>
      <c r="S26" s="4"/>
      <c r="T26" s="4">
        <f t="shared" si="9"/>
        <v>0</v>
      </c>
      <c r="U26" s="4">
        <f t="shared" si="3"/>
        <v>0</v>
      </c>
      <c r="V26" s="4">
        <f t="shared" si="4"/>
        <v>0</v>
      </c>
      <c r="W26" s="4"/>
      <c r="X26" s="4">
        <f t="shared" si="10"/>
        <v>0</v>
      </c>
      <c r="Y26" s="4"/>
      <c r="Z26" s="4"/>
      <c r="AA26" s="3"/>
      <c r="AB26" s="3"/>
      <c r="AC26" s="3">
        <v>810000</v>
      </c>
      <c r="AD26" s="4"/>
      <c r="AE26" s="184"/>
      <c r="AF26" s="4"/>
      <c r="AG26" s="4"/>
      <c r="AH26" s="4">
        <f t="shared" si="11"/>
        <v>0</v>
      </c>
      <c r="AI26" s="4">
        <f t="shared" si="12"/>
        <v>0</v>
      </c>
      <c r="AJ26" s="4"/>
      <c r="AK26" s="4">
        <f t="shared" si="26"/>
        <v>0</v>
      </c>
      <c r="AL26" s="379"/>
      <c r="AM26" s="3"/>
      <c r="AN26" s="3"/>
      <c r="AO26" s="4"/>
      <c r="AP26" s="4"/>
      <c r="AQ26" s="314"/>
      <c r="AR26" s="4">
        <f t="shared" si="23"/>
        <v>0</v>
      </c>
      <c r="AS26" s="4">
        <v>17588</v>
      </c>
      <c r="AT26" s="173">
        <f t="shared" si="14"/>
        <v>17588</v>
      </c>
      <c r="AU26" s="173">
        <f t="shared" si="15"/>
        <v>0.24000000208616257</v>
      </c>
      <c r="AV26" s="173">
        <f t="shared" si="16"/>
        <v>-0.24000000208616257</v>
      </c>
      <c r="AW26" s="3"/>
      <c r="AX26" s="4">
        <f t="shared" si="17"/>
        <v>-0.24000000208616257</v>
      </c>
      <c r="AY26" s="3"/>
      <c r="AZ26" s="3"/>
      <c r="BA26" s="210"/>
      <c r="BB26" s="173">
        <f t="shared" si="18"/>
        <v>-0.24000000208616257</v>
      </c>
      <c r="BC26" s="4">
        <f t="shared" si="19"/>
        <v>0</v>
      </c>
      <c r="BD26" s="4">
        <v>0</v>
      </c>
      <c r="BE26" s="4"/>
      <c r="BF26" s="4"/>
      <c r="BG26" s="4"/>
      <c r="BH26" s="4">
        <f t="shared" si="25"/>
        <v>0</v>
      </c>
      <c r="BI26" s="3"/>
      <c r="BJ26" s="4">
        <f t="shared" si="20"/>
        <v>0</v>
      </c>
      <c r="BK26" s="4">
        <f t="shared" si="21"/>
        <v>-0.24000000208616257</v>
      </c>
      <c r="BL26" s="4"/>
      <c r="BM26" s="4">
        <f t="shared" si="22"/>
        <v>0</v>
      </c>
      <c r="BN26" s="4"/>
      <c r="BO26" s="4"/>
      <c r="BP26" s="4"/>
    </row>
    <row r="27" spans="1:68" s="5" customFormat="1" ht="30" customHeight="1">
      <c r="A27" s="3">
        <v>22</v>
      </c>
      <c r="B27" s="3">
        <v>1887</v>
      </c>
      <c r="C27" s="3" t="s">
        <v>139</v>
      </c>
      <c r="D27" s="4">
        <v>5200000</v>
      </c>
      <c r="E27" s="4">
        <v>5200000</v>
      </c>
      <c r="F27" s="4">
        <f t="shared" si="0"/>
        <v>0</v>
      </c>
      <c r="G27" s="4">
        <v>1800000</v>
      </c>
      <c r="H27" s="4">
        <f>1359237.11+0.9</f>
        <v>1359238.01</v>
      </c>
      <c r="I27" s="4">
        <v>332775.25</v>
      </c>
      <c r="J27" s="4">
        <v>65807</v>
      </c>
      <c r="K27" s="4">
        <f t="shared" si="5"/>
        <v>398582.25</v>
      </c>
      <c r="L27" s="4">
        <f t="shared" si="6"/>
        <v>1757820.26</v>
      </c>
      <c r="M27" s="4">
        <f>Q27+T27</f>
        <v>42179.739999999991</v>
      </c>
      <c r="N27" s="4">
        <v>-2500000</v>
      </c>
      <c r="O27" s="4">
        <f t="shared" si="7"/>
        <v>-100000</v>
      </c>
      <c r="P27" s="4">
        <f t="shared" si="8"/>
        <v>3500000</v>
      </c>
      <c r="Q27" s="4">
        <f t="shared" si="2"/>
        <v>42179.739999999991</v>
      </c>
      <c r="R27" s="4"/>
      <c r="S27" s="4"/>
      <c r="T27" s="4">
        <f t="shared" si="9"/>
        <v>0</v>
      </c>
      <c r="U27" s="4">
        <f t="shared" si="3"/>
        <v>0</v>
      </c>
      <c r="V27" s="4">
        <f t="shared" si="4"/>
        <v>-2500000</v>
      </c>
      <c r="W27" s="4">
        <f>V27-X27-Y27-Z27-AA27</f>
        <v>-1600000</v>
      </c>
      <c r="X27" s="4">
        <v>-900000</v>
      </c>
      <c r="Y27" s="4"/>
      <c r="Z27" s="4"/>
      <c r="AA27" s="3"/>
      <c r="AB27" s="3" t="s">
        <v>906</v>
      </c>
      <c r="AC27" s="3">
        <v>810000</v>
      </c>
      <c r="AD27" s="4">
        <v>-2500000</v>
      </c>
      <c r="AE27" s="184"/>
      <c r="AF27" s="4">
        <v>100000</v>
      </c>
      <c r="AG27" s="4"/>
      <c r="AH27" s="4">
        <f t="shared" si="11"/>
        <v>-2400000</v>
      </c>
      <c r="AI27" s="4">
        <f t="shared" si="12"/>
        <v>-100000</v>
      </c>
      <c r="AJ27" s="4"/>
      <c r="AK27" s="4">
        <f t="shared" si="26"/>
        <v>-100000</v>
      </c>
      <c r="AL27" s="4"/>
      <c r="AM27" s="3"/>
      <c r="AN27" s="3"/>
      <c r="AO27" s="4"/>
      <c r="AP27" s="4"/>
      <c r="AQ27" s="314"/>
      <c r="AR27" s="4">
        <f t="shared" si="23"/>
        <v>0</v>
      </c>
      <c r="AS27" s="4">
        <v>2180</v>
      </c>
      <c r="AT27" s="173">
        <f t="shared" si="14"/>
        <v>2180</v>
      </c>
      <c r="AU27" s="173">
        <f t="shared" si="15"/>
        <v>3439999.74</v>
      </c>
      <c r="AV27" s="173">
        <f t="shared" si="16"/>
        <v>-39999.739999999991</v>
      </c>
      <c r="AW27" s="3"/>
      <c r="AX27" s="4">
        <f t="shared" si="17"/>
        <v>-39999.739999999991</v>
      </c>
      <c r="AY27" s="3"/>
      <c r="AZ27" s="3"/>
      <c r="BA27" s="3"/>
      <c r="BB27" s="173">
        <f t="shared" si="18"/>
        <v>-39999.739999999991</v>
      </c>
      <c r="BC27" s="4">
        <f t="shared" si="19"/>
        <v>0</v>
      </c>
      <c r="BD27" s="4">
        <v>-40000</v>
      </c>
      <c r="BE27" s="4"/>
      <c r="BF27" s="4"/>
      <c r="BG27" s="4"/>
      <c r="BH27" s="4">
        <f t="shared" si="25"/>
        <v>-40000</v>
      </c>
      <c r="BI27" s="3"/>
      <c r="BJ27" s="4">
        <f t="shared" si="20"/>
        <v>-40000</v>
      </c>
      <c r="BK27" s="4">
        <f t="shared" si="21"/>
        <v>0.26000000000931323</v>
      </c>
      <c r="BL27" s="4"/>
      <c r="BM27" s="4">
        <f t="shared" si="22"/>
        <v>-40000</v>
      </c>
      <c r="BN27" s="4"/>
      <c r="BO27" s="4"/>
      <c r="BP27" s="4"/>
    </row>
    <row r="28" spans="1:68" s="5" customFormat="1" ht="30" customHeight="1">
      <c r="A28" s="3">
        <v>23</v>
      </c>
      <c r="B28" s="3">
        <v>1900</v>
      </c>
      <c r="C28" s="3" t="s">
        <v>1070</v>
      </c>
      <c r="D28" s="4">
        <v>700000</v>
      </c>
      <c r="E28" s="4">
        <v>700000</v>
      </c>
      <c r="F28" s="4">
        <f t="shared" si="0"/>
        <v>0</v>
      </c>
      <c r="G28" s="4">
        <v>700000</v>
      </c>
      <c r="H28" s="4">
        <v>453828.63</v>
      </c>
      <c r="I28" s="4">
        <v>68581.97</v>
      </c>
      <c r="J28" s="4"/>
      <c r="K28" s="4">
        <f t="shared" si="5"/>
        <v>68581.97</v>
      </c>
      <c r="L28" s="4">
        <f t="shared" si="6"/>
        <v>522410.6</v>
      </c>
      <c r="M28" s="4">
        <f t="shared" ref="M28:M60" si="28">Q28+T28</f>
        <v>177589.40000000002</v>
      </c>
      <c r="N28" s="4"/>
      <c r="O28" s="4">
        <f t="shared" si="7"/>
        <v>0</v>
      </c>
      <c r="P28" s="4">
        <f t="shared" si="8"/>
        <v>0</v>
      </c>
      <c r="Q28" s="4">
        <f t="shared" si="2"/>
        <v>177589.40000000002</v>
      </c>
      <c r="R28" s="4"/>
      <c r="S28" s="4"/>
      <c r="T28" s="4">
        <f t="shared" si="9"/>
        <v>0</v>
      </c>
      <c r="U28" s="4">
        <f t="shared" si="3"/>
        <v>0</v>
      </c>
      <c r="V28" s="4">
        <f t="shared" si="4"/>
        <v>0</v>
      </c>
      <c r="W28" s="4"/>
      <c r="X28" s="4">
        <f t="shared" si="10"/>
        <v>0</v>
      </c>
      <c r="Y28" s="4"/>
      <c r="Z28" s="4"/>
      <c r="AA28" s="3"/>
      <c r="AB28" s="3"/>
      <c r="AC28" s="3">
        <v>810000</v>
      </c>
      <c r="AD28" s="4"/>
      <c r="AE28" s="184"/>
      <c r="AF28" s="4"/>
      <c r="AG28" s="4"/>
      <c r="AH28" s="4">
        <f t="shared" si="11"/>
        <v>0</v>
      </c>
      <c r="AI28" s="4">
        <f t="shared" si="12"/>
        <v>0</v>
      </c>
      <c r="AJ28" s="4"/>
      <c r="AK28" s="4">
        <f t="shared" si="26"/>
        <v>0</v>
      </c>
      <c r="AL28" s="379"/>
      <c r="AM28" s="3"/>
      <c r="AN28" s="3"/>
      <c r="AO28" s="4"/>
      <c r="AP28" s="4"/>
      <c r="AQ28" s="314"/>
      <c r="AR28" s="4">
        <f t="shared" si="23"/>
        <v>0</v>
      </c>
      <c r="AS28" s="4">
        <v>177589</v>
      </c>
      <c r="AT28" s="173">
        <f t="shared" si="14"/>
        <v>177589</v>
      </c>
      <c r="AU28" s="173">
        <f t="shared" si="15"/>
        <v>0.40000000002328306</v>
      </c>
      <c r="AV28" s="173">
        <f t="shared" si="16"/>
        <v>-0.40000000002328306</v>
      </c>
      <c r="AW28" s="3"/>
      <c r="AX28" s="4">
        <f t="shared" si="17"/>
        <v>-0.40000000002328306</v>
      </c>
      <c r="AY28" s="3"/>
      <c r="AZ28" s="3"/>
      <c r="BA28" s="210"/>
      <c r="BB28" s="173">
        <f t="shared" si="18"/>
        <v>-0.40000000002328306</v>
      </c>
      <c r="BC28" s="4">
        <f t="shared" si="19"/>
        <v>0</v>
      </c>
      <c r="BD28" s="4">
        <v>0</v>
      </c>
      <c r="BE28" s="4"/>
      <c r="BF28" s="4"/>
      <c r="BG28" s="4"/>
      <c r="BH28" s="4">
        <f t="shared" si="25"/>
        <v>0</v>
      </c>
      <c r="BI28" s="3"/>
      <c r="BJ28" s="4">
        <f t="shared" si="20"/>
        <v>0</v>
      </c>
      <c r="BK28" s="4">
        <f t="shared" si="21"/>
        <v>-0.40000000002328306</v>
      </c>
      <c r="BL28" s="4"/>
      <c r="BM28" s="4">
        <f t="shared" si="22"/>
        <v>0</v>
      </c>
      <c r="BN28" s="4"/>
      <c r="BO28" s="4"/>
      <c r="BP28" s="4"/>
    </row>
    <row r="29" spans="1:68" s="5" customFormat="1" ht="30" customHeight="1">
      <c r="A29" s="3">
        <v>24</v>
      </c>
      <c r="B29" s="3">
        <v>1917</v>
      </c>
      <c r="C29" s="3" t="s">
        <v>1071</v>
      </c>
      <c r="D29" s="4">
        <v>76800000</v>
      </c>
      <c r="E29" s="4">
        <v>76800000</v>
      </c>
      <c r="F29" s="4">
        <f t="shared" si="0"/>
        <v>0</v>
      </c>
      <c r="G29" s="4">
        <v>34001000</v>
      </c>
      <c r="H29" s="4">
        <v>17350293.699999999</v>
      </c>
      <c r="I29" s="4"/>
      <c r="J29" s="4">
        <v>12605041.82</v>
      </c>
      <c r="K29" s="4">
        <f t="shared" si="5"/>
        <v>12605041.82</v>
      </c>
      <c r="L29" s="4">
        <f t="shared" si="6"/>
        <v>29955335.52</v>
      </c>
      <c r="M29" s="4">
        <f t="shared" si="28"/>
        <v>4045664.4800000004</v>
      </c>
      <c r="N29" s="4">
        <f>3000000-1500000-500000</f>
        <v>1000000</v>
      </c>
      <c r="O29" s="4">
        <f t="shared" si="7"/>
        <v>500000</v>
      </c>
      <c r="P29" s="4">
        <f t="shared" si="8"/>
        <v>42299000</v>
      </c>
      <c r="Q29" s="4">
        <f t="shared" si="2"/>
        <v>4045664.4800000004</v>
      </c>
      <c r="R29" s="4"/>
      <c r="S29" s="4"/>
      <c r="T29" s="4">
        <f t="shared" si="9"/>
        <v>0</v>
      </c>
      <c r="U29" s="4">
        <f t="shared" si="3"/>
        <v>0</v>
      </c>
      <c r="V29" s="4">
        <f t="shared" si="4"/>
        <v>1000000</v>
      </c>
      <c r="W29" s="4">
        <f>V29-X29-Y29-Z29-AA29</f>
        <v>1000000</v>
      </c>
      <c r="X29" s="4"/>
      <c r="Y29" s="4"/>
      <c r="Z29" s="4"/>
      <c r="AA29" s="3"/>
      <c r="AB29" s="3" t="s">
        <v>458</v>
      </c>
      <c r="AC29" s="3">
        <v>743000</v>
      </c>
      <c r="AD29" s="4"/>
      <c r="AE29" s="184"/>
      <c r="AF29" s="4">
        <v>500000</v>
      </c>
      <c r="AG29" s="4"/>
      <c r="AH29" s="4">
        <f t="shared" si="11"/>
        <v>500000</v>
      </c>
      <c r="AI29" s="4">
        <f t="shared" si="12"/>
        <v>500000</v>
      </c>
      <c r="AJ29" s="4">
        <f>AI29</f>
        <v>500000</v>
      </c>
      <c r="AK29" s="4"/>
      <c r="AL29" s="379"/>
      <c r="AM29" s="3"/>
      <c r="AN29" s="3"/>
      <c r="AO29" s="4"/>
      <c r="AP29" s="4"/>
      <c r="AQ29" s="314"/>
      <c r="AR29" s="4">
        <f t="shared" si="23"/>
        <v>0</v>
      </c>
      <c r="AS29" s="4">
        <v>3045664</v>
      </c>
      <c r="AT29" s="173">
        <f t="shared" si="14"/>
        <v>3045664</v>
      </c>
      <c r="AU29" s="173">
        <f t="shared" si="15"/>
        <v>43799000.480000004</v>
      </c>
      <c r="AV29" s="173">
        <f t="shared" si="16"/>
        <v>-1000000.4800000004</v>
      </c>
      <c r="AW29" s="4">
        <v>-1000000</v>
      </c>
      <c r="AX29" s="4">
        <f t="shared" si="17"/>
        <v>-0.48000000044703484</v>
      </c>
      <c r="AY29" s="3"/>
      <c r="AZ29" s="3"/>
      <c r="BA29" s="3"/>
      <c r="BB29" s="173">
        <f t="shared" si="18"/>
        <v>-1000000.4800000004</v>
      </c>
      <c r="BC29" s="4">
        <f t="shared" si="19"/>
        <v>0</v>
      </c>
      <c r="BD29" s="4">
        <v>-1000000</v>
      </c>
      <c r="BE29" s="4"/>
      <c r="BF29" s="4"/>
      <c r="BG29" s="4"/>
      <c r="BH29" s="4">
        <f t="shared" si="25"/>
        <v>-1000000</v>
      </c>
      <c r="BI29" s="3"/>
      <c r="BJ29" s="4">
        <f t="shared" si="20"/>
        <v>-1000000</v>
      </c>
      <c r="BK29" s="4">
        <f t="shared" si="21"/>
        <v>-0.48000000044703484</v>
      </c>
      <c r="BL29" s="4">
        <v>-1000000</v>
      </c>
      <c r="BM29" s="4">
        <f t="shared" si="22"/>
        <v>0</v>
      </c>
      <c r="BN29" s="4"/>
      <c r="BO29" s="4"/>
      <c r="BP29" s="4"/>
    </row>
    <row r="30" spans="1:68" s="5" customFormat="1" ht="30" customHeight="1">
      <c r="A30" s="3">
        <v>25</v>
      </c>
      <c r="B30" s="3">
        <v>1933</v>
      </c>
      <c r="C30" s="3" t="s">
        <v>158</v>
      </c>
      <c r="D30" s="4">
        <v>1420000</v>
      </c>
      <c r="E30" s="4">
        <v>1420000</v>
      </c>
      <c r="F30" s="4">
        <f t="shared" si="0"/>
        <v>0</v>
      </c>
      <c r="G30" s="4">
        <v>1420000</v>
      </c>
      <c r="H30" s="4">
        <v>681875.43</v>
      </c>
      <c r="I30" s="4">
        <v>144733.97</v>
      </c>
      <c r="J30" s="4">
        <v>533412.42000000004</v>
      </c>
      <c r="K30" s="4">
        <f t="shared" si="5"/>
        <v>678146.39</v>
      </c>
      <c r="L30" s="4">
        <f t="shared" si="6"/>
        <v>1360021.82</v>
      </c>
      <c r="M30" s="4">
        <f t="shared" si="28"/>
        <v>59978.179999999935</v>
      </c>
      <c r="N30" s="4"/>
      <c r="O30" s="4">
        <f t="shared" si="7"/>
        <v>0</v>
      </c>
      <c r="P30" s="4">
        <f t="shared" si="8"/>
        <v>0</v>
      </c>
      <c r="Q30" s="4">
        <f t="shared" si="2"/>
        <v>59978.179999999935</v>
      </c>
      <c r="R30" s="4"/>
      <c r="S30" s="4"/>
      <c r="T30" s="4">
        <f t="shared" si="9"/>
        <v>0</v>
      </c>
      <c r="U30" s="4">
        <f t="shared" si="3"/>
        <v>0</v>
      </c>
      <c r="V30" s="4">
        <f t="shared" si="4"/>
        <v>0</v>
      </c>
      <c r="W30" s="4"/>
      <c r="X30" s="4">
        <f t="shared" si="10"/>
        <v>0</v>
      </c>
      <c r="Y30" s="4"/>
      <c r="Z30" s="4"/>
      <c r="AA30" s="3"/>
      <c r="AB30" s="3" t="s">
        <v>549</v>
      </c>
      <c r="AC30" s="3">
        <v>826000</v>
      </c>
      <c r="AD30" s="4"/>
      <c r="AE30" s="184"/>
      <c r="AF30" s="4"/>
      <c r="AG30" s="4"/>
      <c r="AH30" s="4">
        <f t="shared" si="11"/>
        <v>0</v>
      </c>
      <c r="AI30" s="4">
        <f t="shared" si="12"/>
        <v>0</v>
      </c>
      <c r="AJ30" s="4"/>
      <c r="AK30" s="4">
        <f t="shared" si="26"/>
        <v>0</v>
      </c>
      <c r="AL30" s="4"/>
      <c r="AM30" s="3"/>
      <c r="AN30" s="3"/>
      <c r="AO30" s="4"/>
      <c r="AP30" s="4"/>
      <c r="AQ30" s="314"/>
      <c r="AR30" s="4">
        <f t="shared" si="23"/>
        <v>0</v>
      </c>
      <c r="AS30" s="4">
        <v>9978</v>
      </c>
      <c r="AT30" s="173">
        <f t="shared" si="14"/>
        <v>9978</v>
      </c>
      <c r="AU30" s="173">
        <f t="shared" si="15"/>
        <v>50000.179999999935</v>
      </c>
      <c r="AV30" s="173">
        <f t="shared" si="16"/>
        <v>-50000.179999999935</v>
      </c>
      <c r="AW30" s="3"/>
      <c r="AX30" s="4">
        <f t="shared" si="17"/>
        <v>-50000.179999999935</v>
      </c>
      <c r="AY30" s="3"/>
      <c r="AZ30" s="3"/>
      <c r="BA30" s="3"/>
      <c r="BB30" s="173">
        <f t="shared" si="18"/>
        <v>-50000.179999999935</v>
      </c>
      <c r="BC30" s="4">
        <f t="shared" si="19"/>
        <v>0</v>
      </c>
      <c r="BD30" s="4">
        <v>-50000</v>
      </c>
      <c r="BE30" s="4"/>
      <c r="BF30" s="4"/>
      <c r="BG30" s="4"/>
      <c r="BH30" s="4">
        <f t="shared" si="25"/>
        <v>-50000</v>
      </c>
      <c r="BI30" s="3"/>
      <c r="BJ30" s="4">
        <f t="shared" si="20"/>
        <v>-50000</v>
      </c>
      <c r="BK30" s="4">
        <f t="shared" si="21"/>
        <v>-0.17999999993480742</v>
      </c>
      <c r="BL30" s="4"/>
      <c r="BM30" s="4">
        <f t="shared" si="22"/>
        <v>-50000</v>
      </c>
      <c r="BN30" s="4"/>
      <c r="BO30" s="4"/>
      <c r="BP30" s="4"/>
    </row>
    <row r="31" spans="1:68" s="5" customFormat="1" ht="30" customHeight="1">
      <c r="A31" s="3">
        <v>26</v>
      </c>
      <c r="B31" s="3">
        <v>1947</v>
      </c>
      <c r="C31" s="3" t="s">
        <v>1072</v>
      </c>
      <c r="D31" s="4">
        <v>2500000</v>
      </c>
      <c r="E31" s="4">
        <v>2500000</v>
      </c>
      <c r="F31" s="4">
        <f t="shared" si="0"/>
        <v>0</v>
      </c>
      <c r="G31" s="4">
        <v>1950000</v>
      </c>
      <c r="H31" s="4">
        <v>19880.57</v>
      </c>
      <c r="I31" s="4">
        <v>204750</v>
      </c>
      <c r="J31" s="4"/>
      <c r="K31" s="4">
        <f t="shared" si="5"/>
        <v>204750</v>
      </c>
      <c r="L31" s="4">
        <f t="shared" si="6"/>
        <v>224630.57</v>
      </c>
      <c r="M31" s="4">
        <f t="shared" si="28"/>
        <v>1725369.43</v>
      </c>
      <c r="N31" s="4">
        <v>550000</v>
      </c>
      <c r="O31" s="4">
        <f t="shared" si="7"/>
        <v>550000</v>
      </c>
      <c r="P31" s="4">
        <f t="shared" si="8"/>
        <v>0</v>
      </c>
      <c r="Q31" s="4">
        <f t="shared" si="2"/>
        <v>1725369.43</v>
      </c>
      <c r="R31" s="4"/>
      <c r="S31" s="4"/>
      <c r="T31" s="4">
        <f t="shared" si="9"/>
        <v>0</v>
      </c>
      <c r="U31" s="4">
        <f t="shared" si="3"/>
        <v>0</v>
      </c>
      <c r="V31" s="4">
        <f t="shared" si="4"/>
        <v>550000</v>
      </c>
      <c r="W31" s="4">
        <f>V31-X31-Y31-Z31-AA31</f>
        <v>550000</v>
      </c>
      <c r="X31" s="4"/>
      <c r="Y31" s="4"/>
      <c r="Z31" s="4"/>
      <c r="AA31" s="3"/>
      <c r="AB31" s="3" t="s">
        <v>550</v>
      </c>
      <c r="AC31" s="3">
        <v>850000</v>
      </c>
      <c r="AD31" s="4"/>
      <c r="AE31" s="4"/>
      <c r="AF31" s="4"/>
      <c r="AG31" s="4"/>
      <c r="AH31" s="4">
        <f t="shared" si="11"/>
        <v>0</v>
      </c>
      <c r="AI31" s="4">
        <f t="shared" si="12"/>
        <v>550000</v>
      </c>
      <c r="AJ31" s="4">
        <f>AI31</f>
        <v>550000</v>
      </c>
      <c r="AK31" s="4"/>
      <c r="AL31" s="379">
        <f>AG31</f>
        <v>0</v>
      </c>
      <c r="AM31" s="3"/>
      <c r="AN31" s="3"/>
      <c r="AO31" s="4"/>
      <c r="AP31" s="4"/>
      <c r="AQ31" s="647" t="s">
        <v>1073</v>
      </c>
      <c r="AR31" s="4">
        <f t="shared" si="23"/>
        <v>0</v>
      </c>
      <c r="AS31" s="4">
        <v>725369</v>
      </c>
      <c r="AT31" s="173">
        <f t="shared" si="14"/>
        <v>725369</v>
      </c>
      <c r="AU31" s="173">
        <f t="shared" si="15"/>
        <v>1550000.4300000002</v>
      </c>
      <c r="AV31" s="173">
        <f t="shared" si="16"/>
        <v>-1000000.4299999999</v>
      </c>
      <c r="AW31" s="3"/>
      <c r="AX31" s="4">
        <f t="shared" si="17"/>
        <v>-1000000.4299999999</v>
      </c>
      <c r="AY31" s="3"/>
      <c r="AZ31" s="3"/>
      <c r="BA31" s="3"/>
      <c r="BB31" s="173">
        <f t="shared" si="18"/>
        <v>-1000000.4299999999</v>
      </c>
      <c r="BC31" s="4">
        <f t="shared" si="19"/>
        <v>0</v>
      </c>
      <c r="BD31" s="4">
        <v>-1000000</v>
      </c>
      <c r="BE31" s="4"/>
      <c r="BF31" s="4"/>
      <c r="BG31" s="4"/>
      <c r="BH31" s="4">
        <f t="shared" si="25"/>
        <v>-1000000</v>
      </c>
      <c r="BI31" s="3"/>
      <c r="BJ31" s="4">
        <f t="shared" si="20"/>
        <v>-1000000</v>
      </c>
      <c r="BK31" s="4">
        <f t="shared" si="21"/>
        <v>-0.42999999993480742</v>
      </c>
      <c r="BL31" s="4"/>
      <c r="BM31" s="4">
        <f t="shared" si="22"/>
        <v>-1000000</v>
      </c>
      <c r="BN31" s="4"/>
      <c r="BO31" s="4"/>
      <c r="BP31" s="4"/>
    </row>
    <row r="32" spans="1:68" s="5" customFormat="1" ht="30" customHeight="1">
      <c r="A32" s="3">
        <v>27</v>
      </c>
      <c r="B32" s="3">
        <v>1966</v>
      </c>
      <c r="C32" s="3" t="s">
        <v>547</v>
      </c>
      <c r="D32" s="4">
        <v>1700000</v>
      </c>
      <c r="E32" s="4">
        <v>1700000</v>
      </c>
      <c r="F32" s="4">
        <f t="shared" si="0"/>
        <v>0</v>
      </c>
      <c r="G32" s="4">
        <v>1700000</v>
      </c>
      <c r="H32" s="4">
        <v>0</v>
      </c>
      <c r="I32" s="4">
        <v>1699998.93</v>
      </c>
      <c r="J32" s="4"/>
      <c r="K32" s="4">
        <f t="shared" si="5"/>
        <v>1699998.93</v>
      </c>
      <c r="L32" s="4">
        <f t="shared" si="6"/>
        <v>1699998.93</v>
      </c>
      <c r="M32" s="4">
        <f t="shared" si="28"/>
        <v>1.0700000000651926</v>
      </c>
      <c r="N32" s="4"/>
      <c r="O32" s="4">
        <f t="shared" si="7"/>
        <v>0</v>
      </c>
      <c r="P32" s="4">
        <f t="shared" si="8"/>
        <v>0</v>
      </c>
      <c r="Q32" s="4">
        <f t="shared" si="2"/>
        <v>1.0700000000651926</v>
      </c>
      <c r="R32" s="4"/>
      <c r="S32" s="4"/>
      <c r="T32" s="4">
        <f t="shared" si="9"/>
        <v>0</v>
      </c>
      <c r="U32" s="4">
        <f t="shared" si="3"/>
        <v>0</v>
      </c>
      <c r="V32" s="4">
        <f t="shared" si="4"/>
        <v>0</v>
      </c>
      <c r="W32" s="4"/>
      <c r="X32" s="4">
        <f t="shared" si="10"/>
        <v>0</v>
      </c>
      <c r="Y32" s="4"/>
      <c r="Z32" s="4"/>
      <c r="AA32" s="3"/>
      <c r="AB32" s="3" t="s">
        <v>716</v>
      </c>
      <c r="AC32" s="3">
        <v>870000</v>
      </c>
      <c r="AD32" s="4"/>
      <c r="AE32" s="4"/>
      <c r="AF32" s="4"/>
      <c r="AG32" s="4"/>
      <c r="AH32" s="4">
        <f t="shared" si="11"/>
        <v>0</v>
      </c>
      <c r="AI32" s="4">
        <f t="shared" si="12"/>
        <v>0</v>
      </c>
      <c r="AJ32" s="4"/>
      <c r="AK32" s="4">
        <f t="shared" si="26"/>
        <v>0</v>
      </c>
      <c r="AL32" s="379"/>
      <c r="AM32" s="3"/>
      <c r="AN32" s="3"/>
      <c r="AO32" s="4"/>
      <c r="AP32" s="4"/>
      <c r="AQ32" s="314"/>
      <c r="AR32" s="4">
        <f t="shared" si="23"/>
        <v>0</v>
      </c>
      <c r="AS32" s="4">
        <v>1</v>
      </c>
      <c r="AT32" s="173">
        <f t="shared" si="14"/>
        <v>1</v>
      </c>
      <c r="AU32" s="173">
        <f t="shared" si="15"/>
        <v>7.000000006519258E-2</v>
      </c>
      <c r="AV32" s="173">
        <f t="shared" si="16"/>
        <v>-7.000000006519258E-2</v>
      </c>
      <c r="AW32" s="3"/>
      <c r="AX32" s="4">
        <f t="shared" si="17"/>
        <v>-7.000000006519258E-2</v>
      </c>
      <c r="AY32" s="3"/>
      <c r="AZ32" s="3"/>
      <c r="BA32" s="3"/>
      <c r="BB32" s="173">
        <f t="shared" si="18"/>
        <v>-7.000000006519258E-2</v>
      </c>
      <c r="BC32" s="4">
        <f t="shared" si="19"/>
        <v>0</v>
      </c>
      <c r="BD32" s="4">
        <v>0</v>
      </c>
      <c r="BE32" s="4"/>
      <c r="BF32" s="4"/>
      <c r="BG32" s="4"/>
      <c r="BH32" s="4">
        <f t="shared" si="25"/>
        <v>0</v>
      </c>
      <c r="BI32" s="3"/>
      <c r="BJ32" s="4">
        <f t="shared" si="20"/>
        <v>0</v>
      </c>
      <c r="BK32" s="4">
        <f t="shared" si="21"/>
        <v>-7.000000006519258E-2</v>
      </c>
      <c r="BL32" s="4"/>
      <c r="BM32" s="4">
        <f t="shared" si="22"/>
        <v>0</v>
      </c>
      <c r="BN32" s="4"/>
      <c r="BO32" s="4"/>
      <c r="BP32" s="4"/>
    </row>
    <row r="33" spans="1:68" s="5" customFormat="1" ht="30" customHeight="1">
      <c r="A33" s="3">
        <v>28</v>
      </c>
      <c r="B33" s="3">
        <v>1967</v>
      </c>
      <c r="C33" s="3" t="s">
        <v>159</v>
      </c>
      <c r="D33" s="4">
        <v>12929000</v>
      </c>
      <c r="E33" s="4">
        <v>12929000</v>
      </c>
      <c r="F33" s="4">
        <f t="shared" si="0"/>
        <v>0</v>
      </c>
      <c r="G33" s="4">
        <v>5699000</v>
      </c>
      <c r="H33" s="4">
        <v>1945706.83</v>
      </c>
      <c r="I33" s="4">
        <v>263195.40000000002</v>
      </c>
      <c r="J33" s="4">
        <v>444600</v>
      </c>
      <c r="K33" s="4">
        <f t="shared" si="5"/>
        <v>707795.4</v>
      </c>
      <c r="L33" s="4">
        <f t="shared" si="6"/>
        <v>2653502.23</v>
      </c>
      <c r="M33" s="4">
        <f t="shared" si="28"/>
        <v>3045497.77</v>
      </c>
      <c r="N33" s="4">
        <f>7230000-2000000</f>
        <v>5230000</v>
      </c>
      <c r="O33" s="4">
        <f t="shared" si="7"/>
        <v>5230000</v>
      </c>
      <c r="P33" s="4">
        <f t="shared" si="8"/>
        <v>2000000</v>
      </c>
      <c r="Q33" s="4">
        <f t="shared" si="2"/>
        <v>3045497.77</v>
      </c>
      <c r="R33" s="4"/>
      <c r="S33" s="4"/>
      <c r="T33" s="4">
        <f t="shared" si="9"/>
        <v>0</v>
      </c>
      <c r="U33" s="4">
        <f t="shared" si="3"/>
        <v>0</v>
      </c>
      <c r="V33" s="4">
        <f t="shared" si="4"/>
        <v>5230000</v>
      </c>
      <c r="W33" s="4">
        <f>V33-X33-Y33-Z33-AA33</f>
        <v>2500000</v>
      </c>
      <c r="X33" s="4">
        <v>2620000</v>
      </c>
      <c r="Y33" s="4"/>
      <c r="Z33" s="4"/>
      <c r="AA33" s="4">
        <v>110000</v>
      </c>
      <c r="AB33" s="3" t="s">
        <v>717</v>
      </c>
      <c r="AC33" s="3">
        <v>810000</v>
      </c>
      <c r="AD33" s="4"/>
      <c r="AE33" s="4"/>
      <c r="AF33" s="4"/>
      <c r="AG33" s="4"/>
      <c r="AH33" s="4">
        <f t="shared" si="11"/>
        <v>0</v>
      </c>
      <c r="AI33" s="4">
        <f t="shared" si="12"/>
        <v>5230000</v>
      </c>
      <c r="AJ33" s="4">
        <v>2500000</v>
      </c>
      <c r="AK33" s="4">
        <f t="shared" si="26"/>
        <v>2620000</v>
      </c>
      <c r="AL33" s="4"/>
      <c r="AM33" s="3"/>
      <c r="AN33" s="210">
        <v>110000</v>
      </c>
      <c r="AO33" s="4">
        <v>5230000</v>
      </c>
      <c r="AP33" s="4">
        <v>3045498</v>
      </c>
      <c r="AQ33" s="314"/>
      <c r="AR33" s="4">
        <f t="shared" si="23"/>
        <v>5230000</v>
      </c>
      <c r="AS33" s="4">
        <f>AP33</f>
        <v>3045498</v>
      </c>
      <c r="AT33" s="173">
        <f t="shared" si="14"/>
        <v>8275498</v>
      </c>
      <c r="AU33" s="173">
        <f t="shared" si="15"/>
        <v>1999999.7699999996</v>
      </c>
      <c r="AV33" s="173">
        <f t="shared" si="16"/>
        <v>5230000.2300000004</v>
      </c>
      <c r="AW33" s="4">
        <v>2500000</v>
      </c>
      <c r="AX33" s="4">
        <f t="shared" si="17"/>
        <v>2620000.2300000004</v>
      </c>
      <c r="AY33" s="4"/>
      <c r="AZ33" s="4"/>
      <c r="BA33" s="4">
        <v>110000</v>
      </c>
      <c r="BB33" s="173">
        <f t="shared" si="18"/>
        <v>0.22999999998137355</v>
      </c>
      <c r="BC33" s="4">
        <f t="shared" si="19"/>
        <v>5230000</v>
      </c>
      <c r="BD33" s="4">
        <v>5230000</v>
      </c>
      <c r="BE33" s="4">
        <v>-110000</v>
      </c>
      <c r="BF33" s="4"/>
      <c r="BG33" s="4"/>
      <c r="BH33" s="4">
        <f t="shared" si="25"/>
        <v>5120000</v>
      </c>
      <c r="BI33" s="3"/>
      <c r="BJ33" s="4">
        <f t="shared" si="20"/>
        <v>5120000</v>
      </c>
      <c r="BK33" s="4">
        <f t="shared" si="21"/>
        <v>110000.23000000045</v>
      </c>
      <c r="BL33" s="4">
        <v>2500000</v>
      </c>
      <c r="BM33" s="4">
        <f t="shared" si="22"/>
        <v>2620000</v>
      </c>
      <c r="BN33" s="4"/>
      <c r="BO33" s="4"/>
      <c r="BP33" s="4"/>
    </row>
    <row r="34" spans="1:68" s="5" customFormat="1" ht="30" customHeight="1">
      <c r="A34" s="3">
        <v>29</v>
      </c>
      <c r="B34" s="3">
        <v>1968</v>
      </c>
      <c r="C34" s="3" t="s">
        <v>160</v>
      </c>
      <c r="D34" s="4">
        <v>1950000</v>
      </c>
      <c r="E34" s="4">
        <v>1950000</v>
      </c>
      <c r="F34" s="4">
        <f t="shared" si="0"/>
        <v>0</v>
      </c>
      <c r="G34" s="4">
        <v>1850000</v>
      </c>
      <c r="H34" s="4">
        <v>1311487.43</v>
      </c>
      <c r="I34" s="4"/>
      <c r="J34" s="4">
        <v>453160.08</v>
      </c>
      <c r="K34" s="4">
        <f t="shared" si="5"/>
        <v>453160.08</v>
      </c>
      <c r="L34" s="4">
        <f t="shared" si="6"/>
        <v>1764647.51</v>
      </c>
      <c r="M34" s="4">
        <f t="shared" si="28"/>
        <v>85352.489999999991</v>
      </c>
      <c r="N34" s="4">
        <v>300000</v>
      </c>
      <c r="O34" s="4">
        <f t="shared" si="7"/>
        <v>100000</v>
      </c>
      <c r="P34" s="4">
        <f t="shared" si="8"/>
        <v>0</v>
      </c>
      <c r="Q34" s="4">
        <f t="shared" si="2"/>
        <v>85352.489999999991</v>
      </c>
      <c r="R34" s="4"/>
      <c r="S34" s="4"/>
      <c r="T34" s="4">
        <f t="shared" si="9"/>
        <v>0</v>
      </c>
      <c r="U34" s="4">
        <f t="shared" si="3"/>
        <v>0</v>
      </c>
      <c r="V34" s="4">
        <f t="shared" si="4"/>
        <v>300000</v>
      </c>
      <c r="W34" s="4"/>
      <c r="X34" s="4">
        <f t="shared" si="10"/>
        <v>300000</v>
      </c>
      <c r="Y34" s="4"/>
      <c r="Z34" s="4"/>
      <c r="AA34" s="3"/>
      <c r="AB34" s="3" t="s">
        <v>718</v>
      </c>
      <c r="AC34" s="3">
        <v>848500</v>
      </c>
      <c r="AD34" s="4">
        <v>150000</v>
      </c>
      <c r="AE34" s="4"/>
      <c r="AF34" s="4">
        <v>50000</v>
      </c>
      <c r="AG34" s="4"/>
      <c r="AH34" s="4">
        <f t="shared" si="11"/>
        <v>200000</v>
      </c>
      <c r="AI34" s="4">
        <f t="shared" si="12"/>
        <v>100000</v>
      </c>
      <c r="AJ34" s="4"/>
      <c r="AK34" s="4">
        <f t="shared" si="26"/>
        <v>100000</v>
      </c>
      <c r="AL34" s="379"/>
      <c r="AM34" s="3"/>
      <c r="AN34" s="3"/>
      <c r="AO34" s="4"/>
      <c r="AP34" s="4"/>
      <c r="AQ34" s="314"/>
      <c r="AR34" s="4">
        <f t="shared" si="23"/>
        <v>0</v>
      </c>
      <c r="AS34" s="4">
        <v>5352</v>
      </c>
      <c r="AT34" s="173">
        <f t="shared" si="14"/>
        <v>5352</v>
      </c>
      <c r="AU34" s="173">
        <f t="shared" si="15"/>
        <v>180000.49</v>
      </c>
      <c r="AV34" s="173">
        <f t="shared" si="16"/>
        <v>-80000.489999999991</v>
      </c>
      <c r="AW34" s="3"/>
      <c r="AX34" s="4">
        <f t="shared" si="17"/>
        <v>-80000.489999999991</v>
      </c>
      <c r="AY34" s="3"/>
      <c r="AZ34" s="3"/>
      <c r="BA34" s="3"/>
      <c r="BB34" s="173">
        <f t="shared" si="18"/>
        <v>-80000.489999999991</v>
      </c>
      <c r="BC34" s="4">
        <f t="shared" si="19"/>
        <v>0</v>
      </c>
      <c r="BD34" s="4">
        <v>-80000</v>
      </c>
      <c r="BE34" s="4"/>
      <c r="BF34" s="4"/>
      <c r="BG34" s="4"/>
      <c r="BH34" s="4">
        <f t="shared" si="25"/>
        <v>-80000</v>
      </c>
      <c r="BI34" s="3"/>
      <c r="BJ34" s="4">
        <f t="shared" si="20"/>
        <v>-80000</v>
      </c>
      <c r="BK34" s="4">
        <f t="shared" si="21"/>
        <v>-0.48999999999068677</v>
      </c>
      <c r="BL34" s="4"/>
      <c r="BM34" s="4">
        <f t="shared" si="22"/>
        <v>-80000</v>
      </c>
      <c r="BN34" s="4"/>
      <c r="BO34" s="4"/>
      <c r="BP34" s="4"/>
    </row>
    <row r="35" spans="1:68" s="5" customFormat="1" ht="30" customHeight="1">
      <c r="A35" s="3">
        <v>30</v>
      </c>
      <c r="B35" s="3">
        <v>1970</v>
      </c>
      <c r="C35" s="3" t="s">
        <v>172</v>
      </c>
      <c r="D35" s="4">
        <v>34200000</v>
      </c>
      <c r="E35" s="4">
        <v>34200000</v>
      </c>
      <c r="F35" s="4">
        <f>D35-E35</f>
        <v>0</v>
      </c>
      <c r="G35" s="4">
        <v>24802000</v>
      </c>
      <c r="H35" s="4">
        <v>19179985.050000001</v>
      </c>
      <c r="I35" s="4">
        <v>322949.84999999998</v>
      </c>
      <c r="J35" s="4">
        <f>3620395.07</f>
        <v>3620395.07</v>
      </c>
      <c r="K35" s="4">
        <f t="shared" si="5"/>
        <v>3943344.92</v>
      </c>
      <c r="L35" s="4">
        <f t="shared" si="6"/>
        <v>23123329.969999999</v>
      </c>
      <c r="M35" s="4">
        <f t="shared" si="28"/>
        <v>1678670.0300000012</v>
      </c>
      <c r="N35" s="4">
        <f>13500000-7500000-1000000+1000000</f>
        <v>6000000</v>
      </c>
      <c r="O35" s="4">
        <f t="shared" si="7"/>
        <v>1898000</v>
      </c>
      <c r="P35" s="4">
        <f t="shared" si="8"/>
        <v>7500000</v>
      </c>
      <c r="Q35" s="4">
        <f t="shared" si="2"/>
        <v>1678670.0300000012</v>
      </c>
      <c r="R35" s="4"/>
      <c r="S35" s="4"/>
      <c r="T35" s="4">
        <f t="shared" si="9"/>
        <v>0</v>
      </c>
      <c r="U35" s="4">
        <f t="shared" si="3"/>
        <v>0</v>
      </c>
      <c r="V35" s="4">
        <f t="shared" si="4"/>
        <v>6000000</v>
      </c>
      <c r="W35" s="4"/>
      <c r="X35" s="4">
        <f t="shared" si="10"/>
        <v>6000000</v>
      </c>
      <c r="Y35" s="4"/>
      <c r="Z35" s="4"/>
      <c r="AA35" s="3"/>
      <c r="AB35" s="3" t="s">
        <v>852</v>
      </c>
      <c r="AC35" s="3">
        <v>810000</v>
      </c>
      <c r="AD35" s="4">
        <v>2058000</v>
      </c>
      <c r="AE35" s="4">
        <v>200000</v>
      </c>
      <c r="AF35" s="4">
        <v>1844000</v>
      </c>
      <c r="AG35" s="4"/>
      <c r="AH35" s="4">
        <f t="shared" si="11"/>
        <v>4102000</v>
      </c>
      <c r="AI35" s="4">
        <f t="shared" si="12"/>
        <v>1898000</v>
      </c>
      <c r="AJ35" s="4"/>
      <c r="AK35" s="4">
        <f t="shared" si="26"/>
        <v>1898000</v>
      </c>
      <c r="AL35" s="379"/>
      <c r="AM35" s="3"/>
      <c r="AN35" s="3"/>
      <c r="AO35" s="4">
        <v>1898000</v>
      </c>
      <c r="AP35" s="4">
        <v>1678670</v>
      </c>
      <c r="AQ35" s="646" t="s">
        <v>1074</v>
      </c>
      <c r="AR35" s="4">
        <f t="shared" si="23"/>
        <v>1898000</v>
      </c>
      <c r="AS35" s="4">
        <f>AP35</f>
        <v>1678670</v>
      </c>
      <c r="AT35" s="173">
        <f t="shared" si="14"/>
        <v>3576670</v>
      </c>
      <c r="AU35" s="173">
        <f t="shared" si="15"/>
        <v>7500000.0300000012</v>
      </c>
      <c r="AV35" s="173">
        <f t="shared" si="16"/>
        <v>1897999.9699999988</v>
      </c>
      <c r="AW35" s="3"/>
      <c r="AX35" s="4">
        <f t="shared" si="17"/>
        <v>1897999.9699999988</v>
      </c>
      <c r="AY35" s="3"/>
      <c r="AZ35" s="3"/>
      <c r="BA35" s="3"/>
      <c r="BB35" s="173">
        <f t="shared" si="18"/>
        <v>-3.0000001192092896E-2</v>
      </c>
      <c r="BC35" s="4">
        <f t="shared" si="19"/>
        <v>1898000</v>
      </c>
      <c r="BD35" s="4">
        <v>1898000</v>
      </c>
      <c r="BE35" s="4"/>
      <c r="BF35" s="4"/>
      <c r="BG35" s="4"/>
      <c r="BH35" s="4">
        <f t="shared" si="25"/>
        <v>1898000</v>
      </c>
      <c r="BI35" s="3"/>
      <c r="BJ35" s="4">
        <f t="shared" si="20"/>
        <v>1898000</v>
      </c>
      <c r="BK35" s="4">
        <f t="shared" si="21"/>
        <v>-3.0000001192092896E-2</v>
      </c>
      <c r="BL35" s="4"/>
      <c r="BM35" s="4">
        <f t="shared" si="22"/>
        <v>1898000</v>
      </c>
      <c r="BN35" s="4"/>
      <c r="BO35" s="4"/>
      <c r="BP35" s="4"/>
    </row>
    <row r="36" spans="1:68" s="5" customFormat="1" ht="30" customHeight="1">
      <c r="A36" s="3">
        <v>31</v>
      </c>
      <c r="B36" s="3">
        <v>2001</v>
      </c>
      <c r="C36" s="3" t="s">
        <v>181</v>
      </c>
      <c r="D36" s="4">
        <v>18500000</v>
      </c>
      <c r="E36" s="4">
        <v>18500000</v>
      </c>
      <c r="F36" s="4">
        <f>D36-E36</f>
        <v>0</v>
      </c>
      <c r="G36" s="4">
        <v>9498700</v>
      </c>
      <c r="H36" s="4">
        <v>202037.85</v>
      </c>
      <c r="I36" s="4">
        <v>626186.59</v>
      </c>
      <c r="J36" s="4">
        <v>56068.53</v>
      </c>
      <c r="K36" s="4">
        <f t="shared" si="5"/>
        <v>682255.12</v>
      </c>
      <c r="L36" s="4">
        <f t="shared" si="6"/>
        <v>884292.97</v>
      </c>
      <c r="M36" s="4">
        <f t="shared" si="28"/>
        <v>8614407.0299999993</v>
      </c>
      <c r="N36" s="4">
        <v>17501300</v>
      </c>
      <c r="O36" s="4">
        <f t="shared" si="7"/>
        <v>9001300</v>
      </c>
      <c r="P36" s="4">
        <f t="shared" si="8"/>
        <v>0</v>
      </c>
      <c r="Q36" s="4">
        <f t="shared" si="2"/>
        <v>8614407.0299999993</v>
      </c>
      <c r="R36" s="4"/>
      <c r="S36" s="4"/>
      <c r="T36" s="4">
        <f t="shared" si="9"/>
        <v>0</v>
      </c>
      <c r="U36" s="4">
        <f t="shared" si="3"/>
        <v>0</v>
      </c>
      <c r="V36" s="4">
        <f t="shared" si="4"/>
        <v>17501300</v>
      </c>
      <c r="W36" s="4">
        <f>V36-X36-Y36-Z36-AA36</f>
        <v>8500000</v>
      </c>
      <c r="X36" s="4"/>
      <c r="Y36" s="4"/>
      <c r="Z36" s="4"/>
      <c r="AA36" s="4">
        <v>9001300</v>
      </c>
      <c r="AB36" s="3" t="s">
        <v>719</v>
      </c>
      <c r="AC36" s="3">
        <v>810000</v>
      </c>
      <c r="AD36" s="4"/>
      <c r="AE36" s="4">
        <v>8500000</v>
      </c>
      <c r="AF36" s="4"/>
      <c r="AG36" s="4"/>
      <c r="AH36" s="4">
        <f t="shared" si="11"/>
        <v>8500000</v>
      </c>
      <c r="AI36" s="4">
        <f t="shared" si="12"/>
        <v>9001300</v>
      </c>
      <c r="AJ36" s="4">
        <f>AI36-AN36</f>
        <v>0</v>
      </c>
      <c r="AK36" s="4"/>
      <c r="AL36" s="4"/>
      <c r="AM36" s="3"/>
      <c r="AN36" s="210">
        <v>9001300</v>
      </c>
      <c r="AO36" s="4"/>
      <c r="AP36" s="4"/>
      <c r="AQ36" s="646" t="s">
        <v>1075</v>
      </c>
      <c r="AR36" s="4">
        <f t="shared" si="23"/>
        <v>0</v>
      </c>
      <c r="AS36" s="4">
        <v>14407</v>
      </c>
      <c r="AT36" s="173">
        <f t="shared" si="14"/>
        <v>14407</v>
      </c>
      <c r="AU36" s="173">
        <f t="shared" si="15"/>
        <v>17601300.030000001</v>
      </c>
      <c r="AV36" s="173">
        <f t="shared" si="16"/>
        <v>-8600000.0299999993</v>
      </c>
      <c r="AW36" s="4">
        <v>-8600000</v>
      </c>
      <c r="AX36" s="4">
        <f t="shared" si="17"/>
        <v>-2.9999999329447746E-2</v>
      </c>
      <c r="AY36" s="3"/>
      <c r="AZ36" s="3"/>
      <c r="BA36" s="3"/>
      <c r="BB36" s="173">
        <f t="shared" si="18"/>
        <v>-8600000.0299999993</v>
      </c>
      <c r="BC36" s="4">
        <f t="shared" si="19"/>
        <v>0</v>
      </c>
      <c r="BD36" s="4">
        <v>-8600000</v>
      </c>
      <c r="BE36" s="4"/>
      <c r="BF36" s="4"/>
      <c r="BG36" s="4"/>
      <c r="BH36" s="4">
        <f t="shared" si="25"/>
        <v>-8600000</v>
      </c>
      <c r="BI36" s="3"/>
      <c r="BJ36" s="4">
        <f t="shared" si="20"/>
        <v>-8600000</v>
      </c>
      <c r="BK36" s="4">
        <f t="shared" si="21"/>
        <v>-2.9999999329447746E-2</v>
      </c>
      <c r="BL36" s="4">
        <v>-8600000</v>
      </c>
      <c r="BM36" s="4">
        <f t="shared" si="22"/>
        <v>0</v>
      </c>
      <c r="BN36" s="4"/>
      <c r="BO36" s="4"/>
      <c r="BP36" s="4"/>
    </row>
    <row r="37" spans="1:68" s="5" customFormat="1" ht="30" customHeight="1">
      <c r="A37" s="3">
        <v>32</v>
      </c>
      <c r="B37" s="3">
        <v>2027</v>
      </c>
      <c r="C37" s="3" t="s">
        <v>410</v>
      </c>
      <c r="D37" s="4">
        <v>1930000</v>
      </c>
      <c r="E37" s="4">
        <v>1930000</v>
      </c>
      <c r="F37" s="4">
        <f t="shared" si="0"/>
        <v>0</v>
      </c>
      <c r="G37" s="4">
        <v>1930000</v>
      </c>
      <c r="H37" s="4">
        <v>1800051.15</v>
      </c>
      <c r="I37" s="4"/>
      <c r="J37" s="4">
        <v>100846.73</v>
      </c>
      <c r="K37" s="4">
        <f t="shared" si="5"/>
        <v>100846.73</v>
      </c>
      <c r="L37" s="4">
        <f t="shared" si="6"/>
        <v>1900897.88</v>
      </c>
      <c r="M37" s="4">
        <f t="shared" si="28"/>
        <v>29102.120000000112</v>
      </c>
      <c r="N37" s="4"/>
      <c r="O37" s="4">
        <f t="shared" si="7"/>
        <v>0</v>
      </c>
      <c r="P37" s="4">
        <f t="shared" si="8"/>
        <v>0</v>
      </c>
      <c r="Q37" s="4">
        <f t="shared" si="2"/>
        <v>29102.120000000112</v>
      </c>
      <c r="R37" s="279"/>
      <c r="S37" s="4"/>
      <c r="T37" s="279">
        <f t="shared" si="9"/>
        <v>0</v>
      </c>
      <c r="U37" s="4">
        <f t="shared" si="3"/>
        <v>0</v>
      </c>
      <c r="V37" s="4">
        <f t="shared" si="4"/>
        <v>0</v>
      </c>
      <c r="W37" s="4"/>
      <c r="X37" s="4">
        <f t="shared" si="10"/>
        <v>0</v>
      </c>
      <c r="Y37" s="4"/>
      <c r="Z37" s="4"/>
      <c r="AA37" s="3"/>
      <c r="AB37" s="3"/>
      <c r="AC37" s="3">
        <v>810000</v>
      </c>
      <c r="AD37" s="4"/>
      <c r="AE37" s="4"/>
      <c r="AF37" s="4"/>
      <c r="AG37" s="4"/>
      <c r="AH37" s="4">
        <f t="shared" si="11"/>
        <v>0</v>
      </c>
      <c r="AI37" s="4">
        <f t="shared" si="12"/>
        <v>0</v>
      </c>
      <c r="AJ37" s="4"/>
      <c r="AK37" s="4">
        <f t="shared" si="26"/>
        <v>0</v>
      </c>
      <c r="AL37" s="379"/>
      <c r="AM37" s="3"/>
      <c r="AN37" s="3"/>
      <c r="AO37" s="4"/>
      <c r="AP37" s="4"/>
      <c r="AQ37" s="314"/>
      <c r="AR37" s="4">
        <f t="shared" si="23"/>
        <v>0</v>
      </c>
      <c r="AS37" s="4">
        <v>102</v>
      </c>
      <c r="AT37" s="173">
        <f t="shared" si="14"/>
        <v>102</v>
      </c>
      <c r="AU37" s="173">
        <f t="shared" si="15"/>
        <v>29000.120000000112</v>
      </c>
      <c r="AV37" s="173">
        <f t="shared" si="16"/>
        <v>-29000.120000000112</v>
      </c>
      <c r="AW37" s="3"/>
      <c r="AX37" s="4">
        <f t="shared" si="17"/>
        <v>-29000.120000000112</v>
      </c>
      <c r="AY37" s="3"/>
      <c r="AZ37" s="3"/>
      <c r="BA37" s="3"/>
      <c r="BB37" s="173">
        <f t="shared" si="18"/>
        <v>-29000.120000000112</v>
      </c>
      <c r="BC37" s="4">
        <f t="shared" si="19"/>
        <v>0</v>
      </c>
      <c r="BD37" s="4">
        <v>-29000</v>
      </c>
      <c r="BE37" s="4"/>
      <c r="BF37" s="4"/>
      <c r="BG37" s="4"/>
      <c r="BH37" s="4">
        <f t="shared" si="25"/>
        <v>-29000</v>
      </c>
      <c r="BI37" s="3"/>
      <c r="BJ37" s="4">
        <f t="shared" si="20"/>
        <v>-29000</v>
      </c>
      <c r="BK37" s="4">
        <f t="shared" si="21"/>
        <v>-0.12000000011175871</v>
      </c>
      <c r="BL37" s="4"/>
      <c r="BM37" s="4">
        <f t="shared" si="22"/>
        <v>-29000</v>
      </c>
      <c r="BN37" s="4"/>
      <c r="BO37" s="4"/>
      <c r="BP37" s="4"/>
    </row>
    <row r="38" spans="1:68" s="5" customFormat="1" ht="30" customHeight="1">
      <c r="A38" s="3">
        <v>33</v>
      </c>
      <c r="B38" s="3">
        <v>2028</v>
      </c>
      <c r="C38" s="3" t="s">
        <v>411</v>
      </c>
      <c r="D38" s="4">
        <v>2200000</v>
      </c>
      <c r="E38" s="4">
        <v>2200000</v>
      </c>
      <c r="F38" s="4">
        <f t="shared" si="0"/>
        <v>0</v>
      </c>
      <c r="G38" s="4">
        <v>2200000</v>
      </c>
      <c r="H38" s="4">
        <v>1669209.55</v>
      </c>
      <c r="I38" s="4">
        <v>85040.53</v>
      </c>
      <c r="J38" s="4">
        <v>5382</v>
      </c>
      <c r="K38" s="4">
        <f t="shared" si="5"/>
        <v>90422.53</v>
      </c>
      <c r="L38" s="4">
        <f t="shared" si="6"/>
        <v>1759632.08</v>
      </c>
      <c r="M38" s="4">
        <f t="shared" si="28"/>
        <v>440367.91999999993</v>
      </c>
      <c r="N38" s="4">
        <v>400000</v>
      </c>
      <c r="O38" s="4">
        <f t="shared" si="7"/>
        <v>0</v>
      </c>
      <c r="P38" s="4">
        <f t="shared" si="8"/>
        <v>0</v>
      </c>
      <c r="Q38" s="4">
        <f t="shared" si="2"/>
        <v>440367.91999999993</v>
      </c>
      <c r="R38" s="4"/>
      <c r="S38" s="4"/>
      <c r="T38" s="4">
        <f t="shared" si="9"/>
        <v>0</v>
      </c>
      <c r="U38" s="4">
        <f t="shared" si="3"/>
        <v>0</v>
      </c>
      <c r="V38" s="4">
        <f t="shared" si="4"/>
        <v>400000</v>
      </c>
      <c r="W38" s="4"/>
      <c r="X38" s="4">
        <f t="shared" si="10"/>
        <v>400000</v>
      </c>
      <c r="Y38" s="4"/>
      <c r="Z38" s="4"/>
      <c r="AA38" s="3"/>
      <c r="AB38" s="3" t="s">
        <v>720</v>
      </c>
      <c r="AC38" s="3">
        <v>810000</v>
      </c>
      <c r="AD38" s="4">
        <v>400000</v>
      </c>
      <c r="AE38" s="4"/>
      <c r="AF38" s="4"/>
      <c r="AG38" s="4"/>
      <c r="AH38" s="4">
        <f t="shared" si="11"/>
        <v>400000</v>
      </c>
      <c r="AI38" s="4">
        <f t="shared" si="12"/>
        <v>0</v>
      </c>
      <c r="AJ38" s="4"/>
      <c r="AK38" s="4">
        <f t="shared" si="26"/>
        <v>0</v>
      </c>
      <c r="AL38" s="4"/>
      <c r="AM38" s="3"/>
      <c r="AN38" s="3"/>
      <c r="AO38" s="4"/>
      <c r="AP38" s="4">
        <v>440368</v>
      </c>
      <c r="AQ38" s="646" t="s">
        <v>1076</v>
      </c>
      <c r="AR38" s="4">
        <f t="shared" si="23"/>
        <v>0</v>
      </c>
      <c r="AS38" s="4">
        <f>AP38</f>
        <v>440368</v>
      </c>
      <c r="AT38" s="173">
        <f t="shared" si="14"/>
        <v>440368</v>
      </c>
      <c r="AU38" s="173">
        <f t="shared" si="15"/>
        <v>-8.0000000074505806E-2</v>
      </c>
      <c r="AV38" s="173">
        <f t="shared" si="16"/>
        <v>8.0000000074505806E-2</v>
      </c>
      <c r="AW38" s="3"/>
      <c r="AX38" s="4">
        <f t="shared" si="17"/>
        <v>8.0000000074505806E-2</v>
      </c>
      <c r="AY38" s="3"/>
      <c r="AZ38" s="3"/>
      <c r="BA38" s="3"/>
      <c r="BB38" s="173">
        <f t="shared" si="18"/>
        <v>8.0000000074505806E-2</v>
      </c>
      <c r="BC38" s="4">
        <f t="shared" si="19"/>
        <v>0</v>
      </c>
      <c r="BD38" s="4">
        <v>0</v>
      </c>
      <c r="BE38" s="4"/>
      <c r="BF38" s="4"/>
      <c r="BG38" s="4"/>
      <c r="BH38" s="4">
        <f t="shared" si="25"/>
        <v>0</v>
      </c>
      <c r="BI38" s="3"/>
      <c r="BJ38" s="4">
        <f t="shared" si="20"/>
        <v>0</v>
      </c>
      <c r="BK38" s="4">
        <f t="shared" si="21"/>
        <v>8.0000000074505806E-2</v>
      </c>
      <c r="BL38" s="4"/>
      <c r="BM38" s="4">
        <f t="shared" si="22"/>
        <v>0</v>
      </c>
      <c r="BN38" s="4"/>
      <c r="BO38" s="4"/>
      <c r="BP38" s="4"/>
    </row>
    <row r="39" spans="1:68" s="5" customFormat="1" ht="30" customHeight="1">
      <c r="A39" s="3">
        <v>34</v>
      </c>
      <c r="B39" s="3">
        <v>2029</v>
      </c>
      <c r="C39" s="3" t="s">
        <v>412</v>
      </c>
      <c r="D39" s="4">
        <v>300000</v>
      </c>
      <c r="E39" s="4">
        <v>300000</v>
      </c>
      <c r="F39" s="4">
        <f t="shared" si="0"/>
        <v>0</v>
      </c>
      <c r="G39" s="4">
        <v>300000</v>
      </c>
      <c r="H39" s="4">
        <v>0</v>
      </c>
      <c r="I39" s="4"/>
      <c r="J39" s="4">
        <v>4534</v>
      </c>
      <c r="K39" s="4">
        <f t="shared" si="5"/>
        <v>4534</v>
      </c>
      <c r="L39" s="4">
        <f t="shared" si="6"/>
        <v>4534</v>
      </c>
      <c r="M39" s="4">
        <f t="shared" si="28"/>
        <v>295466</v>
      </c>
      <c r="N39" s="4"/>
      <c r="O39" s="4">
        <f t="shared" si="7"/>
        <v>0</v>
      </c>
      <c r="P39" s="4">
        <f t="shared" si="8"/>
        <v>0</v>
      </c>
      <c r="Q39" s="4">
        <f t="shared" si="2"/>
        <v>295466</v>
      </c>
      <c r="R39" s="4"/>
      <c r="S39" s="4"/>
      <c r="T39" s="4">
        <f t="shared" si="9"/>
        <v>0</v>
      </c>
      <c r="U39" s="4">
        <f t="shared" si="3"/>
        <v>0</v>
      </c>
      <c r="V39" s="4">
        <f t="shared" si="4"/>
        <v>0</v>
      </c>
      <c r="W39" s="4"/>
      <c r="X39" s="4">
        <f t="shared" si="10"/>
        <v>0</v>
      </c>
      <c r="Y39" s="4"/>
      <c r="Z39" s="4"/>
      <c r="AA39" s="3"/>
      <c r="AB39" s="3" t="s">
        <v>931</v>
      </c>
      <c r="AC39" s="3">
        <v>850000</v>
      </c>
      <c r="AD39" s="4"/>
      <c r="AE39" s="4"/>
      <c r="AF39" s="4"/>
      <c r="AG39" s="4"/>
      <c r="AH39" s="4">
        <f t="shared" si="11"/>
        <v>0</v>
      </c>
      <c r="AI39" s="4">
        <f t="shared" si="12"/>
        <v>0</v>
      </c>
      <c r="AJ39" s="4"/>
      <c r="AK39" s="4">
        <f t="shared" si="26"/>
        <v>0</v>
      </c>
      <c r="AL39" s="4"/>
      <c r="AM39" s="3"/>
      <c r="AN39" s="3"/>
      <c r="AO39" s="4"/>
      <c r="AP39" s="4"/>
      <c r="AQ39" s="314"/>
      <c r="AR39" s="4">
        <f t="shared" si="23"/>
        <v>0</v>
      </c>
      <c r="AS39" s="4">
        <v>5466</v>
      </c>
      <c r="AT39" s="173">
        <f t="shared" si="14"/>
        <v>5466</v>
      </c>
      <c r="AU39" s="173">
        <f t="shared" si="15"/>
        <v>290000</v>
      </c>
      <c r="AV39" s="173">
        <f t="shared" si="16"/>
        <v>-290000</v>
      </c>
      <c r="AW39" s="3"/>
      <c r="AX39" s="4">
        <f t="shared" si="17"/>
        <v>-290000</v>
      </c>
      <c r="AY39" s="3"/>
      <c r="AZ39" s="3"/>
      <c r="BA39" s="3"/>
      <c r="BB39" s="173">
        <f t="shared" si="18"/>
        <v>-290000</v>
      </c>
      <c r="BC39" s="4">
        <f t="shared" si="19"/>
        <v>0</v>
      </c>
      <c r="BD39" s="4">
        <v>-290000</v>
      </c>
      <c r="BE39" s="4"/>
      <c r="BF39" s="4"/>
      <c r="BG39" s="4"/>
      <c r="BH39" s="4">
        <f t="shared" si="25"/>
        <v>-290000</v>
      </c>
      <c r="BI39" s="3"/>
      <c r="BJ39" s="4">
        <f t="shared" si="20"/>
        <v>-290000</v>
      </c>
      <c r="BK39" s="4">
        <f t="shared" si="21"/>
        <v>0</v>
      </c>
      <c r="BL39" s="4"/>
      <c r="BM39" s="4">
        <f t="shared" si="22"/>
        <v>-290000</v>
      </c>
      <c r="BN39" s="4"/>
      <c r="BO39" s="4"/>
      <c r="BP39" s="4"/>
    </row>
    <row r="40" spans="1:68" s="5" customFormat="1" ht="30" customHeight="1">
      <c r="A40" s="3">
        <v>35</v>
      </c>
      <c r="B40" s="3">
        <v>2030</v>
      </c>
      <c r="C40" s="3" t="s">
        <v>329</v>
      </c>
      <c r="D40" s="4">
        <v>31500000</v>
      </c>
      <c r="E40" s="4">
        <v>31500000</v>
      </c>
      <c r="F40" s="4">
        <f t="shared" si="0"/>
        <v>0</v>
      </c>
      <c r="G40" s="4">
        <v>11000000</v>
      </c>
      <c r="H40" s="4">
        <v>2061252.78</v>
      </c>
      <c r="I40" s="4">
        <v>5480195.0999999996</v>
      </c>
      <c r="J40" s="4">
        <v>1199988.76</v>
      </c>
      <c r="K40" s="4">
        <f t="shared" si="5"/>
        <v>6680183.8599999994</v>
      </c>
      <c r="L40" s="4">
        <f t="shared" si="6"/>
        <v>8741436.6399999987</v>
      </c>
      <c r="M40" s="4">
        <f t="shared" si="28"/>
        <v>2258563.3600000013</v>
      </c>
      <c r="N40" s="4">
        <v>8000000</v>
      </c>
      <c r="O40" s="4">
        <f t="shared" si="7"/>
        <v>8000000</v>
      </c>
      <c r="P40" s="4">
        <f t="shared" si="8"/>
        <v>12500000</v>
      </c>
      <c r="Q40" s="4">
        <f t="shared" si="2"/>
        <v>2258563.3600000013</v>
      </c>
      <c r="R40" s="4"/>
      <c r="S40" s="4"/>
      <c r="T40" s="4">
        <f t="shared" si="9"/>
        <v>0</v>
      </c>
      <c r="U40" s="4">
        <f t="shared" si="3"/>
        <v>0</v>
      </c>
      <c r="V40" s="4">
        <f t="shared" si="4"/>
        <v>8000000</v>
      </c>
      <c r="W40" s="4">
        <f>V40-X40-Y40-Z40-AA40</f>
        <v>8000000</v>
      </c>
      <c r="X40" s="4"/>
      <c r="Y40" s="4"/>
      <c r="Z40" s="4"/>
      <c r="AA40" s="4"/>
      <c r="AB40" s="3" t="s">
        <v>907</v>
      </c>
      <c r="AC40" s="3">
        <v>810000</v>
      </c>
      <c r="AD40" s="4"/>
      <c r="AE40" s="4"/>
      <c r="AF40" s="4"/>
      <c r="AG40" s="4"/>
      <c r="AH40" s="4">
        <f t="shared" si="11"/>
        <v>0</v>
      </c>
      <c r="AI40" s="4">
        <f t="shared" si="12"/>
        <v>8000000</v>
      </c>
      <c r="AJ40" s="4">
        <f>AI40-AN40</f>
        <v>8000000</v>
      </c>
      <c r="AK40" s="4"/>
      <c r="AL40" s="4"/>
      <c r="AM40" s="3"/>
      <c r="AN40" s="3"/>
      <c r="AO40" s="4"/>
      <c r="AP40" s="4">
        <v>500000</v>
      </c>
      <c r="AQ40" s="646" t="s">
        <v>1077</v>
      </c>
      <c r="AR40" s="4">
        <f t="shared" si="23"/>
        <v>0</v>
      </c>
      <c r="AS40" s="4">
        <f>558563+0.5</f>
        <v>558563.5</v>
      </c>
      <c r="AT40" s="173">
        <f t="shared" si="14"/>
        <v>558563.5</v>
      </c>
      <c r="AU40" s="173">
        <f t="shared" si="15"/>
        <v>22199999.859999999</v>
      </c>
      <c r="AV40" s="173">
        <f t="shared" si="16"/>
        <v>-1699999.8600000013</v>
      </c>
      <c r="AW40" s="4">
        <v>-1700000</v>
      </c>
      <c r="AX40" s="4">
        <f t="shared" si="17"/>
        <v>0.1399999987334013</v>
      </c>
      <c r="AY40" s="3"/>
      <c r="AZ40" s="3"/>
      <c r="BA40" s="3"/>
      <c r="BB40" s="173">
        <f t="shared" si="18"/>
        <v>-1699999.8600000013</v>
      </c>
      <c r="BC40" s="4">
        <f t="shared" si="19"/>
        <v>0</v>
      </c>
      <c r="BD40" s="4">
        <v>-1700000</v>
      </c>
      <c r="BE40" s="4"/>
      <c r="BF40" s="4"/>
      <c r="BG40" s="4"/>
      <c r="BH40" s="4">
        <f t="shared" si="25"/>
        <v>-1700000</v>
      </c>
      <c r="BI40" s="3"/>
      <c r="BJ40" s="4">
        <f t="shared" si="20"/>
        <v>-1700000</v>
      </c>
      <c r="BK40" s="4">
        <f t="shared" si="21"/>
        <v>0.1399999987334013</v>
      </c>
      <c r="BL40" s="4">
        <v>-1700000</v>
      </c>
      <c r="BM40" s="4">
        <f t="shared" si="22"/>
        <v>0</v>
      </c>
      <c r="BN40" s="4"/>
      <c r="BO40" s="4"/>
      <c r="BP40" s="4"/>
    </row>
    <row r="41" spans="1:68" s="5" customFormat="1" ht="30" customHeight="1">
      <c r="A41" s="3">
        <v>36</v>
      </c>
      <c r="B41" s="3">
        <v>2063</v>
      </c>
      <c r="C41" s="3" t="s">
        <v>413</v>
      </c>
      <c r="D41" s="4">
        <v>1490000</v>
      </c>
      <c r="E41" s="4">
        <v>1490000</v>
      </c>
      <c r="F41" s="4">
        <f t="shared" si="0"/>
        <v>0</v>
      </c>
      <c r="G41" s="4">
        <v>1490000</v>
      </c>
      <c r="H41" s="4">
        <v>60470.12</v>
      </c>
      <c r="I41" s="4">
        <v>104551.2</v>
      </c>
      <c r="J41" s="4">
        <v>31297.5</v>
      </c>
      <c r="K41" s="4">
        <f t="shared" si="5"/>
        <v>135848.70000000001</v>
      </c>
      <c r="L41" s="4">
        <f t="shared" si="6"/>
        <v>196318.82</v>
      </c>
      <c r="M41" s="4">
        <f t="shared" si="28"/>
        <v>1293681.18</v>
      </c>
      <c r="N41" s="4"/>
      <c r="O41" s="4">
        <f t="shared" si="7"/>
        <v>0</v>
      </c>
      <c r="P41" s="4">
        <f t="shared" si="8"/>
        <v>0</v>
      </c>
      <c r="Q41" s="4">
        <f t="shared" si="2"/>
        <v>1293681.18</v>
      </c>
      <c r="R41" s="4"/>
      <c r="S41" s="4"/>
      <c r="T41" s="4">
        <f t="shared" si="9"/>
        <v>0</v>
      </c>
      <c r="U41" s="4">
        <f t="shared" si="3"/>
        <v>0</v>
      </c>
      <c r="V41" s="4">
        <f t="shared" si="4"/>
        <v>0</v>
      </c>
      <c r="W41" s="4"/>
      <c r="X41" s="4">
        <f t="shared" si="10"/>
        <v>0</v>
      </c>
      <c r="Y41" s="4"/>
      <c r="Z41" s="4"/>
      <c r="AA41" s="3"/>
      <c r="AB41" s="3" t="s">
        <v>932</v>
      </c>
      <c r="AC41" s="3">
        <v>810000</v>
      </c>
      <c r="AD41" s="4"/>
      <c r="AE41" s="4"/>
      <c r="AF41" s="4"/>
      <c r="AG41" s="4"/>
      <c r="AH41" s="4">
        <f t="shared" si="11"/>
        <v>0</v>
      </c>
      <c r="AI41" s="4">
        <f t="shared" si="12"/>
        <v>0</v>
      </c>
      <c r="AJ41" s="4"/>
      <c r="AK41" s="4">
        <f t="shared" si="26"/>
        <v>0</v>
      </c>
      <c r="AL41" s="4"/>
      <c r="AM41" s="3"/>
      <c r="AN41" s="3"/>
      <c r="AO41" s="4"/>
      <c r="AP41" s="4">
        <v>1293681</v>
      </c>
      <c r="AQ41" s="646" t="s">
        <v>1078</v>
      </c>
      <c r="AR41" s="4">
        <f t="shared" si="23"/>
        <v>0</v>
      </c>
      <c r="AS41" s="4">
        <f>3681+1290000</f>
        <v>1293681</v>
      </c>
      <c r="AT41" s="173">
        <f t="shared" si="14"/>
        <v>1293681</v>
      </c>
      <c r="AU41" s="173">
        <f t="shared" si="15"/>
        <v>0.17999999993480742</v>
      </c>
      <c r="AV41" s="173">
        <f t="shared" si="16"/>
        <v>-0.17999999993480742</v>
      </c>
      <c r="AW41" s="4"/>
      <c r="AX41" s="4">
        <f t="shared" si="17"/>
        <v>-0.17999999993480742</v>
      </c>
      <c r="AY41" s="3"/>
      <c r="AZ41" s="3"/>
      <c r="BA41" s="3"/>
      <c r="BB41" s="173">
        <f t="shared" si="18"/>
        <v>-0.17999999993480742</v>
      </c>
      <c r="BC41" s="4">
        <f t="shared" si="19"/>
        <v>0</v>
      </c>
      <c r="BD41" s="4">
        <v>0</v>
      </c>
      <c r="BE41" s="4"/>
      <c r="BF41" s="4"/>
      <c r="BG41" s="4"/>
      <c r="BH41" s="4">
        <f t="shared" si="25"/>
        <v>0</v>
      </c>
      <c r="BI41" s="3"/>
      <c r="BJ41" s="4">
        <f t="shared" si="20"/>
        <v>0</v>
      </c>
      <c r="BK41" s="4">
        <f t="shared" si="21"/>
        <v>-0.17999999993480742</v>
      </c>
      <c r="BL41" s="4"/>
      <c r="BM41" s="4">
        <f t="shared" si="22"/>
        <v>0</v>
      </c>
      <c r="BN41" s="4"/>
      <c r="BO41" s="4"/>
      <c r="BP41" s="4"/>
    </row>
    <row r="42" spans="1:68" s="5" customFormat="1" ht="30" customHeight="1">
      <c r="A42" s="3">
        <v>37</v>
      </c>
      <c r="B42" s="3">
        <v>2065</v>
      </c>
      <c r="C42" s="3" t="s">
        <v>1588</v>
      </c>
      <c r="D42" s="4">
        <v>700000</v>
      </c>
      <c r="E42" s="4">
        <v>700000</v>
      </c>
      <c r="F42" s="4">
        <f t="shared" si="0"/>
        <v>0</v>
      </c>
      <c r="G42" s="4">
        <v>700000</v>
      </c>
      <c r="H42" s="4">
        <v>682817.34</v>
      </c>
      <c r="I42" s="4"/>
      <c r="J42" s="4">
        <v>17129.39</v>
      </c>
      <c r="K42" s="4">
        <f t="shared" si="5"/>
        <v>17129.39</v>
      </c>
      <c r="L42" s="4">
        <f t="shared" si="6"/>
        <v>699946.73</v>
      </c>
      <c r="M42" s="4">
        <f t="shared" si="28"/>
        <v>53.270000000018626</v>
      </c>
      <c r="N42" s="4"/>
      <c r="O42" s="4">
        <f t="shared" si="7"/>
        <v>0</v>
      </c>
      <c r="P42" s="4">
        <f t="shared" si="8"/>
        <v>0</v>
      </c>
      <c r="Q42" s="4">
        <f t="shared" si="2"/>
        <v>53.270000000018626</v>
      </c>
      <c r="R42" s="4"/>
      <c r="S42" s="4"/>
      <c r="T42" s="4">
        <f t="shared" si="9"/>
        <v>0</v>
      </c>
      <c r="U42" s="4">
        <f t="shared" si="3"/>
        <v>0</v>
      </c>
      <c r="V42" s="4">
        <f t="shared" si="4"/>
        <v>0</v>
      </c>
      <c r="W42" s="4"/>
      <c r="X42" s="4">
        <f t="shared" si="10"/>
        <v>0</v>
      </c>
      <c r="Y42" s="4"/>
      <c r="Z42" s="4"/>
      <c r="AA42" s="3"/>
      <c r="AB42" s="3" t="s">
        <v>551</v>
      </c>
      <c r="AC42" s="3">
        <v>810000</v>
      </c>
      <c r="AD42" s="4"/>
      <c r="AE42" s="4"/>
      <c r="AF42" s="4"/>
      <c r="AG42" s="4"/>
      <c r="AH42" s="4">
        <f t="shared" si="11"/>
        <v>0</v>
      </c>
      <c r="AI42" s="4">
        <f t="shared" si="12"/>
        <v>0</v>
      </c>
      <c r="AJ42" s="4"/>
      <c r="AK42" s="4">
        <f t="shared" si="26"/>
        <v>0</v>
      </c>
      <c r="AL42" s="4"/>
      <c r="AM42" s="3"/>
      <c r="AN42" s="3"/>
      <c r="AO42" s="4"/>
      <c r="AP42" s="4"/>
      <c r="AQ42" s="314"/>
      <c r="AR42" s="4">
        <f t="shared" si="23"/>
        <v>0</v>
      </c>
      <c r="AS42" s="4">
        <v>53</v>
      </c>
      <c r="AT42" s="173">
        <f t="shared" si="14"/>
        <v>53</v>
      </c>
      <c r="AU42" s="173">
        <f t="shared" si="15"/>
        <v>0.27000000001862645</v>
      </c>
      <c r="AV42" s="173">
        <f t="shared" si="16"/>
        <v>-0.27000000001862645</v>
      </c>
      <c r="AW42" s="3"/>
      <c r="AX42" s="4">
        <f t="shared" si="17"/>
        <v>-0.27000000001862645</v>
      </c>
      <c r="AY42" s="3"/>
      <c r="AZ42" s="3"/>
      <c r="BA42" s="3"/>
      <c r="BB42" s="173">
        <f t="shared" si="18"/>
        <v>-0.27000000001862645</v>
      </c>
      <c r="BC42" s="4">
        <f t="shared" si="19"/>
        <v>0</v>
      </c>
      <c r="BD42" s="4">
        <v>0</v>
      </c>
      <c r="BE42" s="4"/>
      <c r="BF42" s="4"/>
      <c r="BG42" s="4"/>
      <c r="BH42" s="4">
        <f t="shared" si="25"/>
        <v>0</v>
      </c>
      <c r="BI42" s="3"/>
      <c r="BJ42" s="4">
        <f t="shared" si="20"/>
        <v>0</v>
      </c>
      <c r="BK42" s="4">
        <f t="shared" si="21"/>
        <v>-0.27000000001862645</v>
      </c>
      <c r="BL42" s="4"/>
      <c r="BM42" s="4">
        <f t="shared" si="22"/>
        <v>0</v>
      </c>
      <c r="BN42" s="4"/>
      <c r="BO42" s="4"/>
      <c r="BP42" s="4"/>
    </row>
    <row r="43" spans="1:68" s="5" customFormat="1" ht="30" customHeight="1">
      <c r="A43" s="3">
        <v>38</v>
      </c>
      <c r="B43" s="278">
        <v>2071</v>
      </c>
      <c r="C43" s="3" t="s">
        <v>1079</v>
      </c>
      <c r="D43" s="4">
        <v>300000</v>
      </c>
      <c r="E43" s="4">
        <v>300000</v>
      </c>
      <c r="F43" s="4">
        <f>D43-E43</f>
        <v>0</v>
      </c>
      <c r="G43" s="4">
        <v>300000</v>
      </c>
      <c r="H43" s="4">
        <v>270457.13</v>
      </c>
      <c r="I43" s="4"/>
      <c r="J43" s="4"/>
      <c r="K43" s="4">
        <f>I43+J43</f>
        <v>0</v>
      </c>
      <c r="L43" s="4">
        <f>H43+K43</f>
        <v>270457.13</v>
      </c>
      <c r="M43" s="4">
        <f t="shared" si="28"/>
        <v>29542.869999999995</v>
      </c>
      <c r="N43" s="4">
        <f>F43</f>
        <v>0</v>
      </c>
      <c r="O43" s="4">
        <f t="shared" si="7"/>
        <v>0</v>
      </c>
      <c r="P43" s="4">
        <f t="shared" si="8"/>
        <v>0</v>
      </c>
      <c r="Q43" s="4">
        <f t="shared" si="2"/>
        <v>29542.869999999995</v>
      </c>
      <c r="R43" s="4"/>
      <c r="S43" s="4"/>
      <c r="T43" s="4">
        <f>SUM(R43:S43)</f>
        <v>0</v>
      </c>
      <c r="U43" s="4">
        <f t="shared" si="3"/>
        <v>0</v>
      </c>
      <c r="V43" s="4">
        <f t="shared" si="4"/>
        <v>0</v>
      </c>
      <c r="W43" s="4"/>
      <c r="X43" s="4">
        <f>V43-W43-Z43-AA43</f>
        <v>0</v>
      </c>
      <c r="Y43" s="4"/>
      <c r="Z43" s="4"/>
      <c r="AA43" s="210"/>
      <c r="AB43" s="3" t="s">
        <v>715</v>
      </c>
      <c r="AC43" s="3">
        <v>810000</v>
      </c>
      <c r="AD43" s="4"/>
      <c r="AE43" s="4"/>
      <c r="AF43" s="4"/>
      <c r="AG43" s="4"/>
      <c r="AH43" s="4">
        <f t="shared" si="11"/>
        <v>0</v>
      </c>
      <c r="AI43" s="4">
        <f t="shared" si="12"/>
        <v>0</v>
      </c>
      <c r="AJ43" s="4"/>
      <c r="AK43" s="4">
        <f t="shared" si="26"/>
        <v>0</v>
      </c>
      <c r="AL43" s="3"/>
      <c r="AM43" s="3"/>
      <c r="AN43" s="3"/>
      <c r="AO43" s="4"/>
      <c r="AP43" s="4"/>
      <c r="AQ43" s="278"/>
      <c r="AR43" s="4">
        <f t="shared" si="23"/>
        <v>0</v>
      </c>
      <c r="AS43" s="4">
        <v>29543</v>
      </c>
      <c r="AT43" s="173">
        <f t="shared" si="14"/>
        <v>29543</v>
      </c>
      <c r="AU43" s="173">
        <f t="shared" si="15"/>
        <v>-0.13000000000465661</v>
      </c>
      <c r="AV43" s="173">
        <f t="shared" si="16"/>
        <v>0.13000000000465661</v>
      </c>
      <c r="AW43" s="3"/>
      <c r="AX43" s="4">
        <f t="shared" si="17"/>
        <v>0.13000000000465661</v>
      </c>
      <c r="AY43" s="3"/>
      <c r="AZ43" s="3"/>
      <c r="BA43" s="3"/>
      <c r="BB43" s="173">
        <f t="shared" si="18"/>
        <v>0.13000000000465661</v>
      </c>
      <c r="BC43" s="4">
        <f t="shared" si="19"/>
        <v>0</v>
      </c>
      <c r="BD43" s="4">
        <v>0</v>
      </c>
      <c r="BE43" s="4"/>
      <c r="BF43" s="4"/>
      <c r="BG43" s="4"/>
      <c r="BH43" s="4">
        <f t="shared" si="25"/>
        <v>0</v>
      </c>
      <c r="BI43" s="3"/>
      <c r="BJ43" s="4">
        <f t="shared" si="20"/>
        <v>0</v>
      </c>
      <c r="BK43" s="4">
        <f t="shared" si="21"/>
        <v>0.13000000000465661</v>
      </c>
      <c r="BL43" s="4"/>
      <c r="BM43" s="4">
        <f t="shared" si="22"/>
        <v>0</v>
      </c>
      <c r="BN43" s="4"/>
      <c r="BO43" s="4"/>
      <c r="BP43" s="4"/>
    </row>
    <row r="44" spans="1:68" s="5" customFormat="1" ht="30" customHeight="1">
      <c r="A44" s="3">
        <v>39</v>
      </c>
      <c r="B44" s="3">
        <v>2074</v>
      </c>
      <c r="C44" s="3" t="s">
        <v>414</v>
      </c>
      <c r="D44" s="4">
        <v>2000000</v>
      </c>
      <c r="E44" s="4">
        <v>2000000</v>
      </c>
      <c r="F44" s="4">
        <f>D44-E44</f>
        <v>0</v>
      </c>
      <c r="G44" s="4">
        <v>2000000</v>
      </c>
      <c r="H44" s="4">
        <v>516284.26</v>
      </c>
      <c r="I44" s="4"/>
      <c r="J44" s="4">
        <v>396408.25</v>
      </c>
      <c r="K44" s="4">
        <f t="shared" si="5"/>
        <v>396408.25</v>
      </c>
      <c r="L44" s="4">
        <f t="shared" si="6"/>
        <v>912692.51</v>
      </c>
      <c r="M44" s="4">
        <f t="shared" si="28"/>
        <v>1087307.49</v>
      </c>
      <c r="N44" s="4"/>
      <c r="O44" s="4">
        <f t="shared" si="7"/>
        <v>0</v>
      </c>
      <c r="P44" s="4">
        <f t="shared" si="8"/>
        <v>0</v>
      </c>
      <c r="Q44" s="4">
        <f t="shared" si="2"/>
        <v>1087307.49</v>
      </c>
      <c r="R44" s="4"/>
      <c r="S44" s="4"/>
      <c r="T44" s="4">
        <f>SUM(R44:S44)</f>
        <v>0</v>
      </c>
      <c r="U44" s="4">
        <f t="shared" si="3"/>
        <v>0</v>
      </c>
      <c r="V44" s="4">
        <f t="shared" si="4"/>
        <v>0</v>
      </c>
      <c r="W44" s="4">
        <f>V44*0.5</f>
        <v>0</v>
      </c>
      <c r="X44" s="4">
        <f>V44-W44-Z44-AA44</f>
        <v>0</v>
      </c>
      <c r="Y44" s="4"/>
      <c r="Z44" s="4"/>
      <c r="AA44" s="3"/>
      <c r="AB44" s="3" t="s">
        <v>908</v>
      </c>
      <c r="AC44" s="3">
        <v>930000</v>
      </c>
      <c r="AD44" s="4"/>
      <c r="AE44" s="4"/>
      <c r="AF44" s="4"/>
      <c r="AG44" s="4"/>
      <c r="AH44" s="4">
        <f t="shared" si="11"/>
        <v>0</v>
      </c>
      <c r="AI44" s="4">
        <f t="shared" si="12"/>
        <v>0</v>
      </c>
      <c r="AJ44" s="4"/>
      <c r="AK44" s="4">
        <f t="shared" si="26"/>
        <v>0</v>
      </c>
      <c r="AL44" s="4"/>
      <c r="AM44" s="3"/>
      <c r="AN44" s="3"/>
      <c r="AO44" s="4"/>
      <c r="AP44" s="4"/>
      <c r="AQ44" s="314"/>
      <c r="AR44" s="4">
        <f t="shared" si="23"/>
        <v>0</v>
      </c>
      <c r="AS44" s="4">
        <v>7307</v>
      </c>
      <c r="AT44" s="173">
        <f t="shared" si="14"/>
        <v>7307</v>
      </c>
      <c r="AU44" s="173">
        <f t="shared" si="15"/>
        <v>1080000.49</v>
      </c>
      <c r="AV44" s="173">
        <f t="shared" si="16"/>
        <v>-1080000.49</v>
      </c>
      <c r="AW44" s="4">
        <v>-580000</v>
      </c>
      <c r="AX44" s="4">
        <f t="shared" si="17"/>
        <v>-500000.49</v>
      </c>
      <c r="AY44" s="3"/>
      <c r="AZ44" s="3"/>
      <c r="BA44" s="3"/>
      <c r="BB44" s="173">
        <f t="shared" si="18"/>
        <v>-1080000.49</v>
      </c>
      <c r="BC44" s="4">
        <f t="shared" si="19"/>
        <v>0</v>
      </c>
      <c r="BD44" s="4">
        <v>-1080000</v>
      </c>
      <c r="BE44" s="4"/>
      <c r="BF44" s="4"/>
      <c r="BG44" s="4"/>
      <c r="BH44" s="4">
        <f t="shared" si="25"/>
        <v>-1080000</v>
      </c>
      <c r="BI44" s="3"/>
      <c r="BJ44" s="4">
        <f t="shared" si="20"/>
        <v>-1080000</v>
      </c>
      <c r="BK44" s="4">
        <f t="shared" si="21"/>
        <v>-0.48999999999068677</v>
      </c>
      <c r="BL44" s="4">
        <v>-580000</v>
      </c>
      <c r="BM44" s="4">
        <f t="shared" si="22"/>
        <v>-500000</v>
      </c>
      <c r="BN44" s="4"/>
      <c r="BO44" s="4"/>
      <c r="BP44" s="4"/>
    </row>
    <row r="45" spans="1:68" s="5" customFormat="1" ht="30" customHeight="1">
      <c r="A45" s="3">
        <v>40</v>
      </c>
      <c r="B45" s="31">
        <v>2095</v>
      </c>
      <c r="C45" s="3" t="s">
        <v>415</v>
      </c>
      <c r="D45" s="4">
        <v>160000</v>
      </c>
      <c r="E45" s="4">
        <v>160000</v>
      </c>
      <c r="F45" s="4">
        <f>D45-E45</f>
        <v>0</v>
      </c>
      <c r="G45" s="4">
        <v>160000</v>
      </c>
      <c r="H45" s="4">
        <v>0</v>
      </c>
      <c r="I45" s="4"/>
      <c r="J45" s="4">
        <v>29250</v>
      </c>
      <c r="K45" s="4">
        <f t="shared" si="5"/>
        <v>29250</v>
      </c>
      <c r="L45" s="4">
        <f t="shared" si="6"/>
        <v>29250</v>
      </c>
      <c r="M45" s="4">
        <f t="shared" si="28"/>
        <v>130750</v>
      </c>
      <c r="N45" s="4"/>
      <c r="O45" s="4">
        <f t="shared" si="7"/>
        <v>0</v>
      </c>
      <c r="P45" s="4">
        <f t="shared" si="8"/>
        <v>0</v>
      </c>
      <c r="Q45" s="4">
        <f t="shared" si="2"/>
        <v>130750</v>
      </c>
      <c r="R45" s="4"/>
      <c r="S45" s="4"/>
      <c r="T45" s="4">
        <f>SUM(R45:S45)</f>
        <v>0</v>
      </c>
      <c r="U45" s="4">
        <f t="shared" si="3"/>
        <v>0</v>
      </c>
      <c r="V45" s="4">
        <f t="shared" si="4"/>
        <v>0</v>
      </c>
      <c r="W45" s="4"/>
      <c r="X45" s="4">
        <f>V45-W45-Z45-AA45</f>
        <v>0</v>
      </c>
      <c r="Y45" s="4"/>
      <c r="Z45" s="4"/>
      <c r="AA45" s="3"/>
      <c r="AB45" s="3" t="s">
        <v>853</v>
      </c>
      <c r="AC45" s="3">
        <v>610000</v>
      </c>
      <c r="AD45" s="4"/>
      <c r="AE45" s="4"/>
      <c r="AF45" s="4"/>
      <c r="AG45" s="4"/>
      <c r="AH45" s="4">
        <f t="shared" si="11"/>
        <v>0</v>
      </c>
      <c r="AI45" s="4">
        <f t="shared" si="12"/>
        <v>0</v>
      </c>
      <c r="AJ45" s="4"/>
      <c r="AK45" s="4">
        <f t="shared" si="26"/>
        <v>0</v>
      </c>
      <c r="AL45" s="31"/>
      <c r="AM45" s="3"/>
      <c r="AN45" s="3"/>
      <c r="AO45" s="4"/>
      <c r="AP45" s="4">
        <v>130750</v>
      </c>
      <c r="AQ45" s="646" t="s">
        <v>1080</v>
      </c>
      <c r="AR45" s="4">
        <f t="shared" si="23"/>
        <v>0</v>
      </c>
      <c r="AS45" s="4">
        <f>750+130000</f>
        <v>130750</v>
      </c>
      <c r="AT45" s="173">
        <f t="shared" si="14"/>
        <v>130750</v>
      </c>
      <c r="AU45" s="173">
        <f t="shared" si="15"/>
        <v>0</v>
      </c>
      <c r="AV45" s="173">
        <f t="shared" si="16"/>
        <v>0</v>
      </c>
      <c r="AW45" s="3"/>
      <c r="AX45" s="4">
        <f t="shared" si="17"/>
        <v>0</v>
      </c>
      <c r="AY45" s="3"/>
      <c r="AZ45" s="3"/>
      <c r="BA45" s="3"/>
      <c r="BB45" s="173">
        <f t="shared" si="18"/>
        <v>0</v>
      </c>
      <c r="BC45" s="4">
        <f t="shared" si="19"/>
        <v>0</v>
      </c>
      <c r="BD45" s="4">
        <v>0</v>
      </c>
      <c r="BE45" s="4"/>
      <c r="BF45" s="4"/>
      <c r="BG45" s="4"/>
      <c r="BH45" s="4">
        <f t="shared" si="25"/>
        <v>0</v>
      </c>
      <c r="BI45" s="3"/>
      <c r="BJ45" s="4">
        <f t="shared" si="20"/>
        <v>0</v>
      </c>
      <c r="BK45" s="4">
        <f t="shared" si="21"/>
        <v>0</v>
      </c>
      <c r="BL45" s="4"/>
      <c r="BM45" s="4">
        <f t="shared" si="22"/>
        <v>0</v>
      </c>
      <c r="BN45" s="4"/>
      <c r="BO45" s="4"/>
      <c r="BP45" s="4"/>
    </row>
    <row r="46" spans="1:68" s="5" customFormat="1" ht="30" customHeight="1">
      <c r="A46" s="3">
        <v>41</v>
      </c>
      <c r="B46" s="31">
        <v>2096</v>
      </c>
      <c r="C46" s="3" t="s">
        <v>416</v>
      </c>
      <c r="D46" s="4">
        <v>1215000</v>
      </c>
      <c r="E46" s="4">
        <v>1215000</v>
      </c>
      <c r="F46" s="4">
        <f>D46-E46</f>
        <v>0</v>
      </c>
      <c r="G46" s="4">
        <v>1215000</v>
      </c>
      <c r="H46" s="4">
        <v>127028</v>
      </c>
      <c r="I46" s="4"/>
      <c r="J46" s="4">
        <f>9982.44+0.5</f>
        <v>9982.94</v>
      </c>
      <c r="K46" s="4">
        <f t="shared" si="5"/>
        <v>9982.94</v>
      </c>
      <c r="L46" s="4">
        <f t="shared" si="6"/>
        <v>137010.94</v>
      </c>
      <c r="M46" s="4">
        <f t="shared" si="28"/>
        <v>1077989.06</v>
      </c>
      <c r="N46" s="4"/>
      <c r="O46" s="4">
        <f t="shared" si="7"/>
        <v>0</v>
      </c>
      <c r="P46" s="4">
        <f t="shared" si="8"/>
        <v>0</v>
      </c>
      <c r="Q46" s="4">
        <f t="shared" si="2"/>
        <v>1077989.06</v>
      </c>
      <c r="R46" s="4"/>
      <c r="S46" s="4"/>
      <c r="T46" s="4">
        <f>SUM(R46:S46)</f>
        <v>0</v>
      </c>
      <c r="U46" s="4">
        <f t="shared" si="3"/>
        <v>0</v>
      </c>
      <c r="V46" s="4">
        <f t="shared" si="4"/>
        <v>0</v>
      </c>
      <c r="W46" s="4">
        <f>500000-500000</f>
        <v>0</v>
      </c>
      <c r="X46" s="4">
        <f>V46-W46-Z46-AA46</f>
        <v>0</v>
      </c>
      <c r="Y46" s="4"/>
      <c r="Z46" s="4"/>
      <c r="AA46" s="3"/>
      <c r="AB46" s="3" t="s">
        <v>552</v>
      </c>
      <c r="AC46" s="3">
        <v>930000</v>
      </c>
      <c r="AD46" s="4"/>
      <c r="AE46" s="4"/>
      <c r="AF46" s="4"/>
      <c r="AG46" s="4"/>
      <c r="AH46" s="4">
        <f t="shared" si="11"/>
        <v>0</v>
      </c>
      <c r="AI46" s="4">
        <f t="shared" si="12"/>
        <v>0</v>
      </c>
      <c r="AJ46" s="4"/>
      <c r="AK46" s="4">
        <f t="shared" si="26"/>
        <v>0</v>
      </c>
      <c r="AL46" s="31"/>
      <c r="AM46" s="3"/>
      <c r="AN46" s="3"/>
      <c r="AO46" s="4"/>
      <c r="AP46" s="4">
        <v>1077989</v>
      </c>
      <c r="AQ46" s="646" t="s">
        <v>1081</v>
      </c>
      <c r="AR46" s="4">
        <f t="shared" si="23"/>
        <v>0</v>
      </c>
      <c r="AS46" s="4">
        <f>AP46</f>
        <v>1077989</v>
      </c>
      <c r="AT46" s="173">
        <f t="shared" si="14"/>
        <v>1077989</v>
      </c>
      <c r="AU46" s="173">
        <f t="shared" si="15"/>
        <v>6.0000000055879354E-2</v>
      </c>
      <c r="AV46" s="173">
        <f t="shared" si="16"/>
        <v>-6.0000000055879354E-2</v>
      </c>
      <c r="AW46" s="3"/>
      <c r="AX46" s="4">
        <f t="shared" si="17"/>
        <v>-6.0000000055879354E-2</v>
      </c>
      <c r="AY46" s="3"/>
      <c r="AZ46" s="3"/>
      <c r="BA46" s="3"/>
      <c r="BB46" s="173">
        <f t="shared" si="18"/>
        <v>-6.0000000055879354E-2</v>
      </c>
      <c r="BC46" s="4">
        <f t="shared" si="19"/>
        <v>0</v>
      </c>
      <c r="BD46" s="4">
        <v>0</v>
      </c>
      <c r="BE46" s="4"/>
      <c r="BF46" s="4"/>
      <c r="BG46" s="4"/>
      <c r="BH46" s="4">
        <f t="shared" si="25"/>
        <v>0</v>
      </c>
      <c r="BI46" s="3"/>
      <c r="BJ46" s="4">
        <f t="shared" si="20"/>
        <v>0</v>
      </c>
      <c r="BK46" s="4">
        <f t="shared" si="21"/>
        <v>-6.0000000055879354E-2</v>
      </c>
      <c r="BL46" s="4"/>
      <c r="BM46" s="4">
        <f t="shared" si="22"/>
        <v>0</v>
      </c>
      <c r="BN46" s="4"/>
      <c r="BO46" s="4"/>
      <c r="BP46" s="4"/>
    </row>
    <row r="47" spans="1:68" s="5" customFormat="1" ht="30" customHeight="1">
      <c r="A47" s="3">
        <v>42</v>
      </c>
      <c r="B47" s="3">
        <v>2128</v>
      </c>
      <c r="C47" s="3" t="s">
        <v>1589</v>
      </c>
      <c r="D47" s="4">
        <v>450000</v>
      </c>
      <c r="E47" s="4">
        <v>450000</v>
      </c>
      <c r="F47" s="4">
        <f t="shared" si="0"/>
        <v>0</v>
      </c>
      <c r="G47" s="4">
        <v>450000</v>
      </c>
      <c r="H47" s="4">
        <v>280917</v>
      </c>
      <c r="I47" s="4"/>
      <c r="J47" s="4">
        <v>74295</v>
      </c>
      <c r="K47" s="4">
        <f t="shared" si="5"/>
        <v>74295</v>
      </c>
      <c r="L47" s="4">
        <f t="shared" si="6"/>
        <v>355212</v>
      </c>
      <c r="M47" s="4">
        <f t="shared" si="28"/>
        <v>94788</v>
      </c>
      <c r="N47" s="4"/>
      <c r="O47" s="4">
        <f t="shared" si="7"/>
        <v>0</v>
      </c>
      <c r="P47" s="4">
        <f t="shared" si="8"/>
        <v>0</v>
      </c>
      <c r="Q47" s="4">
        <f t="shared" si="2"/>
        <v>94788</v>
      </c>
      <c r="R47" s="4"/>
      <c r="S47" s="4"/>
      <c r="T47" s="4">
        <f t="shared" si="9"/>
        <v>0</v>
      </c>
      <c r="U47" s="4">
        <f t="shared" si="3"/>
        <v>0</v>
      </c>
      <c r="V47" s="4">
        <f t="shared" si="4"/>
        <v>0</v>
      </c>
      <c r="W47" s="4"/>
      <c r="X47" s="4">
        <f t="shared" si="10"/>
        <v>0</v>
      </c>
      <c r="Y47" s="4"/>
      <c r="Z47" s="4"/>
      <c r="AA47" s="3"/>
      <c r="AB47" s="3" t="s">
        <v>722</v>
      </c>
      <c r="AC47" s="3">
        <v>720000</v>
      </c>
      <c r="AD47" s="4"/>
      <c r="AE47" s="4"/>
      <c r="AF47" s="4"/>
      <c r="AG47" s="4"/>
      <c r="AH47" s="4">
        <f t="shared" si="11"/>
        <v>0</v>
      </c>
      <c r="AI47" s="4">
        <f t="shared" si="12"/>
        <v>0</v>
      </c>
      <c r="AJ47" s="4"/>
      <c r="AK47" s="4">
        <f t="shared" si="26"/>
        <v>0</v>
      </c>
      <c r="AL47" s="4"/>
      <c r="AM47" s="3"/>
      <c r="AN47" s="3"/>
      <c r="AO47" s="4"/>
      <c r="AP47" s="4"/>
      <c r="AQ47" s="314"/>
      <c r="AR47" s="4">
        <f t="shared" si="23"/>
        <v>0</v>
      </c>
      <c r="AS47" s="4">
        <v>788</v>
      </c>
      <c r="AT47" s="173">
        <f t="shared" si="14"/>
        <v>788</v>
      </c>
      <c r="AU47" s="173">
        <f t="shared" si="15"/>
        <v>94000</v>
      </c>
      <c r="AV47" s="173">
        <f t="shared" si="16"/>
        <v>-94000</v>
      </c>
      <c r="AW47" s="3"/>
      <c r="AX47" s="4">
        <f t="shared" si="17"/>
        <v>-94000</v>
      </c>
      <c r="AY47" s="3"/>
      <c r="AZ47" s="3"/>
      <c r="BA47" s="3"/>
      <c r="BB47" s="173">
        <f t="shared" si="18"/>
        <v>-94000</v>
      </c>
      <c r="BC47" s="4">
        <f t="shared" si="19"/>
        <v>0</v>
      </c>
      <c r="BD47" s="4">
        <v>-94000</v>
      </c>
      <c r="BE47" s="4"/>
      <c r="BF47" s="4"/>
      <c r="BG47" s="4"/>
      <c r="BH47" s="4">
        <f t="shared" si="25"/>
        <v>-94000</v>
      </c>
      <c r="BI47" s="3"/>
      <c r="BJ47" s="4">
        <f t="shared" si="20"/>
        <v>-94000</v>
      </c>
      <c r="BK47" s="4">
        <f t="shared" si="21"/>
        <v>0</v>
      </c>
      <c r="BL47" s="4"/>
      <c r="BM47" s="4">
        <f t="shared" si="22"/>
        <v>-94000</v>
      </c>
      <c r="BN47" s="4"/>
      <c r="BO47" s="4"/>
      <c r="BP47" s="4"/>
    </row>
    <row r="48" spans="1:68" s="5" customFormat="1" ht="30" customHeight="1">
      <c r="A48" s="3">
        <v>43</v>
      </c>
      <c r="B48" s="3">
        <v>2129</v>
      </c>
      <c r="C48" s="3" t="s">
        <v>723</v>
      </c>
      <c r="D48" s="4">
        <v>624000</v>
      </c>
      <c r="E48" s="4">
        <v>624000</v>
      </c>
      <c r="F48" s="4">
        <f t="shared" si="0"/>
        <v>0</v>
      </c>
      <c r="G48" s="4">
        <v>624000</v>
      </c>
      <c r="H48" s="4">
        <v>510386.98</v>
      </c>
      <c r="I48" s="4"/>
      <c r="J48" s="4">
        <v>2921.54</v>
      </c>
      <c r="K48" s="4">
        <f t="shared" si="5"/>
        <v>2921.54</v>
      </c>
      <c r="L48" s="4">
        <f t="shared" si="6"/>
        <v>513308.51999999996</v>
      </c>
      <c r="M48" s="4">
        <f t="shared" si="28"/>
        <v>110691.48000000004</v>
      </c>
      <c r="N48" s="4"/>
      <c r="O48" s="4">
        <f t="shared" si="7"/>
        <v>0</v>
      </c>
      <c r="P48" s="4">
        <f t="shared" si="8"/>
        <v>0</v>
      </c>
      <c r="Q48" s="4">
        <f t="shared" si="2"/>
        <v>110691.48000000004</v>
      </c>
      <c r="R48" s="4"/>
      <c r="S48" s="4"/>
      <c r="T48" s="4">
        <f t="shared" si="9"/>
        <v>0</v>
      </c>
      <c r="U48" s="4">
        <f t="shared" si="3"/>
        <v>0</v>
      </c>
      <c r="V48" s="4">
        <f t="shared" si="4"/>
        <v>0</v>
      </c>
      <c r="W48" s="4">
        <f>V48*0.5</f>
        <v>0</v>
      </c>
      <c r="X48" s="4">
        <f t="shared" si="10"/>
        <v>0</v>
      </c>
      <c r="Y48" s="4"/>
      <c r="Z48" s="4"/>
      <c r="AA48" s="3"/>
      <c r="AB48" s="3" t="s">
        <v>724</v>
      </c>
      <c r="AC48" s="3">
        <v>840000</v>
      </c>
      <c r="AD48" s="4"/>
      <c r="AE48" s="4"/>
      <c r="AF48" s="4"/>
      <c r="AG48" s="4"/>
      <c r="AH48" s="4">
        <f t="shared" si="11"/>
        <v>0</v>
      </c>
      <c r="AI48" s="4">
        <f t="shared" si="12"/>
        <v>0</v>
      </c>
      <c r="AJ48" s="4"/>
      <c r="AK48" s="4">
        <f t="shared" si="26"/>
        <v>0</v>
      </c>
      <c r="AL48" s="4"/>
      <c r="AM48" s="3"/>
      <c r="AN48" s="3"/>
      <c r="AO48" s="4"/>
      <c r="AP48" s="4">
        <v>110691</v>
      </c>
      <c r="AQ48" s="646" t="s">
        <v>1082</v>
      </c>
      <c r="AR48" s="4">
        <f t="shared" si="23"/>
        <v>0</v>
      </c>
      <c r="AS48" s="4">
        <f>AP48</f>
        <v>110691</v>
      </c>
      <c r="AT48" s="173">
        <f t="shared" si="14"/>
        <v>110691</v>
      </c>
      <c r="AU48" s="173">
        <f t="shared" si="15"/>
        <v>0.48000000003958121</v>
      </c>
      <c r="AV48" s="173">
        <f t="shared" si="16"/>
        <v>-0.48000000003958121</v>
      </c>
      <c r="AW48" s="3"/>
      <c r="AX48" s="4">
        <f t="shared" si="17"/>
        <v>-0.48000000003958121</v>
      </c>
      <c r="AY48" s="3"/>
      <c r="AZ48" s="3"/>
      <c r="BA48" s="3"/>
      <c r="BB48" s="173">
        <f t="shared" si="18"/>
        <v>-0.48000000003958121</v>
      </c>
      <c r="BC48" s="4">
        <f t="shared" si="19"/>
        <v>0</v>
      </c>
      <c r="BD48" s="4">
        <v>0</v>
      </c>
      <c r="BE48" s="4"/>
      <c r="BF48" s="4"/>
      <c r="BG48" s="4"/>
      <c r="BH48" s="4">
        <f t="shared" si="25"/>
        <v>0</v>
      </c>
      <c r="BI48" s="3"/>
      <c r="BJ48" s="4">
        <f t="shared" si="20"/>
        <v>0</v>
      </c>
      <c r="BK48" s="4">
        <f t="shared" si="21"/>
        <v>-0.48000000003958121</v>
      </c>
      <c r="BL48" s="4"/>
      <c r="BM48" s="4">
        <f t="shared" si="22"/>
        <v>0</v>
      </c>
      <c r="BN48" s="4"/>
      <c r="BO48" s="4"/>
      <c r="BP48" s="4"/>
    </row>
    <row r="49" spans="1:68" s="5" customFormat="1" ht="30" customHeight="1">
      <c r="A49" s="3">
        <v>44</v>
      </c>
      <c r="B49" s="31">
        <v>2131</v>
      </c>
      <c r="C49" s="3" t="s">
        <v>855</v>
      </c>
      <c r="D49" s="4">
        <v>7500000</v>
      </c>
      <c r="E49" s="4">
        <v>7500000</v>
      </c>
      <c r="F49" s="4">
        <f t="shared" si="0"/>
        <v>0</v>
      </c>
      <c r="G49" s="4">
        <v>4020000</v>
      </c>
      <c r="H49" s="4">
        <v>148485.19</v>
      </c>
      <c r="I49" s="4">
        <v>2020612.82</v>
      </c>
      <c r="J49" s="4">
        <v>281981.77</v>
      </c>
      <c r="K49" s="4">
        <f t="shared" si="5"/>
        <v>2302594.59</v>
      </c>
      <c r="L49" s="4">
        <f t="shared" si="6"/>
        <v>2451079.7799999998</v>
      </c>
      <c r="M49" s="4">
        <f t="shared" si="28"/>
        <v>1568920.2200000002</v>
      </c>
      <c r="N49" s="4">
        <v>3480000</v>
      </c>
      <c r="O49" s="4">
        <f t="shared" si="7"/>
        <v>3480000</v>
      </c>
      <c r="P49" s="4">
        <f t="shared" si="8"/>
        <v>0</v>
      </c>
      <c r="Q49" s="4">
        <f t="shared" si="2"/>
        <v>1568920.2200000002</v>
      </c>
      <c r="R49" s="4"/>
      <c r="S49" s="4"/>
      <c r="T49" s="4">
        <f t="shared" si="9"/>
        <v>0</v>
      </c>
      <c r="U49" s="4">
        <f t="shared" si="3"/>
        <v>0</v>
      </c>
      <c r="V49" s="4">
        <f t="shared" si="4"/>
        <v>3480000</v>
      </c>
      <c r="W49" s="4">
        <f>500000-500000</f>
        <v>0</v>
      </c>
      <c r="X49" s="4">
        <f t="shared" si="10"/>
        <v>3480000</v>
      </c>
      <c r="Y49" s="4"/>
      <c r="Z49" s="4"/>
      <c r="AA49" s="3"/>
      <c r="AB49" s="3" t="s">
        <v>725</v>
      </c>
      <c r="AC49" s="3">
        <v>870000</v>
      </c>
      <c r="AD49" s="4"/>
      <c r="AE49" s="4"/>
      <c r="AF49" s="4"/>
      <c r="AG49" s="4"/>
      <c r="AH49" s="4">
        <f t="shared" si="11"/>
        <v>0</v>
      </c>
      <c r="AI49" s="4">
        <f t="shared" si="12"/>
        <v>3480000</v>
      </c>
      <c r="AJ49" s="4"/>
      <c r="AK49" s="4">
        <f t="shared" si="26"/>
        <v>3480000</v>
      </c>
      <c r="AL49" s="31"/>
      <c r="AM49" s="3"/>
      <c r="AN49" s="3"/>
      <c r="AO49" s="4">
        <v>3480000</v>
      </c>
      <c r="AP49" s="4">
        <v>1568920</v>
      </c>
      <c r="AQ49" s="646" t="s">
        <v>1083</v>
      </c>
      <c r="AR49" s="4"/>
      <c r="AS49" s="4">
        <f>AP49</f>
        <v>1568920</v>
      </c>
      <c r="AT49" s="173">
        <f t="shared" si="14"/>
        <v>1568920</v>
      </c>
      <c r="AU49" s="173">
        <f t="shared" si="15"/>
        <v>3480000.2200000007</v>
      </c>
      <c r="AV49" s="173">
        <f t="shared" si="16"/>
        <v>-0.22000000020489097</v>
      </c>
      <c r="AW49" s="3"/>
      <c r="AX49" s="4">
        <f t="shared" si="17"/>
        <v>-0.22000000020489097</v>
      </c>
      <c r="AY49" s="3"/>
      <c r="AZ49" s="3"/>
      <c r="BA49" s="3"/>
      <c r="BB49" s="173">
        <f t="shared" si="18"/>
        <v>-0.22000000020489097</v>
      </c>
      <c r="BC49" s="4">
        <f t="shared" si="19"/>
        <v>0</v>
      </c>
      <c r="BD49" s="4">
        <v>0</v>
      </c>
      <c r="BE49" s="4"/>
      <c r="BF49" s="4"/>
      <c r="BG49" s="4"/>
      <c r="BH49" s="4">
        <f t="shared" si="25"/>
        <v>0</v>
      </c>
      <c r="BI49" s="3"/>
      <c r="BJ49" s="4">
        <f t="shared" si="20"/>
        <v>0</v>
      </c>
      <c r="BK49" s="4">
        <f t="shared" si="21"/>
        <v>-0.22000000020489097</v>
      </c>
      <c r="BL49" s="4"/>
      <c r="BM49" s="4">
        <f t="shared" si="22"/>
        <v>0</v>
      </c>
      <c r="BN49" s="4"/>
      <c r="BO49" s="4"/>
      <c r="BP49" s="4"/>
    </row>
    <row r="50" spans="1:68" s="5" customFormat="1" ht="30" customHeight="1">
      <c r="A50" s="3">
        <v>45</v>
      </c>
      <c r="B50" s="31">
        <v>2132</v>
      </c>
      <c r="C50" s="3" t="s">
        <v>649</v>
      </c>
      <c r="D50" s="4">
        <v>700000</v>
      </c>
      <c r="E50" s="4">
        <v>700000</v>
      </c>
      <c r="F50" s="4">
        <f t="shared" si="0"/>
        <v>0</v>
      </c>
      <c r="G50" s="4">
        <v>700000</v>
      </c>
      <c r="H50" s="4">
        <v>554386.92000000004</v>
      </c>
      <c r="I50" s="4"/>
      <c r="J50" s="4">
        <v>22907.42</v>
      </c>
      <c r="K50" s="4">
        <f t="shared" si="5"/>
        <v>22907.42</v>
      </c>
      <c r="L50" s="4">
        <f t="shared" si="6"/>
        <v>577294.34000000008</v>
      </c>
      <c r="M50" s="4">
        <f t="shared" si="28"/>
        <v>122705.65999999992</v>
      </c>
      <c r="N50" s="4"/>
      <c r="O50" s="4">
        <f t="shared" si="7"/>
        <v>0</v>
      </c>
      <c r="P50" s="4">
        <f t="shared" si="8"/>
        <v>0</v>
      </c>
      <c r="Q50" s="4">
        <f t="shared" si="2"/>
        <v>122705.65999999992</v>
      </c>
      <c r="R50" s="4"/>
      <c r="S50" s="4"/>
      <c r="T50" s="4">
        <f t="shared" si="9"/>
        <v>0</v>
      </c>
      <c r="U50" s="4">
        <f t="shared" si="3"/>
        <v>0</v>
      </c>
      <c r="V50" s="4">
        <f t="shared" si="4"/>
        <v>0</v>
      </c>
      <c r="W50" s="4">
        <f>500000-500000</f>
        <v>0</v>
      </c>
      <c r="X50" s="4">
        <f t="shared" si="10"/>
        <v>0</v>
      </c>
      <c r="Y50" s="4"/>
      <c r="Z50" s="4"/>
      <c r="AA50" s="3"/>
      <c r="AB50" s="3" t="s">
        <v>726</v>
      </c>
      <c r="AC50" s="3">
        <v>810000</v>
      </c>
      <c r="AD50" s="4"/>
      <c r="AE50" s="4"/>
      <c r="AF50" s="4"/>
      <c r="AG50" s="4"/>
      <c r="AH50" s="4">
        <f t="shared" si="11"/>
        <v>0</v>
      </c>
      <c r="AI50" s="4">
        <f t="shared" si="12"/>
        <v>0</v>
      </c>
      <c r="AJ50" s="4"/>
      <c r="AK50" s="4">
        <f t="shared" si="26"/>
        <v>0</v>
      </c>
      <c r="AL50" s="31"/>
      <c r="AM50" s="3"/>
      <c r="AN50" s="3"/>
      <c r="AO50" s="4"/>
      <c r="AP50" s="4"/>
      <c r="AQ50" s="314"/>
      <c r="AR50" s="4"/>
      <c r="AS50" s="4">
        <v>2706</v>
      </c>
      <c r="AT50" s="173">
        <f t="shared" si="14"/>
        <v>2706</v>
      </c>
      <c r="AU50" s="173">
        <f t="shared" si="15"/>
        <v>119999.65999999992</v>
      </c>
      <c r="AV50" s="173">
        <f t="shared" si="16"/>
        <v>-119999.65999999992</v>
      </c>
      <c r="AW50" s="3"/>
      <c r="AX50" s="4">
        <f t="shared" si="17"/>
        <v>-119999.65999999992</v>
      </c>
      <c r="AY50" s="3"/>
      <c r="AZ50" s="3"/>
      <c r="BA50" s="3"/>
      <c r="BB50" s="173">
        <f t="shared" si="18"/>
        <v>-119999.65999999992</v>
      </c>
      <c r="BC50" s="4">
        <f t="shared" si="19"/>
        <v>0</v>
      </c>
      <c r="BD50" s="4">
        <v>-120000</v>
      </c>
      <c r="BE50" s="4"/>
      <c r="BF50" s="4"/>
      <c r="BG50" s="4"/>
      <c r="BH50" s="4">
        <f t="shared" si="25"/>
        <v>-120000</v>
      </c>
      <c r="BI50" s="3"/>
      <c r="BJ50" s="4">
        <f t="shared" si="20"/>
        <v>-120000</v>
      </c>
      <c r="BK50" s="4">
        <f t="shared" si="21"/>
        <v>0.34000000008381903</v>
      </c>
      <c r="BL50" s="4"/>
      <c r="BM50" s="4">
        <f t="shared" si="22"/>
        <v>-120000</v>
      </c>
      <c r="BN50" s="4"/>
      <c r="BO50" s="4"/>
      <c r="BP50" s="4"/>
    </row>
    <row r="51" spans="1:68" s="5" customFormat="1" ht="30" customHeight="1">
      <c r="A51" s="3">
        <v>46</v>
      </c>
      <c r="B51" s="31">
        <v>2133</v>
      </c>
      <c r="C51" s="3" t="s">
        <v>650</v>
      </c>
      <c r="D51" s="4">
        <v>3000000</v>
      </c>
      <c r="E51" s="4">
        <v>3000000</v>
      </c>
      <c r="F51" s="4">
        <f t="shared" si="0"/>
        <v>0</v>
      </c>
      <c r="G51" s="4">
        <v>3000000</v>
      </c>
      <c r="H51" s="4">
        <v>31600.5</v>
      </c>
      <c r="I51" s="4"/>
      <c r="J51" s="4"/>
      <c r="K51" s="4">
        <f t="shared" si="5"/>
        <v>0</v>
      </c>
      <c r="L51" s="4">
        <f t="shared" si="6"/>
        <v>31600.5</v>
      </c>
      <c r="M51" s="4">
        <f t="shared" si="28"/>
        <v>2968399.5</v>
      </c>
      <c r="N51" s="4">
        <v>2000000</v>
      </c>
      <c r="O51" s="4">
        <f t="shared" si="7"/>
        <v>0</v>
      </c>
      <c r="P51" s="4">
        <f t="shared" si="8"/>
        <v>0</v>
      </c>
      <c r="Q51" s="4">
        <f t="shared" si="2"/>
        <v>2968399.5</v>
      </c>
      <c r="R51" s="4"/>
      <c r="S51" s="4"/>
      <c r="T51" s="4">
        <f t="shared" si="9"/>
        <v>0</v>
      </c>
      <c r="U51" s="4">
        <f t="shared" si="3"/>
        <v>0</v>
      </c>
      <c r="V51" s="4">
        <f t="shared" si="4"/>
        <v>2000000</v>
      </c>
      <c r="W51" s="4">
        <f>500000-500000</f>
        <v>0</v>
      </c>
      <c r="X51" s="4">
        <f t="shared" si="10"/>
        <v>2000000</v>
      </c>
      <c r="Y51" s="4"/>
      <c r="Z51" s="4"/>
      <c r="AA51" s="3"/>
      <c r="AB51" s="3" t="s">
        <v>727</v>
      </c>
      <c r="AC51" s="3">
        <v>930000</v>
      </c>
      <c r="AD51" s="4"/>
      <c r="AE51" s="4">
        <v>2000000</v>
      </c>
      <c r="AF51" s="4"/>
      <c r="AG51" s="4"/>
      <c r="AH51" s="4">
        <f t="shared" si="11"/>
        <v>2000000</v>
      </c>
      <c r="AI51" s="4">
        <f t="shared" si="12"/>
        <v>0</v>
      </c>
      <c r="AJ51" s="4"/>
      <c r="AK51" s="4">
        <f t="shared" si="26"/>
        <v>0</v>
      </c>
      <c r="AL51" s="31"/>
      <c r="AM51" s="3"/>
      <c r="AN51" s="3"/>
      <c r="AO51" s="4"/>
      <c r="AP51" s="4">
        <v>1000000</v>
      </c>
      <c r="AQ51" s="646" t="s">
        <v>1084</v>
      </c>
      <c r="AR51" s="4">
        <f t="shared" si="23"/>
        <v>0</v>
      </c>
      <c r="AS51" s="4">
        <f>968400-0.8</f>
        <v>968399.2</v>
      </c>
      <c r="AT51" s="173">
        <f t="shared" si="14"/>
        <v>968399.2</v>
      </c>
      <c r="AU51" s="173">
        <f t="shared" si="15"/>
        <v>2000000.3</v>
      </c>
      <c r="AV51" s="173">
        <f t="shared" si="16"/>
        <v>-2000000.3</v>
      </c>
      <c r="AW51" s="3"/>
      <c r="AX51" s="4">
        <f t="shared" si="17"/>
        <v>-2000000.3</v>
      </c>
      <c r="AY51" s="3"/>
      <c r="AZ51" s="3"/>
      <c r="BA51" s="3"/>
      <c r="BB51" s="173">
        <f t="shared" si="18"/>
        <v>-2000000.3</v>
      </c>
      <c r="BC51" s="4">
        <f t="shared" si="19"/>
        <v>0</v>
      </c>
      <c r="BD51" s="4">
        <v>-2000000</v>
      </c>
      <c r="BE51" s="4"/>
      <c r="BF51" s="4"/>
      <c r="BG51" s="4"/>
      <c r="BH51" s="4">
        <f t="shared" si="25"/>
        <v>-2000000</v>
      </c>
      <c r="BI51" s="3"/>
      <c r="BJ51" s="4">
        <f t="shared" si="20"/>
        <v>-2000000</v>
      </c>
      <c r="BK51" s="4">
        <f t="shared" si="21"/>
        <v>-0.30000000004656613</v>
      </c>
      <c r="BL51" s="4"/>
      <c r="BM51" s="4">
        <f t="shared" si="22"/>
        <v>-2000000</v>
      </c>
      <c r="BN51" s="4"/>
      <c r="BO51" s="4"/>
      <c r="BP51" s="4"/>
    </row>
    <row r="52" spans="1:68" s="5" customFormat="1" ht="30" customHeight="1">
      <c r="A52" s="3">
        <v>47</v>
      </c>
      <c r="B52" s="31">
        <v>2134</v>
      </c>
      <c r="C52" s="3" t="s">
        <v>651</v>
      </c>
      <c r="D52" s="4">
        <v>494000</v>
      </c>
      <c r="E52" s="4">
        <v>494000</v>
      </c>
      <c r="F52" s="4">
        <f t="shared" si="0"/>
        <v>0</v>
      </c>
      <c r="G52" s="4">
        <v>494000</v>
      </c>
      <c r="H52" s="4">
        <v>376567.65</v>
      </c>
      <c r="I52" s="4"/>
      <c r="J52" s="4">
        <v>117004.29</v>
      </c>
      <c r="K52" s="4">
        <f t="shared" si="5"/>
        <v>117004.29</v>
      </c>
      <c r="L52" s="4">
        <f t="shared" si="6"/>
        <v>493571.94</v>
      </c>
      <c r="M52" s="4">
        <f t="shared" si="28"/>
        <v>428.05999999999767</v>
      </c>
      <c r="N52" s="4"/>
      <c r="O52" s="4">
        <f t="shared" si="7"/>
        <v>0</v>
      </c>
      <c r="P52" s="4">
        <f t="shared" si="8"/>
        <v>0</v>
      </c>
      <c r="Q52" s="4">
        <f t="shared" si="2"/>
        <v>428.05999999999767</v>
      </c>
      <c r="R52" s="4"/>
      <c r="S52" s="4"/>
      <c r="T52" s="4">
        <f t="shared" si="9"/>
        <v>0</v>
      </c>
      <c r="U52" s="4">
        <f t="shared" si="3"/>
        <v>0</v>
      </c>
      <c r="V52" s="4">
        <f t="shared" si="4"/>
        <v>0</v>
      </c>
      <c r="W52" s="4">
        <f>500000-500000</f>
        <v>0</v>
      </c>
      <c r="X52" s="4">
        <f>V52-W52-Z52-AA52</f>
        <v>0</v>
      </c>
      <c r="Y52" s="4"/>
      <c r="Z52" s="4"/>
      <c r="AA52" s="3"/>
      <c r="AB52" s="3" t="s">
        <v>728</v>
      </c>
      <c r="AC52" s="3">
        <v>829000</v>
      </c>
      <c r="AD52" s="4"/>
      <c r="AE52" s="4"/>
      <c r="AF52" s="4"/>
      <c r="AG52" s="4"/>
      <c r="AH52" s="4">
        <f t="shared" si="11"/>
        <v>0</v>
      </c>
      <c r="AI52" s="4">
        <f t="shared" si="12"/>
        <v>0</v>
      </c>
      <c r="AJ52" s="4"/>
      <c r="AK52" s="4">
        <f t="shared" si="26"/>
        <v>0</v>
      </c>
      <c r="AL52" s="31"/>
      <c r="AM52" s="3"/>
      <c r="AN52" s="3"/>
      <c r="AO52" s="4"/>
      <c r="AP52" s="4"/>
      <c r="AQ52" s="314"/>
      <c r="AR52" s="4">
        <f t="shared" si="23"/>
        <v>0</v>
      </c>
      <c r="AS52" s="4">
        <v>428</v>
      </c>
      <c r="AT52" s="173">
        <f t="shared" si="14"/>
        <v>428</v>
      </c>
      <c r="AU52" s="173">
        <f t="shared" si="15"/>
        <v>5.9999999997671694E-2</v>
      </c>
      <c r="AV52" s="173">
        <f t="shared" si="16"/>
        <v>-5.9999999997671694E-2</v>
      </c>
      <c r="AW52" s="3"/>
      <c r="AX52" s="4">
        <f t="shared" si="17"/>
        <v>-5.9999999997671694E-2</v>
      </c>
      <c r="AY52" s="3"/>
      <c r="AZ52" s="3"/>
      <c r="BA52" s="3"/>
      <c r="BB52" s="173">
        <f t="shared" si="18"/>
        <v>-5.9999999997671694E-2</v>
      </c>
      <c r="BC52" s="4">
        <f t="shared" si="19"/>
        <v>0</v>
      </c>
      <c r="BD52" s="4">
        <v>0</v>
      </c>
      <c r="BE52" s="4"/>
      <c r="BF52" s="4"/>
      <c r="BG52" s="4"/>
      <c r="BH52" s="4">
        <f t="shared" si="25"/>
        <v>0</v>
      </c>
      <c r="BI52" s="3"/>
      <c r="BJ52" s="4">
        <f t="shared" si="20"/>
        <v>0</v>
      </c>
      <c r="BK52" s="4">
        <f t="shared" si="21"/>
        <v>-5.9999999997671694E-2</v>
      </c>
      <c r="BL52" s="4"/>
      <c r="BM52" s="4">
        <f t="shared" si="22"/>
        <v>0</v>
      </c>
      <c r="BN52" s="4"/>
      <c r="BO52" s="4"/>
      <c r="BP52" s="4"/>
    </row>
    <row r="53" spans="1:68" s="5" customFormat="1" ht="30" customHeight="1">
      <c r="A53" s="3">
        <v>48</v>
      </c>
      <c r="B53" s="31">
        <v>2140</v>
      </c>
      <c r="C53" s="3" t="s">
        <v>1085</v>
      </c>
      <c r="D53" s="4">
        <v>360000</v>
      </c>
      <c r="E53" s="4">
        <v>360000</v>
      </c>
      <c r="F53" s="4">
        <f t="shared" si="0"/>
        <v>0</v>
      </c>
      <c r="G53" s="4">
        <v>360000</v>
      </c>
      <c r="H53" s="4">
        <v>283122.45</v>
      </c>
      <c r="I53" s="4"/>
      <c r="J53" s="4"/>
      <c r="K53" s="4">
        <f t="shared" si="5"/>
        <v>0</v>
      </c>
      <c r="L53" s="4">
        <f t="shared" ref="L53:L60" si="29">H53+K53</f>
        <v>283122.45</v>
      </c>
      <c r="M53" s="4">
        <f t="shared" si="28"/>
        <v>76877.549999999988</v>
      </c>
      <c r="N53" s="4"/>
      <c r="O53" s="4">
        <f t="shared" si="7"/>
        <v>0</v>
      </c>
      <c r="P53" s="4">
        <f t="shared" si="8"/>
        <v>0</v>
      </c>
      <c r="Q53" s="4">
        <f t="shared" si="2"/>
        <v>76877.549999999988</v>
      </c>
      <c r="R53" s="4"/>
      <c r="S53" s="4"/>
      <c r="T53" s="4">
        <f t="shared" si="9"/>
        <v>0</v>
      </c>
      <c r="U53" s="4">
        <f t="shared" si="3"/>
        <v>0</v>
      </c>
      <c r="V53" s="4">
        <f t="shared" si="4"/>
        <v>0</v>
      </c>
      <c r="W53" s="4">
        <f t="shared" ref="W53:W60" si="30">V53-AA53-X53-Z53</f>
        <v>0</v>
      </c>
      <c r="X53" s="4"/>
      <c r="Y53" s="4"/>
      <c r="Z53" s="4"/>
      <c r="AA53" s="3"/>
      <c r="AB53" s="3"/>
      <c r="AC53" s="3">
        <v>810000</v>
      </c>
      <c r="AD53" s="4"/>
      <c r="AE53" s="4"/>
      <c r="AF53" s="4"/>
      <c r="AG53" s="4"/>
      <c r="AH53" s="4">
        <f>SUM(AD53:AG53)</f>
        <v>0</v>
      </c>
      <c r="AI53" s="4">
        <f>V53-AH53</f>
        <v>0</v>
      </c>
      <c r="AJ53" s="4"/>
      <c r="AK53" s="4">
        <f t="shared" si="26"/>
        <v>0</v>
      </c>
      <c r="AL53" s="3"/>
      <c r="AM53" s="3"/>
      <c r="AN53" s="3"/>
      <c r="AO53" s="4"/>
      <c r="AP53" s="4"/>
      <c r="AQ53" s="278"/>
      <c r="AR53" s="4">
        <f t="shared" si="23"/>
        <v>0</v>
      </c>
      <c r="AS53" s="4">
        <v>76878</v>
      </c>
      <c r="AT53" s="173">
        <f t="shared" si="14"/>
        <v>76878</v>
      </c>
      <c r="AU53" s="173">
        <f t="shared" si="15"/>
        <v>-0.45000000001164153</v>
      </c>
      <c r="AV53" s="173">
        <f t="shared" si="16"/>
        <v>0.45000000001164153</v>
      </c>
      <c r="AW53" s="3"/>
      <c r="AX53" s="4">
        <f t="shared" si="17"/>
        <v>0.45000000001164153</v>
      </c>
      <c r="AY53" s="3"/>
      <c r="AZ53" s="3"/>
      <c r="BA53" s="3"/>
      <c r="BB53" s="173">
        <f t="shared" si="18"/>
        <v>0.45000000001164153</v>
      </c>
      <c r="BC53" s="4">
        <f t="shared" si="19"/>
        <v>0</v>
      </c>
      <c r="BD53" s="4">
        <v>0</v>
      </c>
      <c r="BE53" s="4"/>
      <c r="BF53" s="4"/>
      <c r="BG53" s="4"/>
      <c r="BH53" s="4">
        <f t="shared" si="25"/>
        <v>0</v>
      </c>
      <c r="BI53" s="3"/>
      <c r="BJ53" s="4">
        <f t="shared" si="20"/>
        <v>0</v>
      </c>
      <c r="BK53" s="4">
        <f t="shared" si="21"/>
        <v>0.45000000001164153</v>
      </c>
      <c r="BL53" s="4"/>
      <c r="BM53" s="4">
        <f t="shared" si="22"/>
        <v>0</v>
      </c>
      <c r="BN53" s="4"/>
      <c r="BO53" s="4"/>
      <c r="BP53" s="4"/>
    </row>
    <row r="54" spans="1:68" s="5" customFormat="1" ht="30" customHeight="1">
      <c r="A54" s="3">
        <v>49</v>
      </c>
      <c r="B54" s="31">
        <v>2154</v>
      </c>
      <c r="C54" s="3" t="s">
        <v>1086</v>
      </c>
      <c r="D54" s="4">
        <v>10500000</v>
      </c>
      <c r="E54" s="4">
        <v>10500000</v>
      </c>
      <c r="F54" s="4">
        <f t="shared" si="0"/>
        <v>0</v>
      </c>
      <c r="G54" s="4"/>
      <c r="H54" s="4">
        <v>0</v>
      </c>
      <c r="I54" s="4"/>
      <c r="J54" s="4"/>
      <c r="K54" s="4">
        <f t="shared" si="5"/>
        <v>0</v>
      </c>
      <c r="L54" s="4">
        <f t="shared" si="29"/>
        <v>0</v>
      </c>
      <c r="M54" s="4">
        <f t="shared" si="28"/>
        <v>0</v>
      </c>
      <c r="N54" s="4">
        <v>3500000</v>
      </c>
      <c r="O54" s="4">
        <f t="shared" si="7"/>
        <v>3500000</v>
      </c>
      <c r="P54" s="4">
        <f t="shared" si="8"/>
        <v>7000000</v>
      </c>
      <c r="Q54" s="4">
        <f t="shared" si="2"/>
        <v>0</v>
      </c>
      <c r="R54" s="4"/>
      <c r="S54" s="4"/>
      <c r="T54" s="4">
        <f t="shared" si="9"/>
        <v>0</v>
      </c>
      <c r="U54" s="4">
        <f t="shared" si="3"/>
        <v>0</v>
      </c>
      <c r="V54" s="4">
        <f t="shared" si="4"/>
        <v>3500000</v>
      </c>
      <c r="W54" s="4">
        <f t="shared" si="30"/>
        <v>0</v>
      </c>
      <c r="X54" s="4">
        <v>1400000</v>
      </c>
      <c r="Y54" s="4"/>
      <c r="Z54" s="4"/>
      <c r="AA54" s="4">
        <v>2100000</v>
      </c>
      <c r="AB54" s="3" t="s">
        <v>729</v>
      </c>
      <c r="AC54" s="3">
        <v>870000</v>
      </c>
      <c r="AD54" s="4"/>
      <c r="AE54" s="4"/>
      <c r="AF54" s="4"/>
      <c r="AG54" s="4"/>
      <c r="AH54" s="4">
        <f t="shared" si="11"/>
        <v>0</v>
      </c>
      <c r="AI54" s="4">
        <f t="shared" si="12"/>
        <v>3500000</v>
      </c>
      <c r="AJ54" s="4"/>
      <c r="AK54" s="4">
        <f t="shared" si="26"/>
        <v>1400000</v>
      </c>
      <c r="AL54" s="3"/>
      <c r="AM54" s="3"/>
      <c r="AN54" s="210">
        <v>2100000</v>
      </c>
      <c r="AO54" s="4">
        <v>3500000</v>
      </c>
      <c r="AP54" s="4"/>
      <c r="AQ54" s="278" t="s">
        <v>1087</v>
      </c>
      <c r="AR54" s="4"/>
      <c r="AS54" s="4">
        <f t="shared" ref="AS54:AS60" si="31">AP54</f>
        <v>0</v>
      </c>
      <c r="AT54" s="173">
        <f t="shared" si="14"/>
        <v>0</v>
      </c>
      <c r="AU54" s="173">
        <f t="shared" si="15"/>
        <v>10500000</v>
      </c>
      <c r="AV54" s="173">
        <f t="shared" si="16"/>
        <v>0</v>
      </c>
      <c r="AW54" s="3"/>
      <c r="AX54" s="4">
        <f t="shared" si="17"/>
        <v>0</v>
      </c>
      <c r="AY54" s="3"/>
      <c r="AZ54" s="3"/>
      <c r="BA54" s="3"/>
      <c r="BB54" s="173">
        <f t="shared" si="18"/>
        <v>0</v>
      </c>
      <c r="BC54" s="4">
        <f t="shared" si="19"/>
        <v>0</v>
      </c>
      <c r="BD54" s="4">
        <v>0</v>
      </c>
      <c r="BE54" s="4"/>
      <c r="BF54" s="4"/>
      <c r="BG54" s="4"/>
      <c r="BH54" s="4">
        <f t="shared" si="25"/>
        <v>0</v>
      </c>
      <c r="BI54" s="3"/>
      <c r="BJ54" s="4">
        <f t="shared" si="20"/>
        <v>0</v>
      </c>
      <c r="BK54" s="4">
        <f t="shared" si="21"/>
        <v>0</v>
      </c>
      <c r="BL54" s="4"/>
      <c r="BM54" s="4">
        <f t="shared" si="22"/>
        <v>0</v>
      </c>
      <c r="BN54" s="4"/>
      <c r="BO54" s="4"/>
      <c r="BP54" s="4"/>
    </row>
    <row r="55" spans="1:68" s="5" customFormat="1" ht="30" customHeight="1">
      <c r="A55" s="3">
        <v>50</v>
      </c>
      <c r="B55" s="31">
        <v>2155</v>
      </c>
      <c r="C55" s="3" t="s">
        <v>730</v>
      </c>
      <c r="D55" s="4">
        <v>700000</v>
      </c>
      <c r="E55" s="4">
        <v>700000</v>
      </c>
      <c r="F55" s="4">
        <f t="shared" si="0"/>
        <v>0</v>
      </c>
      <c r="G55" s="4">
        <v>700000</v>
      </c>
      <c r="H55" s="4">
        <v>0</v>
      </c>
      <c r="I55" s="4"/>
      <c r="J55" s="4"/>
      <c r="K55" s="4">
        <f t="shared" si="5"/>
        <v>0</v>
      </c>
      <c r="L55" s="4">
        <f t="shared" si="29"/>
        <v>0</v>
      </c>
      <c r="M55" s="4">
        <f t="shared" si="28"/>
        <v>700000</v>
      </c>
      <c r="N55" s="4">
        <v>700000</v>
      </c>
      <c r="O55" s="4">
        <f t="shared" si="7"/>
        <v>0</v>
      </c>
      <c r="P55" s="4">
        <f t="shared" si="8"/>
        <v>0</v>
      </c>
      <c r="Q55" s="4">
        <f t="shared" si="2"/>
        <v>700000</v>
      </c>
      <c r="R55" s="4"/>
      <c r="S55" s="4"/>
      <c r="T55" s="4">
        <f t="shared" si="9"/>
        <v>0</v>
      </c>
      <c r="U55" s="4">
        <f t="shared" si="3"/>
        <v>0</v>
      </c>
      <c r="V55" s="4">
        <f t="shared" si="4"/>
        <v>700000</v>
      </c>
      <c r="W55" s="4">
        <f t="shared" si="30"/>
        <v>0</v>
      </c>
      <c r="X55" s="4">
        <v>700000</v>
      </c>
      <c r="Y55" s="4"/>
      <c r="Z55" s="4"/>
      <c r="AA55" s="4"/>
      <c r="AB55" s="3" t="s">
        <v>731</v>
      </c>
      <c r="AC55" s="3">
        <v>746000</v>
      </c>
      <c r="AD55" s="4"/>
      <c r="AE55" s="4">
        <v>700000</v>
      </c>
      <c r="AF55" s="4"/>
      <c r="AG55" s="4"/>
      <c r="AH55" s="4">
        <f t="shared" si="11"/>
        <v>700000</v>
      </c>
      <c r="AI55" s="4">
        <f t="shared" si="12"/>
        <v>0</v>
      </c>
      <c r="AJ55" s="4"/>
      <c r="AK55" s="4">
        <f t="shared" si="26"/>
        <v>0</v>
      </c>
      <c r="AL55" s="3"/>
      <c r="AM55" s="3"/>
      <c r="AN55" s="3"/>
      <c r="AO55" s="4"/>
      <c r="AP55" s="4"/>
      <c r="AQ55" s="278"/>
      <c r="AR55" s="4">
        <f t="shared" si="23"/>
        <v>0</v>
      </c>
      <c r="AS55" s="4">
        <f t="shared" si="31"/>
        <v>0</v>
      </c>
      <c r="AT55" s="173">
        <f t="shared" si="14"/>
        <v>0</v>
      </c>
      <c r="AU55" s="173">
        <f t="shared" si="15"/>
        <v>700000</v>
      </c>
      <c r="AV55" s="173">
        <f t="shared" si="16"/>
        <v>-700000</v>
      </c>
      <c r="AW55" s="3"/>
      <c r="AX55" s="4">
        <f t="shared" si="17"/>
        <v>-700000</v>
      </c>
      <c r="AY55" s="3"/>
      <c r="AZ55" s="3"/>
      <c r="BA55" s="3"/>
      <c r="BB55" s="173">
        <f t="shared" si="18"/>
        <v>-700000</v>
      </c>
      <c r="BC55" s="4">
        <f t="shared" si="19"/>
        <v>0</v>
      </c>
      <c r="BD55" s="4">
        <v>-700000</v>
      </c>
      <c r="BE55" s="4"/>
      <c r="BF55" s="4"/>
      <c r="BG55" s="4"/>
      <c r="BH55" s="4">
        <f t="shared" si="25"/>
        <v>-700000</v>
      </c>
      <c r="BI55" s="3"/>
      <c r="BJ55" s="4">
        <f t="shared" si="20"/>
        <v>-700000</v>
      </c>
      <c r="BK55" s="4">
        <f t="shared" si="21"/>
        <v>0</v>
      </c>
      <c r="BL55" s="4"/>
      <c r="BM55" s="4">
        <f t="shared" si="22"/>
        <v>-700000</v>
      </c>
      <c r="BN55" s="4"/>
      <c r="BO55" s="4"/>
      <c r="BP55" s="4"/>
    </row>
    <row r="56" spans="1:68" s="5" customFormat="1" ht="30" customHeight="1">
      <c r="A56" s="3">
        <v>51</v>
      </c>
      <c r="B56" s="31">
        <v>2156</v>
      </c>
      <c r="C56" s="3" t="s">
        <v>732</v>
      </c>
      <c r="D56" s="4">
        <v>1600000</v>
      </c>
      <c r="E56" s="4">
        <v>1600000</v>
      </c>
      <c r="F56" s="4">
        <f t="shared" si="0"/>
        <v>0</v>
      </c>
      <c r="G56" s="4">
        <v>400000</v>
      </c>
      <c r="H56" s="4">
        <v>0</v>
      </c>
      <c r="I56" s="4"/>
      <c r="J56" s="4"/>
      <c r="K56" s="4">
        <f t="shared" si="5"/>
        <v>0</v>
      </c>
      <c r="L56" s="4">
        <f t="shared" si="29"/>
        <v>0</v>
      </c>
      <c r="M56" s="4">
        <f t="shared" si="28"/>
        <v>400000</v>
      </c>
      <c r="N56" s="4">
        <f>1600000-800000</f>
        <v>800000</v>
      </c>
      <c r="O56" s="4">
        <f t="shared" si="7"/>
        <v>400000</v>
      </c>
      <c r="P56" s="4">
        <f t="shared" si="8"/>
        <v>800000</v>
      </c>
      <c r="Q56" s="4">
        <f t="shared" si="2"/>
        <v>400000</v>
      </c>
      <c r="R56" s="4"/>
      <c r="S56" s="4"/>
      <c r="T56" s="4">
        <f t="shared" si="9"/>
        <v>0</v>
      </c>
      <c r="U56" s="4">
        <f t="shared" si="3"/>
        <v>0</v>
      </c>
      <c r="V56" s="4">
        <f t="shared" si="4"/>
        <v>800000</v>
      </c>
      <c r="W56" s="4">
        <f t="shared" si="30"/>
        <v>0</v>
      </c>
      <c r="X56" s="4">
        <v>800000</v>
      </c>
      <c r="Y56" s="4"/>
      <c r="Z56" s="4"/>
      <c r="AA56" s="4"/>
      <c r="AB56" s="3" t="s">
        <v>733</v>
      </c>
      <c r="AC56" s="3">
        <v>720000</v>
      </c>
      <c r="AD56" s="4"/>
      <c r="AE56" s="4">
        <v>400000</v>
      </c>
      <c r="AF56" s="4"/>
      <c r="AG56" s="4"/>
      <c r="AH56" s="4">
        <f t="shared" si="11"/>
        <v>400000</v>
      </c>
      <c r="AI56" s="4">
        <f t="shared" si="12"/>
        <v>400000</v>
      </c>
      <c r="AJ56" s="4"/>
      <c r="AK56" s="4">
        <f t="shared" si="26"/>
        <v>400000</v>
      </c>
      <c r="AL56" s="3"/>
      <c r="AM56" s="3"/>
      <c r="AN56" s="3"/>
      <c r="AO56" s="4"/>
      <c r="AP56" s="4"/>
      <c r="AQ56" s="278"/>
      <c r="AR56" s="4">
        <f t="shared" si="23"/>
        <v>0</v>
      </c>
      <c r="AS56" s="4">
        <f t="shared" si="31"/>
        <v>0</v>
      </c>
      <c r="AT56" s="173">
        <f t="shared" si="14"/>
        <v>0</v>
      </c>
      <c r="AU56" s="173">
        <f t="shared" si="15"/>
        <v>1600000</v>
      </c>
      <c r="AV56" s="173">
        <f t="shared" si="16"/>
        <v>-400000</v>
      </c>
      <c r="AW56" s="3"/>
      <c r="AX56" s="4">
        <f t="shared" si="17"/>
        <v>-400000</v>
      </c>
      <c r="AY56" s="3"/>
      <c r="AZ56" s="3"/>
      <c r="BA56" s="3"/>
      <c r="BB56" s="173">
        <f t="shared" si="18"/>
        <v>-400000</v>
      </c>
      <c r="BC56" s="4">
        <f t="shared" si="19"/>
        <v>0</v>
      </c>
      <c r="BD56" s="4">
        <v>-400000</v>
      </c>
      <c r="BE56" s="4"/>
      <c r="BF56" s="4"/>
      <c r="BG56" s="4"/>
      <c r="BH56" s="4">
        <f t="shared" si="25"/>
        <v>-400000</v>
      </c>
      <c r="BI56" s="3"/>
      <c r="BJ56" s="4">
        <f t="shared" si="20"/>
        <v>-400000</v>
      </c>
      <c r="BK56" s="4">
        <f t="shared" si="21"/>
        <v>0</v>
      </c>
      <c r="BL56" s="4"/>
      <c r="BM56" s="4">
        <f t="shared" si="22"/>
        <v>-400000</v>
      </c>
      <c r="BN56" s="4"/>
      <c r="BO56" s="4"/>
      <c r="BP56" s="4"/>
    </row>
    <row r="57" spans="1:68" s="5" customFormat="1" ht="30" customHeight="1">
      <c r="A57" s="3">
        <v>52</v>
      </c>
      <c r="B57" s="31">
        <v>2157</v>
      </c>
      <c r="C57" s="3" t="s">
        <v>1088</v>
      </c>
      <c r="D57" s="4">
        <v>5200000</v>
      </c>
      <c r="E57" s="4">
        <v>5200000</v>
      </c>
      <c r="F57" s="4">
        <f t="shared" si="0"/>
        <v>0</v>
      </c>
      <c r="G57" s="4">
        <v>300000</v>
      </c>
      <c r="H57" s="4">
        <v>0</v>
      </c>
      <c r="I57" s="4"/>
      <c r="J57" s="4"/>
      <c r="K57" s="4">
        <f t="shared" si="5"/>
        <v>0</v>
      </c>
      <c r="L57" s="4">
        <f t="shared" si="29"/>
        <v>0</v>
      </c>
      <c r="M57" s="4">
        <f t="shared" si="28"/>
        <v>300000</v>
      </c>
      <c r="N57" s="4">
        <f>1800000-800000-500000</f>
        <v>500000</v>
      </c>
      <c r="O57" s="4">
        <f t="shared" si="7"/>
        <v>200000</v>
      </c>
      <c r="P57" s="4">
        <f t="shared" si="8"/>
        <v>4700000</v>
      </c>
      <c r="Q57" s="4">
        <f t="shared" si="2"/>
        <v>300000</v>
      </c>
      <c r="R57" s="4"/>
      <c r="S57" s="4"/>
      <c r="T57" s="4">
        <f t="shared" si="9"/>
        <v>0</v>
      </c>
      <c r="U57" s="4">
        <f t="shared" si="3"/>
        <v>0</v>
      </c>
      <c r="V57" s="4">
        <f t="shared" si="4"/>
        <v>500000</v>
      </c>
      <c r="W57" s="4">
        <f t="shared" si="30"/>
        <v>0</v>
      </c>
      <c r="X57" s="4">
        <v>500000</v>
      </c>
      <c r="Y57" s="4"/>
      <c r="Z57" s="4"/>
      <c r="AA57" s="4"/>
      <c r="AB57" s="3" t="s">
        <v>854</v>
      </c>
      <c r="AC57" s="3">
        <v>810000</v>
      </c>
      <c r="AD57" s="4"/>
      <c r="AE57" s="4">
        <v>300000</v>
      </c>
      <c r="AF57" s="4"/>
      <c r="AG57" s="4"/>
      <c r="AH57" s="4">
        <f t="shared" si="11"/>
        <v>300000</v>
      </c>
      <c r="AI57" s="4">
        <f t="shared" si="12"/>
        <v>200000</v>
      </c>
      <c r="AJ57" s="4"/>
      <c r="AK57" s="4">
        <f t="shared" si="26"/>
        <v>200000</v>
      </c>
      <c r="AL57" s="3"/>
      <c r="AM57" s="3"/>
      <c r="AN57" s="3"/>
      <c r="AO57" s="4"/>
      <c r="AP57" s="4"/>
      <c r="AQ57" s="278"/>
      <c r="AR57" s="4">
        <f t="shared" si="23"/>
        <v>0</v>
      </c>
      <c r="AS57" s="4">
        <f t="shared" si="31"/>
        <v>0</v>
      </c>
      <c r="AT57" s="173">
        <f t="shared" si="14"/>
        <v>0</v>
      </c>
      <c r="AU57" s="173">
        <f t="shared" si="15"/>
        <v>5200000</v>
      </c>
      <c r="AV57" s="173">
        <f t="shared" si="16"/>
        <v>-300000</v>
      </c>
      <c r="AW57" s="3"/>
      <c r="AX57" s="4">
        <f t="shared" si="17"/>
        <v>-300000</v>
      </c>
      <c r="AY57" s="3"/>
      <c r="AZ57" s="3"/>
      <c r="BA57" s="3"/>
      <c r="BB57" s="173">
        <f t="shared" si="18"/>
        <v>-300000</v>
      </c>
      <c r="BC57" s="4">
        <f t="shared" si="19"/>
        <v>0</v>
      </c>
      <c r="BD57" s="4">
        <v>-300000</v>
      </c>
      <c r="BE57" s="4"/>
      <c r="BF57" s="4"/>
      <c r="BG57" s="4"/>
      <c r="BH57" s="4">
        <f t="shared" si="25"/>
        <v>-300000</v>
      </c>
      <c r="BI57" s="3"/>
      <c r="BJ57" s="4">
        <f t="shared" si="20"/>
        <v>-300000</v>
      </c>
      <c r="BK57" s="4">
        <f t="shared" si="21"/>
        <v>0</v>
      </c>
      <c r="BL57" s="4"/>
      <c r="BM57" s="4">
        <f t="shared" si="22"/>
        <v>-300000</v>
      </c>
      <c r="BN57" s="4"/>
      <c r="BO57" s="4"/>
      <c r="BP57" s="4"/>
    </row>
    <row r="58" spans="1:68" s="5" customFormat="1" ht="30" customHeight="1">
      <c r="A58" s="3">
        <v>53</v>
      </c>
      <c r="B58" s="31">
        <v>2176</v>
      </c>
      <c r="C58" s="3" t="s">
        <v>954</v>
      </c>
      <c r="D58" s="4">
        <v>2100000</v>
      </c>
      <c r="E58" s="4">
        <v>2100000</v>
      </c>
      <c r="F58" s="4">
        <f t="shared" si="0"/>
        <v>0</v>
      </c>
      <c r="G58" s="4">
        <v>0</v>
      </c>
      <c r="H58" s="4">
        <v>0</v>
      </c>
      <c r="I58" s="4"/>
      <c r="J58" s="4"/>
      <c r="K58" s="4">
        <f t="shared" si="5"/>
        <v>0</v>
      </c>
      <c r="L58" s="4">
        <f t="shared" si="29"/>
        <v>0</v>
      </c>
      <c r="M58" s="4">
        <f t="shared" si="28"/>
        <v>0</v>
      </c>
      <c r="N58" s="4">
        <v>2100000</v>
      </c>
      <c r="O58" s="4">
        <f t="shared" si="7"/>
        <v>2100000</v>
      </c>
      <c r="P58" s="4">
        <f t="shared" si="8"/>
        <v>0</v>
      </c>
      <c r="Q58" s="4">
        <f t="shared" si="2"/>
        <v>0</v>
      </c>
      <c r="R58" s="4"/>
      <c r="S58" s="4"/>
      <c r="T58" s="4">
        <f t="shared" si="9"/>
        <v>0</v>
      </c>
      <c r="U58" s="4">
        <f t="shared" si="3"/>
        <v>0</v>
      </c>
      <c r="V58" s="4">
        <f t="shared" si="4"/>
        <v>2100000</v>
      </c>
      <c r="W58" s="4">
        <f t="shared" si="30"/>
        <v>0</v>
      </c>
      <c r="X58" s="4">
        <v>2100000</v>
      </c>
      <c r="Y58" s="4"/>
      <c r="Z58" s="4"/>
      <c r="AA58" s="4"/>
      <c r="AB58" s="513" t="s">
        <v>1089</v>
      </c>
      <c r="AC58" s="3">
        <v>810000</v>
      </c>
      <c r="AD58" s="4"/>
      <c r="AE58" s="4"/>
      <c r="AF58" s="4"/>
      <c r="AG58" s="4"/>
      <c r="AH58" s="4">
        <f t="shared" si="11"/>
        <v>0</v>
      </c>
      <c r="AI58" s="4">
        <f t="shared" si="12"/>
        <v>2100000</v>
      </c>
      <c r="AJ58" s="4"/>
      <c r="AK58" s="4">
        <f t="shared" si="26"/>
        <v>2100000</v>
      </c>
      <c r="AL58" s="3"/>
      <c r="AM58" s="3"/>
      <c r="AN58" s="3"/>
      <c r="AO58" s="4">
        <v>2100000</v>
      </c>
      <c r="AP58" s="4"/>
      <c r="AQ58" s="648" t="s">
        <v>1090</v>
      </c>
      <c r="AR58" s="4"/>
      <c r="AS58" s="4">
        <f t="shared" si="31"/>
        <v>0</v>
      </c>
      <c r="AT58" s="173">
        <f t="shared" si="14"/>
        <v>0</v>
      </c>
      <c r="AU58" s="173">
        <f t="shared" si="15"/>
        <v>2100000</v>
      </c>
      <c r="AV58" s="173">
        <f t="shared" si="16"/>
        <v>0</v>
      </c>
      <c r="AW58" s="3"/>
      <c r="AX58" s="4">
        <f t="shared" si="17"/>
        <v>0</v>
      </c>
      <c r="AY58" s="3"/>
      <c r="AZ58" s="3"/>
      <c r="BA58" s="3"/>
      <c r="BB58" s="173">
        <f t="shared" si="18"/>
        <v>0</v>
      </c>
      <c r="BC58" s="4">
        <f t="shared" si="19"/>
        <v>0</v>
      </c>
      <c r="BD58" s="4">
        <v>0</v>
      </c>
      <c r="BE58" s="4"/>
      <c r="BF58" s="4"/>
      <c r="BG58" s="4"/>
      <c r="BH58" s="4">
        <f t="shared" si="25"/>
        <v>0</v>
      </c>
      <c r="BI58" s="3"/>
      <c r="BJ58" s="4">
        <f t="shared" si="20"/>
        <v>0</v>
      </c>
      <c r="BK58" s="4">
        <f t="shared" si="21"/>
        <v>0</v>
      </c>
      <c r="BL58" s="4"/>
      <c r="BM58" s="4">
        <f t="shared" si="22"/>
        <v>0</v>
      </c>
      <c r="BN58" s="4"/>
      <c r="BO58" s="4"/>
      <c r="BP58" s="4"/>
    </row>
    <row r="59" spans="1:68" s="5" customFormat="1" ht="30" customHeight="1">
      <c r="A59" s="3">
        <v>54</v>
      </c>
      <c r="B59" s="31">
        <v>2177</v>
      </c>
      <c r="C59" s="3" t="s">
        <v>955</v>
      </c>
      <c r="D59" s="4">
        <v>500000</v>
      </c>
      <c r="E59" s="4">
        <v>500000</v>
      </c>
      <c r="F59" s="4">
        <f t="shared" si="0"/>
        <v>0</v>
      </c>
      <c r="G59" s="4">
        <v>0</v>
      </c>
      <c r="H59" s="4">
        <v>0</v>
      </c>
      <c r="I59" s="4"/>
      <c r="J59" s="4"/>
      <c r="K59" s="4">
        <f t="shared" si="5"/>
        <v>0</v>
      </c>
      <c r="L59" s="4">
        <f t="shared" si="29"/>
        <v>0</v>
      </c>
      <c r="M59" s="4">
        <f t="shared" si="28"/>
        <v>0</v>
      </c>
      <c r="N59" s="4">
        <v>500000</v>
      </c>
      <c r="O59" s="4">
        <f t="shared" si="7"/>
        <v>500000</v>
      </c>
      <c r="P59" s="4">
        <f t="shared" si="8"/>
        <v>0</v>
      </c>
      <c r="Q59" s="4">
        <f t="shared" si="2"/>
        <v>0</v>
      </c>
      <c r="R59" s="4"/>
      <c r="S59" s="4"/>
      <c r="T59" s="4">
        <f t="shared" si="9"/>
        <v>0</v>
      </c>
      <c r="U59" s="4">
        <f t="shared" si="3"/>
        <v>0</v>
      </c>
      <c r="V59" s="4">
        <f t="shared" si="4"/>
        <v>500000</v>
      </c>
      <c r="W59" s="4">
        <f t="shared" si="30"/>
        <v>0</v>
      </c>
      <c r="X59" s="4">
        <v>500000</v>
      </c>
      <c r="Y59" s="4"/>
      <c r="Z59" s="4"/>
      <c r="AA59" s="4"/>
      <c r="AB59" s="513" t="s">
        <v>1091</v>
      </c>
      <c r="AC59" s="3">
        <v>810000</v>
      </c>
      <c r="AD59" s="4"/>
      <c r="AE59" s="4"/>
      <c r="AF59" s="4"/>
      <c r="AG59" s="4"/>
      <c r="AH59" s="4">
        <f>SUM(AD59:AG59)</f>
        <v>0</v>
      </c>
      <c r="AI59" s="4">
        <f>V59-AH59</f>
        <v>500000</v>
      </c>
      <c r="AJ59" s="4"/>
      <c r="AK59" s="4">
        <f t="shared" si="26"/>
        <v>500000</v>
      </c>
      <c r="AL59" s="3"/>
      <c r="AM59" s="3"/>
      <c r="AN59" s="3"/>
      <c r="AO59" s="4"/>
      <c r="AP59" s="4"/>
      <c r="AQ59" s="278"/>
      <c r="AR59" s="4">
        <f t="shared" si="23"/>
        <v>0</v>
      </c>
      <c r="AS59" s="4">
        <f t="shared" si="31"/>
        <v>0</v>
      </c>
      <c r="AT59" s="173">
        <f t="shared" si="14"/>
        <v>0</v>
      </c>
      <c r="AU59" s="173">
        <f t="shared" si="15"/>
        <v>500000</v>
      </c>
      <c r="AV59" s="173">
        <f t="shared" si="16"/>
        <v>0</v>
      </c>
      <c r="AW59" s="3"/>
      <c r="AX59" s="4">
        <f t="shared" si="17"/>
        <v>0</v>
      </c>
      <c r="AY59" s="3"/>
      <c r="AZ59" s="3"/>
      <c r="BA59" s="3"/>
      <c r="BB59" s="173">
        <f t="shared" si="18"/>
        <v>0</v>
      </c>
      <c r="BC59" s="4">
        <f t="shared" si="19"/>
        <v>0</v>
      </c>
      <c r="BD59" s="4">
        <v>0</v>
      </c>
      <c r="BE59" s="4"/>
      <c r="BF59" s="4"/>
      <c r="BG59" s="4"/>
      <c r="BH59" s="4">
        <f t="shared" si="25"/>
        <v>0</v>
      </c>
      <c r="BI59" s="3"/>
      <c r="BJ59" s="4">
        <f t="shared" si="20"/>
        <v>0</v>
      </c>
      <c r="BK59" s="4">
        <f t="shared" si="21"/>
        <v>0</v>
      </c>
      <c r="BL59" s="4"/>
      <c r="BM59" s="4">
        <f t="shared" si="22"/>
        <v>0</v>
      </c>
      <c r="BN59" s="4"/>
      <c r="BO59" s="4"/>
      <c r="BP59" s="4"/>
    </row>
    <row r="60" spans="1:68" s="5" customFormat="1" ht="30" customHeight="1">
      <c r="A60" s="3">
        <v>55</v>
      </c>
      <c r="B60" s="31">
        <v>2178</v>
      </c>
      <c r="C60" s="3" t="s">
        <v>1092</v>
      </c>
      <c r="D60" s="4">
        <v>3100000</v>
      </c>
      <c r="E60" s="4">
        <v>3100000</v>
      </c>
      <c r="F60" s="4">
        <f t="shared" si="0"/>
        <v>0</v>
      </c>
      <c r="G60" s="4">
        <v>0</v>
      </c>
      <c r="H60" s="4">
        <v>0</v>
      </c>
      <c r="I60" s="4"/>
      <c r="J60" s="4"/>
      <c r="K60" s="4">
        <f t="shared" si="5"/>
        <v>0</v>
      </c>
      <c r="L60" s="4">
        <f t="shared" si="29"/>
        <v>0</v>
      </c>
      <c r="M60" s="4">
        <f t="shared" si="28"/>
        <v>0</v>
      </c>
      <c r="N60" s="4">
        <v>3100000</v>
      </c>
      <c r="O60" s="4">
        <f t="shared" si="7"/>
        <v>3100000</v>
      </c>
      <c r="P60" s="4">
        <f t="shared" si="8"/>
        <v>0</v>
      </c>
      <c r="Q60" s="4">
        <f t="shared" si="2"/>
        <v>0</v>
      </c>
      <c r="R60" s="4"/>
      <c r="S60" s="4"/>
      <c r="T60" s="4">
        <f t="shared" si="9"/>
        <v>0</v>
      </c>
      <c r="U60" s="4">
        <f t="shared" si="3"/>
        <v>0</v>
      </c>
      <c r="V60" s="4">
        <f t="shared" si="4"/>
        <v>3100000</v>
      </c>
      <c r="W60" s="4">
        <f t="shared" si="30"/>
        <v>0</v>
      </c>
      <c r="X60" s="4">
        <v>3100000</v>
      </c>
      <c r="Y60" s="4"/>
      <c r="Z60" s="4"/>
      <c r="AA60" s="4"/>
      <c r="AB60" s="513" t="s">
        <v>1093</v>
      </c>
      <c r="AC60" s="3">
        <v>810000</v>
      </c>
      <c r="AD60" s="4"/>
      <c r="AE60" s="4"/>
      <c r="AF60" s="4"/>
      <c r="AG60" s="4"/>
      <c r="AH60" s="4">
        <f>SUM(AD60:AG60)</f>
        <v>0</v>
      </c>
      <c r="AI60" s="4">
        <f>V60-AH60</f>
        <v>3100000</v>
      </c>
      <c r="AJ60" s="4"/>
      <c r="AK60" s="4">
        <f t="shared" si="26"/>
        <v>3100000</v>
      </c>
      <c r="AL60" s="3"/>
      <c r="AM60" s="3"/>
      <c r="AN60" s="3"/>
      <c r="AO60" s="4">
        <v>3100000</v>
      </c>
      <c r="AP60" s="4"/>
      <c r="AQ60" s="278"/>
      <c r="AR60" s="4">
        <f t="shared" si="23"/>
        <v>3100000</v>
      </c>
      <c r="AS60" s="4">
        <f t="shared" si="31"/>
        <v>0</v>
      </c>
      <c r="AT60" s="173">
        <f t="shared" si="14"/>
        <v>3100000</v>
      </c>
      <c r="AU60" s="173">
        <f t="shared" si="15"/>
        <v>0</v>
      </c>
      <c r="AV60" s="173">
        <f t="shared" si="16"/>
        <v>3100000</v>
      </c>
      <c r="AW60" s="173">
        <v>3100000</v>
      </c>
      <c r="AX60" s="4">
        <f t="shared" si="17"/>
        <v>0</v>
      </c>
      <c r="AY60" s="3"/>
      <c r="AZ60" s="3"/>
      <c r="BA60" s="3"/>
      <c r="BB60" s="173">
        <f t="shared" si="18"/>
        <v>0</v>
      </c>
      <c r="BC60" s="4">
        <f t="shared" si="19"/>
        <v>3100000</v>
      </c>
      <c r="BD60" s="4">
        <v>3100000</v>
      </c>
      <c r="BE60" s="4"/>
      <c r="BF60" s="4"/>
      <c r="BG60" s="4"/>
      <c r="BH60" s="4">
        <f t="shared" si="25"/>
        <v>3100000</v>
      </c>
      <c r="BI60" s="3"/>
      <c r="BJ60" s="4">
        <f t="shared" si="20"/>
        <v>3100000</v>
      </c>
      <c r="BK60" s="4">
        <f t="shared" si="21"/>
        <v>0</v>
      </c>
      <c r="BL60" s="4">
        <v>3100000</v>
      </c>
      <c r="BM60" s="4">
        <f t="shared" si="22"/>
        <v>0</v>
      </c>
      <c r="BN60" s="4"/>
      <c r="BO60" s="4"/>
      <c r="BP60" s="4"/>
    </row>
    <row r="61" spans="1:68" s="70" customFormat="1" ht="30" customHeight="1">
      <c r="A61" s="33">
        <v>55</v>
      </c>
      <c r="B61" s="33"/>
      <c r="C61" s="178" t="s">
        <v>514</v>
      </c>
      <c r="D61" s="73">
        <f>SUBTOTAL(9,D6:D60)</f>
        <v>408834105</v>
      </c>
      <c r="E61" s="73">
        <f t="shared" ref="E61:BA61" si="32">SUBTOTAL(9,E6:E60)</f>
        <v>408834105</v>
      </c>
      <c r="F61" s="73">
        <f t="shared" si="32"/>
        <v>0</v>
      </c>
      <c r="G61" s="73">
        <f t="shared" si="32"/>
        <v>270451901</v>
      </c>
      <c r="H61" s="73">
        <f t="shared" si="32"/>
        <v>190562965.44999999</v>
      </c>
      <c r="I61" s="73">
        <f t="shared" si="32"/>
        <v>12731990.989999998</v>
      </c>
      <c r="J61" s="73">
        <f t="shared" si="32"/>
        <v>27192992.630000003</v>
      </c>
      <c r="K61" s="73">
        <f t="shared" si="32"/>
        <v>39924983.619999997</v>
      </c>
      <c r="L61" s="73">
        <f t="shared" si="32"/>
        <v>230487949.06999993</v>
      </c>
      <c r="M61" s="73">
        <f t="shared" si="32"/>
        <v>39963951.929999992</v>
      </c>
      <c r="N61" s="73">
        <f t="shared" si="32"/>
        <v>60761300</v>
      </c>
      <c r="O61" s="73">
        <f t="shared" si="32"/>
        <v>41619300</v>
      </c>
      <c r="P61" s="73">
        <f t="shared" si="32"/>
        <v>96762904</v>
      </c>
      <c r="Q61" s="73">
        <f t="shared" si="32"/>
        <v>39963951.929999992</v>
      </c>
      <c r="R61" s="73">
        <f t="shared" si="32"/>
        <v>0</v>
      </c>
      <c r="S61" s="73">
        <f t="shared" si="32"/>
        <v>0</v>
      </c>
      <c r="T61" s="73">
        <f t="shared" si="32"/>
        <v>0</v>
      </c>
      <c r="U61" s="73">
        <f t="shared" si="32"/>
        <v>0</v>
      </c>
      <c r="V61" s="73">
        <f t="shared" si="32"/>
        <v>60761300</v>
      </c>
      <c r="W61" s="73">
        <f t="shared" si="32"/>
        <v>18950000</v>
      </c>
      <c r="X61" s="73">
        <f t="shared" si="32"/>
        <v>30600000</v>
      </c>
      <c r="Y61" s="73">
        <f t="shared" si="32"/>
        <v>0</v>
      </c>
      <c r="Z61" s="73">
        <f t="shared" si="32"/>
        <v>0</v>
      </c>
      <c r="AA61" s="73">
        <f t="shared" si="32"/>
        <v>11211300</v>
      </c>
      <c r="AB61" s="73">
        <f t="shared" si="32"/>
        <v>0</v>
      </c>
      <c r="AC61" s="73">
        <f t="shared" si="32"/>
        <v>44620500</v>
      </c>
      <c r="AD61" s="73">
        <f t="shared" si="32"/>
        <v>608000</v>
      </c>
      <c r="AE61" s="73">
        <f t="shared" si="32"/>
        <v>12100000</v>
      </c>
      <c r="AF61" s="73">
        <f t="shared" si="32"/>
        <v>6434000</v>
      </c>
      <c r="AG61" s="73">
        <f t="shared" si="32"/>
        <v>0</v>
      </c>
      <c r="AH61" s="73">
        <f t="shared" si="32"/>
        <v>19142000</v>
      </c>
      <c r="AI61" s="73">
        <f t="shared" si="32"/>
        <v>41619300</v>
      </c>
      <c r="AJ61" s="73">
        <f t="shared" si="32"/>
        <v>11550000</v>
      </c>
      <c r="AK61" s="73">
        <f t="shared" si="32"/>
        <v>18858000</v>
      </c>
      <c r="AL61" s="73">
        <f t="shared" si="32"/>
        <v>0</v>
      </c>
      <c r="AM61" s="73">
        <f t="shared" si="32"/>
        <v>0</v>
      </c>
      <c r="AN61" s="73">
        <f t="shared" si="32"/>
        <v>11211300</v>
      </c>
      <c r="AO61" s="73">
        <f t="shared" si="32"/>
        <v>22468000</v>
      </c>
      <c r="AP61" s="73">
        <f t="shared" si="32"/>
        <v>15797736.610000001</v>
      </c>
      <c r="AQ61" s="425">
        <f t="shared" si="32"/>
        <v>0</v>
      </c>
      <c r="AR61" s="73">
        <f t="shared" si="32"/>
        <v>13188000</v>
      </c>
      <c r="AS61" s="73">
        <f t="shared" si="32"/>
        <v>20780951.18</v>
      </c>
      <c r="AT61" s="73">
        <f t="shared" si="32"/>
        <v>33968951.18</v>
      </c>
      <c r="AU61" s="73">
        <f t="shared" si="32"/>
        <v>144377204.75</v>
      </c>
      <c r="AV61" s="73">
        <f t="shared" si="32"/>
        <v>-5995000.7500000037</v>
      </c>
      <c r="AW61" s="73">
        <f t="shared" si="32"/>
        <v>-6080000</v>
      </c>
      <c r="AX61" s="73">
        <f t="shared" si="32"/>
        <v>-25000.750000001863</v>
      </c>
      <c r="AY61" s="73">
        <f t="shared" si="32"/>
        <v>0</v>
      </c>
      <c r="AZ61" s="73">
        <f t="shared" si="32"/>
        <v>0</v>
      </c>
      <c r="BA61" s="73">
        <f t="shared" si="32"/>
        <v>110000</v>
      </c>
      <c r="BB61" s="73">
        <f>SUM(BB6:BB60)</f>
        <v>-19183000.750000004</v>
      </c>
      <c r="BC61" s="73">
        <f>SUM(BC6:BC60)</f>
        <v>13188000</v>
      </c>
      <c r="BD61" s="73">
        <f t="shared" ref="BD61:BJ61" si="33">SUM(BD6:BD60)</f>
        <v>-5995000</v>
      </c>
      <c r="BE61" s="73">
        <f t="shared" si="33"/>
        <v>-110000</v>
      </c>
      <c r="BF61" s="73">
        <f t="shared" si="33"/>
        <v>0</v>
      </c>
      <c r="BG61" s="73">
        <f t="shared" si="33"/>
        <v>0</v>
      </c>
      <c r="BH61" s="73">
        <f t="shared" si="33"/>
        <v>-6105000</v>
      </c>
      <c r="BI61" s="73">
        <f t="shared" si="33"/>
        <v>0</v>
      </c>
      <c r="BJ61" s="73">
        <f t="shared" si="33"/>
        <v>-6105000</v>
      </c>
      <c r="BK61" s="73">
        <f>SUM(BK6:BK60)+0.9</f>
        <v>110000.31999999777</v>
      </c>
      <c r="BL61" s="73">
        <f>SUM(BL6:BL60)-0.4</f>
        <v>-6080000.4000000004</v>
      </c>
      <c r="BM61" s="73">
        <f>SUM(BM6:BM60)-0.4</f>
        <v>-25000.400000000001</v>
      </c>
      <c r="BN61" s="73">
        <f>SUM(BN6:BN60)+0.9</f>
        <v>0.9</v>
      </c>
      <c r="BO61" s="73">
        <f>SUM(BO6:BO60)+0.9</f>
        <v>0.9</v>
      </c>
      <c r="BP61" s="73">
        <f>SUM(BP6:BP60)</f>
        <v>0</v>
      </c>
    </row>
    <row r="62" spans="1:68" s="23" customFormat="1">
      <c r="B62" s="17"/>
      <c r="C62" s="12"/>
      <c r="D62" s="21"/>
      <c r="E62" s="21"/>
      <c r="F62" s="21"/>
      <c r="G62" s="21"/>
      <c r="H62" s="21"/>
      <c r="I62" s="21"/>
      <c r="J62" s="21"/>
      <c r="K62" s="21"/>
      <c r="L62" s="21">
        <f>K61+H61</f>
        <v>230487949.06999999</v>
      </c>
      <c r="M62" s="21"/>
      <c r="N62" s="21"/>
      <c r="O62" s="21"/>
      <c r="P62" s="21">
        <f>L61+M61+O61+P61</f>
        <v>408834104.99999994</v>
      </c>
      <c r="Q62" s="21">
        <f>G61-L61</f>
        <v>39963951.930000067</v>
      </c>
      <c r="R62" s="21"/>
      <c r="S62" s="21"/>
      <c r="T62" s="21"/>
      <c r="U62" s="21">
        <f>Q62+T61-M61</f>
        <v>7.4505805969238281E-8</v>
      </c>
      <c r="V62" s="21">
        <f>N61-U62</f>
        <v>60761299.999999925</v>
      </c>
      <c r="W62" s="17"/>
      <c r="X62" s="17"/>
      <c r="Y62" s="17"/>
      <c r="Z62" s="17"/>
      <c r="AA62" s="17"/>
      <c r="AB62" s="18"/>
      <c r="AC62" s="17"/>
      <c r="AD62" s="166"/>
      <c r="AE62" s="166"/>
      <c r="AF62" s="166"/>
      <c r="AG62" s="166"/>
      <c r="AH62" s="24"/>
      <c r="AI62" s="301"/>
      <c r="AJ62" s="301"/>
      <c r="AK62" s="302"/>
      <c r="AL62" s="306"/>
      <c r="AO62" s="514"/>
      <c r="AP62" s="514"/>
      <c r="AQ62" s="649"/>
    </row>
    <row r="63" spans="1:68" s="23" customFormat="1">
      <c r="B63" s="17"/>
      <c r="C63" s="1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Q63" s="167"/>
      <c r="R63" s="21"/>
      <c r="S63" s="21"/>
      <c r="T63" s="21"/>
      <c r="U63" s="21"/>
      <c r="V63" s="17"/>
      <c r="W63" s="17"/>
      <c r="X63" s="17"/>
      <c r="Y63" s="17"/>
      <c r="Z63" s="17"/>
      <c r="AA63" s="17"/>
      <c r="AB63" s="18"/>
      <c r="AC63" s="17"/>
      <c r="AD63" s="166"/>
      <c r="AE63" s="166"/>
      <c r="AF63" s="166"/>
      <c r="AG63" s="166"/>
      <c r="AH63" s="24"/>
      <c r="AI63" s="301"/>
      <c r="AJ63" s="301"/>
      <c r="AK63" s="302"/>
      <c r="AL63" s="306"/>
      <c r="AO63" s="3"/>
      <c r="AP63" s="3"/>
      <c r="AQ63" s="649"/>
    </row>
    <row r="64" spans="1:68">
      <c r="A64" s="12"/>
      <c r="D64" s="12"/>
      <c r="E64" s="12"/>
      <c r="F64" s="12"/>
      <c r="G64" s="12"/>
      <c r="H64" s="12"/>
      <c r="I64" s="12"/>
      <c r="J64" s="12"/>
      <c r="K64" s="12"/>
      <c r="L64" s="12"/>
      <c r="M64" s="12" t="s">
        <v>1010</v>
      </c>
      <c r="N64" s="21">
        <v>54061300</v>
      </c>
      <c r="O64" s="21"/>
      <c r="P64" s="21"/>
      <c r="Q64" s="21"/>
      <c r="R64" s="21"/>
      <c r="S64" s="21"/>
      <c r="T64" s="21"/>
      <c r="U64" s="21"/>
      <c r="V64" s="17"/>
      <c r="AO64" s="3"/>
      <c r="AP64" s="3"/>
    </row>
    <row r="65" spans="1:42">
      <c r="A65" s="12"/>
      <c r="D65" s="12"/>
      <c r="E65" s="12"/>
      <c r="F65" s="12"/>
      <c r="G65" s="12"/>
      <c r="H65" s="12"/>
      <c r="I65" s="12"/>
      <c r="J65" s="12"/>
      <c r="K65" s="12"/>
      <c r="L65" s="12"/>
      <c r="M65" s="12" t="s">
        <v>1011</v>
      </c>
      <c r="N65" s="21">
        <v>6700000</v>
      </c>
      <c r="O65" s="21"/>
      <c r="P65" s="21"/>
      <c r="Q65" s="21"/>
      <c r="R65" s="21"/>
      <c r="S65" s="21"/>
      <c r="T65" s="21"/>
      <c r="U65" s="21"/>
      <c r="V65" s="17"/>
      <c r="AO65" s="3"/>
      <c r="AP65" s="3"/>
    </row>
    <row r="66" spans="1:42">
      <c r="A66" s="12"/>
      <c r="D66" s="12"/>
      <c r="E66" s="12"/>
      <c r="F66" s="12"/>
      <c r="G66" s="12"/>
      <c r="H66" s="12"/>
      <c r="I66" s="12"/>
      <c r="J66" s="12"/>
      <c r="K66" s="12"/>
      <c r="L66" s="12" t="s">
        <v>1094</v>
      </c>
      <c r="M66" s="12" t="s">
        <v>1011</v>
      </c>
      <c r="N66" s="21">
        <v>460000</v>
      </c>
      <c r="O66" s="21"/>
      <c r="P66" s="21"/>
      <c r="Q66" s="21"/>
      <c r="R66" s="21"/>
      <c r="S66" s="21"/>
      <c r="T66" s="21"/>
      <c r="U66" s="21"/>
      <c r="V66" s="17"/>
      <c r="AO66" s="3"/>
      <c r="AP66" s="3"/>
    </row>
    <row r="67" spans="1:42">
      <c r="AO67" s="17"/>
      <c r="AP67" s="17"/>
    </row>
    <row r="68" spans="1:42">
      <c r="AO68" s="17"/>
      <c r="AP68" s="17"/>
    </row>
    <row r="69" spans="1:42">
      <c r="AO69" s="17"/>
      <c r="AP69" s="17"/>
    </row>
    <row r="70" spans="1:42">
      <c r="AO70" s="17"/>
      <c r="AP70" s="17"/>
    </row>
    <row r="71" spans="1:42">
      <c r="AO71" s="17"/>
      <c r="AP71" s="17"/>
    </row>
    <row r="72" spans="1:42">
      <c r="AO72" s="17"/>
      <c r="AP72" s="17"/>
    </row>
    <row r="73" spans="1:42">
      <c r="AO73" s="17"/>
      <c r="AP73" s="17"/>
    </row>
    <row r="74" spans="1:42">
      <c r="AO74" s="17"/>
      <c r="AP74" s="17"/>
    </row>
    <row r="75" spans="1:42">
      <c r="AO75" s="17"/>
      <c r="AP75" s="17"/>
    </row>
    <row r="76" spans="1:42">
      <c r="AO76" s="17"/>
      <c r="AP76" s="17"/>
    </row>
    <row r="77" spans="1:42">
      <c r="AO77" s="17"/>
      <c r="AP77" s="17"/>
    </row>
    <row r="78" spans="1:42">
      <c r="AO78" s="17"/>
      <c r="AP78" s="17"/>
    </row>
    <row r="79" spans="1:42">
      <c r="AO79" s="17"/>
      <c r="AP79" s="17"/>
    </row>
    <row r="80" spans="1:42">
      <c r="AO80" s="17"/>
      <c r="AP80" s="17"/>
    </row>
    <row r="81" spans="41:42">
      <c r="AO81" s="17"/>
      <c r="AP81" s="17"/>
    </row>
    <row r="82" spans="41:42">
      <c r="AO82" s="17"/>
      <c r="AP82" s="17"/>
    </row>
    <row r="83" spans="41:42">
      <c r="AO83" s="17"/>
      <c r="AP83" s="17"/>
    </row>
    <row r="84" spans="41:42">
      <c r="AO84" s="17"/>
      <c r="AP84" s="17"/>
    </row>
    <row r="85" spans="41:42">
      <c r="AO85" s="17"/>
      <c r="AP85" s="17"/>
    </row>
    <row r="86" spans="41:42">
      <c r="AO86" s="17"/>
      <c r="AP86" s="17"/>
    </row>
    <row r="87" spans="41:42">
      <c r="AO87" s="17"/>
      <c r="AP87" s="17"/>
    </row>
    <row r="88" spans="41:42">
      <c r="AO88" s="17"/>
      <c r="AP88" s="17"/>
    </row>
    <row r="89" spans="41:42">
      <c r="AO89" s="17"/>
      <c r="AP89" s="17"/>
    </row>
    <row r="90" spans="41:42">
      <c r="AO90" s="17"/>
      <c r="AP90" s="17"/>
    </row>
    <row r="91" spans="41:42">
      <c r="AO91" s="17"/>
      <c r="AP91" s="17"/>
    </row>
    <row r="92" spans="41:42">
      <c r="AO92" s="17"/>
      <c r="AP92" s="17"/>
    </row>
    <row r="93" spans="41:42">
      <c r="AO93" s="17"/>
      <c r="AP93" s="17"/>
    </row>
    <row r="94" spans="41:42">
      <c r="AO94" s="17"/>
      <c r="AP94" s="17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22"/>
  <sheetViews>
    <sheetView showZeros="0" rightToLeft="1" zoomScaleNormal="100" workbookViewId="0">
      <pane xSplit="3" ySplit="5" topLeftCell="D7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86" customWidth="1"/>
    <col min="2" max="2" width="4.6328125" style="166" customWidth="1"/>
    <col min="3" max="3" width="29.36328125" style="166" customWidth="1"/>
    <col min="4" max="15" width="9.08984375" style="167" hidden="1" customWidth="1"/>
    <col min="16" max="16" width="10.08984375" style="167" hidden="1" customWidth="1"/>
    <col min="17" max="21" width="9.08984375" style="167" hidden="1" customWidth="1"/>
    <col min="22" max="27" width="9.08984375" style="166" hidden="1" customWidth="1"/>
    <col min="28" max="28" width="43" style="286" hidden="1" customWidth="1"/>
    <col min="29" max="29" width="7.90625" style="166" hidden="1" customWidth="1"/>
    <col min="30" max="34" width="10.6328125" style="283" hidden="1" customWidth="1"/>
    <col min="35" max="36" width="10.6328125" style="166" hidden="1" customWidth="1"/>
    <col min="37" max="37" width="10.6328125" style="294" hidden="1" customWidth="1"/>
    <col min="38" max="40" width="10.6328125" style="166" hidden="1" customWidth="1"/>
    <col min="41" max="41" width="14.453125" style="12" hidden="1" customWidth="1"/>
    <col min="42" max="42" width="16.36328125" style="12" hidden="1" customWidth="1"/>
    <col min="43" max="43" width="28.54296875" style="183" hidden="1" customWidth="1"/>
    <col min="44" max="44" width="8.08984375" style="166" hidden="1" customWidth="1"/>
    <col min="45" max="46" width="13.6328125" style="166" hidden="1" customWidth="1"/>
    <col min="47" max="47" width="9.81640625" style="166" hidden="1" customWidth="1"/>
    <col min="48" max="50" width="11.81640625" style="166" customWidth="1"/>
    <col min="51" max="52" width="11.81640625" style="166" hidden="1" customWidth="1"/>
    <col min="53" max="55" width="11.81640625" style="166" customWidth="1"/>
    <col min="56" max="60" width="11.81640625" style="183" hidden="1" customWidth="1"/>
    <col min="61" max="61" width="11.81640625" style="166" hidden="1" customWidth="1"/>
    <col min="62" max="62" width="11.81640625" style="166" customWidth="1"/>
    <col min="63" max="63" width="11.81640625" style="183" customWidth="1"/>
    <col min="64" max="65" width="11.81640625" style="166" customWidth="1"/>
    <col min="66" max="67" width="11.81640625" style="166" hidden="1" customWidth="1"/>
    <col min="68" max="68" width="11.81640625" style="166" customWidth="1"/>
    <col min="69" max="16384" width="9.08984375" style="166"/>
  </cols>
  <sheetData>
    <row r="1" spans="1:68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D1" s="283"/>
      <c r="AE1" s="283"/>
      <c r="AF1" s="283"/>
      <c r="AG1" s="283"/>
      <c r="AH1" s="283"/>
      <c r="AK1" s="294"/>
      <c r="AO1" s="28"/>
      <c r="AP1" s="28"/>
      <c r="AQ1" s="183"/>
      <c r="AR1" s="166"/>
      <c r="BD1" s="183"/>
      <c r="BE1" s="183"/>
      <c r="BF1" s="183"/>
      <c r="BG1" s="183"/>
      <c r="BH1" s="183"/>
      <c r="BK1" s="183"/>
    </row>
    <row r="2" spans="1:68">
      <c r="A2" s="282" t="s">
        <v>1566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</row>
    <row r="3" spans="1:68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</row>
    <row r="4" spans="1:68" ht="14">
      <c r="A4" s="40"/>
      <c r="B4" s="40"/>
      <c r="C4" s="376"/>
      <c r="D4" s="776" t="s">
        <v>1056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27" t="s">
        <v>292</v>
      </c>
      <c r="AW4" s="783" t="s">
        <v>967</v>
      </c>
      <c r="AX4" s="783"/>
      <c r="AY4" s="783"/>
      <c r="AZ4" s="783"/>
      <c r="BA4" s="783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308" customFormat="1" ht="84">
      <c r="A5" s="431" t="s">
        <v>0</v>
      </c>
      <c r="B5" s="431" t="s">
        <v>1</v>
      </c>
      <c r="C5" s="431" t="s">
        <v>2</v>
      </c>
      <c r="D5" s="431" t="s">
        <v>3</v>
      </c>
      <c r="E5" s="431" t="s">
        <v>4</v>
      </c>
      <c r="F5" s="431" t="s">
        <v>5</v>
      </c>
      <c r="G5" s="431" t="s">
        <v>6</v>
      </c>
      <c r="H5" s="431" t="s">
        <v>7</v>
      </c>
      <c r="I5" s="431" t="s">
        <v>9</v>
      </c>
      <c r="J5" s="431" t="s">
        <v>178</v>
      </c>
      <c r="K5" s="431" t="s">
        <v>10</v>
      </c>
      <c r="L5" s="431" t="s">
        <v>11</v>
      </c>
      <c r="M5" s="432" t="s">
        <v>970</v>
      </c>
      <c r="N5" s="433" t="s">
        <v>971</v>
      </c>
      <c r="O5" s="433" t="s">
        <v>972</v>
      </c>
      <c r="P5" s="431" t="s">
        <v>628</v>
      </c>
      <c r="Q5" s="431" t="s">
        <v>12</v>
      </c>
      <c r="R5" s="431" t="s">
        <v>630</v>
      </c>
      <c r="S5" s="431" t="s">
        <v>631</v>
      </c>
      <c r="T5" s="431" t="s">
        <v>632</v>
      </c>
      <c r="U5" s="431" t="s">
        <v>629</v>
      </c>
      <c r="V5" s="446" t="s">
        <v>973</v>
      </c>
      <c r="W5" s="431" t="s">
        <v>13</v>
      </c>
      <c r="X5" s="431" t="s">
        <v>14</v>
      </c>
      <c r="Y5" s="431" t="s">
        <v>15</v>
      </c>
      <c r="Z5" s="431" t="s">
        <v>301</v>
      </c>
      <c r="AA5" s="431" t="s">
        <v>91</v>
      </c>
      <c r="AB5" s="433" t="s">
        <v>344</v>
      </c>
      <c r="AC5" s="431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1"/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176" customFormat="1" ht="30" customHeight="1">
      <c r="A6" s="172">
        <v>1</v>
      </c>
      <c r="B6" s="172">
        <v>1621</v>
      </c>
      <c r="C6" s="172" t="s">
        <v>57</v>
      </c>
      <c r="D6" s="173">
        <v>3300000</v>
      </c>
      <c r="E6" s="173">
        <v>3300000</v>
      </c>
      <c r="F6" s="173">
        <f>D6-E6</f>
        <v>0</v>
      </c>
      <c r="G6" s="173">
        <v>2800000</v>
      </c>
      <c r="H6" s="173">
        <v>1797638</v>
      </c>
      <c r="I6" s="173"/>
      <c r="J6" s="173">
        <v>36080.93</v>
      </c>
      <c r="K6" s="173">
        <f>SUM(I6:J6)</f>
        <v>36080.93</v>
      </c>
      <c r="L6" s="173">
        <f>H6+K6</f>
        <v>1833718.93</v>
      </c>
      <c r="M6" s="173">
        <f>Q6+T6</f>
        <v>966281.07000000007</v>
      </c>
      <c r="N6" s="173">
        <v>500000</v>
      </c>
      <c r="O6" s="173">
        <f>N6-AH6</f>
        <v>500000</v>
      </c>
      <c r="P6" s="173">
        <f>D6-L6-M6-N6</f>
        <v>0</v>
      </c>
      <c r="Q6" s="173">
        <f>G6-L6</f>
        <v>966281.07000000007</v>
      </c>
      <c r="R6" s="173"/>
      <c r="S6" s="173"/>
      <c r="T6" s="173">
        <f>SUM(R6:S6)</f>
        <v>0</v>
      </c>
      <c r="U6" s="173">
        <f>Q6-M6+T6</f>
        <v>0</v>
      </c>
      <c r="V6" s="173">
        <f>N6-U6</f>
        <v>500000</v>
      </c>
      <c r="W6" s="173"/>
      <c r="X6" s="173">
        <f>V6-W6-Z6-AA6</f>
        <v>500000</v>
      </c>
      <c r="Y6" s="173"/>
      <c r="Z6" s="173"/>
      <c r="AA6" s="172"/>
      <c r="AB6" s="293" t="s">
        <v>620</v>
      </c>
      <c r="AC6" s="172">
        <v>723000</v>
      </c>
      <c r="AD6" s="321"/>
      <c r="AE6" s="321"/>
      <c r="AF6" s="173">
        <f>500000-500000</f>
        <v>0</v>
      </c>
      <c r="AG6" s="173">
        <f>500000-500000</f>
        <v>0</v>
      </c>
      <c r="AH6" s="173">
        <f>SUM(AD6:AG6)</f>
        <v>0</v>
      </c>
      <c r="AI6" s="173">
        <f>V6-AH6</f>
        <v>500000</v>
      </c>
      <c r="AJ6" s="173"/>
      <c r="AK6" s="173">
        <f>AI6</f>
        <v>500000</v>
      </c>
      <c r="AL6" s="173"/>
      <c r="AM6" s="173"/>
      <c r="AN6" s="173"/>
      <c r="AO6" s="173">
        <v>500000</v>
      </c>
      <c r="AP6" s="173">
        <v>966281</v>
      </c>
      <c r="AQ6" s="172" t="s">
        <v>1057</v>
      </c>
      <c r="AR6" s="173"/>
      <c r="AS6" s="173">
        <f>500000+466281</f>
        <v>966281</v>
      </c>
      <c r="AT6" s="173">
        <f>SUM(AR6:AS6)</f>
        <v>966281</v>
      </c>
      <c r="AU6" s="173">
        <f>D6-L6-AT6</f>
        <v>500000.07000000007</v>
      </c>
      <c r="AV6" s="173">
        <f>AR6+AS6-M6</f>
        <v>-7.000000006519258E-2</v>
      </c>
      <c r="AW6" s="192"/>
      <c r="AX6" s="173">
        <f>AS6-M6+AR6</f>
        <v>-7.000000006519258E-2</v>
      </c>
      <c r="AY6" s="172"/>
      <c r="AZ6" s="172"/>
      <c r="BA6" s="172"/>
      <c r="BB6" s="173">
        <f>AS6-M6</f>
        <v>-7.000000006519258E-2</v>
      </c>
      <c r="BC6" s="4">
        <f>AR6</f>
        <v>0</v>
      </c>
      <c r="BD6" s="173"/>
      <c r="BE6" s="173"/>
      <c r="BF6" s="173"/>
      <c r="BG6" s="173"/>
      <c r="BH6" s="173">
        <f>SUM(BD6:BF6)</f>
        <v>0</v>
      </c>
      <c r="BI6" s="172"/>
      <c r="BJ6" s="173">
        <f>BH6+BI6</f>
        <v>0</v>
      </c>
      <c r="BK6" s="173">
        <f>AV6-BJ6</f>
        <v>-7.000000006519258E-2</v>
      </c>
      <c r="BL6" s="173"/>
      <c r="BM6" s="173">
        <f>BJ6</f>
        <v>0</v>
      </c>
      <c r="BN6" s="173"/>
      <c r="BO6" s="173"/>
      <c r="BP6" s="173"/>
    </row>
    <row r="7" spans="1:68" s="176" customFormat="1" ht="30" customHeight="1">
      <c r="A7" s="172">
        <v>2</v>
      </c>
      <c r="B7" s="172">
        <v>2005</v>
      </c>
      <c r="C7" s="172" t="s">
        <v>1585</v>
      </c>
      <c r="D7" s="173">
        <v>420000</v>
      </c>
      <c r="E7" s="173">
        <v>420000</v>
      </c>
      <c r="F7" s="173">
        <f>D7-E7</f>
        <v>0</v>
      </c>
      <c r="G7" s="173">
        <v>420000</v>
      </c>
      <c r="H7" s="173">
        <v>389481</v>
      </c>
      <c r="I7" s="173"/>
      <c r="J7" s="173"/>
      <c r="K7" s="173">
        <f>SUM(I7:J7)</f>
        <v>0</v>
      </c>
      <c r="L7" s="173">
        <f>H7+K7</f>
        <v>389481</v>
      </c>
      <c r="M7" s="173">
        <f>Q7+T7</f>
        <v>30519</v>
      </c>
      <c r="N7" s="173"/>
      <c r="O7" s="173">
        <f>N7-AH7</f>
        <v>0</v>
      </c>
      <c r="P7" s="173">
        <f>D7-L7-M7-N7</f>
        <v>0</v>
      </c>
      <c r="Q7" s="173">
        <f>G7-L7</f>
        <v>30519</v>
      </c>
      <c r="R7" s="173"/>
      <c r="S7" s="173"/>
      <c r="T7" s="173">
        <f>SUM(R7:S7)</f>
        <v>0</v>
      </c>
      <c r="U7" s="173">
        <f>Q7-M7+T7</f>
        <v>0</v>
      </c>
      <c r="V7" s="173">
        <f>N7-U7</f>
        <v>0</v>
      </c>
      <c r="W7" s="173"/>
      <c r="X7" s="173">
        <f>V7-W7-Z7-AA7</f>
        <v>0</v>
      </c>
      <c r="Y7" s="173"/>
      <c r="Z7" s="173"/>
      <c r="AA7" s="172"/>
      <c r="AB7" s="293" t="s">
        <v>600</v>
      </c>
      <c r="AC7" s="172">
        <v>720000</v>
      </c>
      <c r="AD7" s="321"/>
      <c r="AE7" s="321"/>
      <c r="AF7" s="321"/>
      <c r="AG7" s="321"/>
      <c r="AH7" s="173">
        <f>SUM(AD7:AG7)</f>
        <v>0</v>
      </c>
      <c r="AI7" s="173">
        <f>V7-AH7</f>
        <v>0</v>
      </c>
      <c r="AJ7" s="173"/>
      <c r="AK7" s="173">
        <f>AI7</f>
        <v>0</v>
      </c>
      <c r="AL7" s="173"/>
      <c r="AM7" s="173"/>
      <c r="AN7" s="173"/>
      <c r="AO7" s="173"/>
      <c r="AP7" s="173">
        <v>30519</v>
      </c>
      <c r="AQ7" s="172"/>
      <c r="AR7" s="184"/>
      <c r="AS7" s="173">
        <v>30519</v>
      </c>
      <c r="AT7" s="173">
        <f>SUM(AR7:AS7)</f>
        <v>30519</v>
      </c>
      <c r="AU7" s="173">
        <f>D7-L7-AT7</f>
        <v>0</v>
      </c>
      <c r="AV7" s="173">
        <f>AR7+AS7-M7</f>
        <v>0</v>
      </c>
      <c r="AW7" s="309"/>
      <c r="AX7" s="173">
        <f>AS7-M7+AR7</f>
        <v>0</v>
      </c>
      <c r="AY7" s="172"/>
      <c r="AZ7" s="172"/>
      <c r="BA7" s="172"/>
      <c r="BB7" s="173">
        <f>AS7-M7</f>
        <v>0</v>
      </c>
      <c r="BC7" s="4">
        <f>AR7</f>
        <v>0</v>
      </c>
      <c r="BD7" s="173"/>
      <c r="BE7" s="173"/>
      <c r="BF7" s="173"/>
      <c r="BG7" s="173"/>
      <c r="BH7" s="173">
        <f>SUM(BD7:BF7)</f>
        <v>0</v>
      </c>
      <c r="BI7" s="172"/>
      <c r="BJ7" s="173">
        <f>BH7+BI7</f>
        <v>0</v>
      </c>
      <c r="BK7" s="173">
        <f>AV7-BJ7</f>
        <v>0</v>
      </c>
      <c r="BL7" s="173"/>
      <c r="BM7" s="173">
        <f>BJ7</f>
        <v>0</v>
      </c>
      <c r="BN7" s="173"/>
      <c r="BO7" s="173"/>
      <c r="BP7" s="173"/>
    </row>
    <row r="8" spans="1:68" s="176" customFormat="1" ht="30" customHeight="1">
      <c r="A8" s="172">
        <v>3</v>
      </c>
      <c r="B8" s="297">
        <v>2094</v>
      </c>
      <c r="C8" s="172" t="s">
        <v>417</v>
      </c>
      <c r="D8" s="173">
        <v>1000000</v>
      </c>
      <c r="E8" s="173">
        <v>1000000</v>
      </c>
      <c r="F8" s="173">
        <f>D8-E8</f>
        <v>0</v>
      </c>
      <c r="G8" s="173">
        <v>1000000</v>
      </c>
      <c r="H8" s="173">
        <v>0</v>
      </c>
      <c r="I8" s="173"/>
      <c r="J8" s="173">
        <v>38610</v>
      </c>
      <c r="K8" s="173">
        <f>SUM(I8:J8)</f>
        <v>38610</v>
      </c>
      <c r="L8" s="173">
        <f>H8+K8</f>
        <v>38610</v>
      </c>
      <c r="M8" s="173">
        <f>Q8+T8</f>
        <v>961390</v>
      </c>
      <c r="N8" s="173"/>
      <c r="O8" s="173">
        <f>N8-AH8</f>
        <v>0</v>
      </c>
      <c r="P8" s="173">
        <f>D8-L8-M8-N8</f>
        <v>0</v>
      </c>
      <c r="Q8" s="173">
        <f>G8-L8</f>
        <v>961390</v>
      </c>
      <c r="R8" s="173"/>
      <c r="S8" s="173"/>
      <c r="T8" s="173">
        <f>SUM(R8:S8)</f>
        <v>0</v>
      </c>
      <c r="U8" s="173">
        <f>Q8-M8+T8</f>
        <v>0</v>
      </c>
      <c r="V8" s="173">
        <f>N8-U8</f>
        <v>0</v>
      </c>
      <c r="W8" s="173"/>
      <c r="X8" s="173">
        <f>V8-W8-Z8-AA8</f>
        <v>0</v>
      </c>
      <c r="Y8" s="173"/>
      <c r="Z8" s="173"/>
      <c r="AA8" s="172"/>
      <c r="AB8" s="293" t="s">
        <v>482</v>
      </c>
      <c r="AC8" s="172">
        <v>720000</v>
      </c>
      <c r="AD8" s="321"/>
      <c r="AE8" s="321"/>
      <c r="AF8" s="321"/>
      <c r="AG8" s="321"/>
      <c r="AH8" s="173">
        <f>SUM(AD8:AG8)</f>
        <v>0</v>
      </c>
      <c r="AI8" s="173">
        <f>V8-AH8</f>
        <v>0</v>
      </c>
      <c r="AJ8" s="173"/>
      <c r="AK8" s="173">
        <f>AI8</f>
        <v>0</v>
      </c>
      <c r="AL8" s="173"/>
      <c r="AM8" s="173"/>
      <c r="AN8" s="173"/>
      <c r="AO8" s="173"/>
      <c r="AP8" s="173">
        <v>200000</v>
      </c>
      <c r="AQ8" s="172" t="s">
        <v>1058</v>
      </c>
      <c r="AR8" s="184"/>
      <c r="AS8" s="173">
        <f>200000+61390</f>
        <v>261390</v>
      </c>
      <c r="AT8" s="173">
        <f>SUM(AR8:AS8)</f>
        <v>261390</v>
      </c>
      <c r="AU8" s="173">
        <f>D8-L8-AT8</f>
        <v>700000</v>
      </c>
      <c r="AV8" s="173">
        <f>AR8+AS8-M8</f>
        <v>-700000</v>
      </c>
      <c r="AW8" s="172"/>
      <c r="AX8" s="173">
        <f>AS8-M8+AR8</f>
        <v>-700000</v>
      </c>
      <c r="AY8" s="172"/>
      <c r="AZ8" s="172"/>
      <c r="BA8" s="172"/>
      <c r="BB8" s="173">
        <f>AS8-M8</f>
        <v>-700000</v>
      </c>
      <c r="BC8" s="4">
        <f>AR8</f>
        <v>0</v>
      </c>
      <c r="BD8" s="173">
        <v>-700000</v>
      </c>
      <c r="BE8" s="173"/>
      <c r="BF8" s="173"/>
      <c r="BG8" s="173"/>
      <c r="BH8" s="173">
        <f>SUM(BD8:BF8)</f>
        <v>-700000</v>
      </c>
      <c r="BI8" s="172"/>
      <c r="BJ8" s="173">
        <f>BH8+BI8</f>
        <v>-700000</v>
      </c>
      <c r="BK8" s="173">
        <f>AV8-BJ8</f>
        <v>0</v>
      </c>
      <c r="BL8" s="173"/>
      <c r="BM8" s="173">
        <f>BJ8</f>
        <v>-700000</v>
      </c>
      <c r="BN8" s="173"/>
      <c r="BO8" s="173"/>
      <c r="BP8" s="173"/>
    </row>
    <row r="9" spans="1:68" s="177" customFormat="1" ht="30" customHeight="1">
      <c r="A9" s="178">
        <v>3</v>
      </c>
      <c r="B9" s="178"/>
      <c r="C9" s="178" t="s">
        <v>513</v>
      </c>
      <c r="D9" s="180">
        <f>SUBTOTAL(9,D6:D8)</f>
        <v>4720000</v>
      </c>
      <c r="E9" s="180">
        <f t="shared" ref="E9:BP9" si="0">SUBTOTAL(9,E6:E8)</f>
        <v>4720000</v>
      </c>
      <c r="F9" s="180">
        <f t="shared" si="0"/>
        <v>0</v>
      </c>
      <c r="G9" s="180">
        <f t="shared" si="0"/>
        <v>4220000</v>
      </c>
      <c r="H9" s="180">
        <f t="shared" si="0"/>
        <v>2187119</v>
      </c>
      <c r="I9" s="180">
        <f t="shared" si="0"/>
        <v>0</v>
      </c>
      <c r="J9" s="180">
        <f t="shared" si="0"/>
        <v>74690.929999999993</v>
      </c>
      <c r="K9" s="180">
        <f t="shared" si="0"/>
        <v>74690.929999999993</v>
      </c>
      <c r="L9" s="180">
        <f t="shared" si="0"/>
        <v>2261809.9299999997</v>
      </c>
      <c r="M9" s="180">
        <f t="shared" si="0"/>
        <v>1958190.07</v>
      </c>
      <c r="N9" s="180">
        <f t="shared" si="0"/>
        <v>500000</v>
      </c>
      <c r="O9" s="180">
        <f t="shared" si="0"/>
        <v>500000</v>
      </c>
      <c r="P9" s="180">
        <f t="shared" si="0"/>
        <v>0</v>
      </c>
      <c r="Q9" s="180">
        <f t="shared" si="0"/>
        <v>1958190.07</v>
      </c>
      <c r="R9" s="180">
        <f t="shared" si="0"/>
        <v>0</v>
      </c>
      <c r="S9" s="180">
        <f t="shared" si="0"/>
        <v>0</v>
      </c>
      <c r="T9" s="180">
        <f t="shared" si="0"/>
        <v>0</v>
      </c>
      <c r="U9" s="180">
        <f t="shared" si="0"/>
        <v>0</v>
      </c>
      <c r="V9" s="180">
        <f t="shared" si="0"/>
        <v>500000</v>
      </c>
      <c r="W9" s="180">
        <f t="shared" si="0"/>
        <v>0</v>
      </c>
      <c r="X9" s="180">
        <f t="shared" si="0"/>
        <v>500000</v>
      </c>
      <c r="Y9" s="180">
        <f t="shared" si="0"/>
        <v>0</v>
      </c>
      <c r="Z9" s="180">
        <f t="shared" si="0"/>
        <v>0</v>
      </c>
      <c r="AA9" s="180">
        <f t="shared" si="0"/>
        <v>0</v>
      </c>
      <c r="AB9" s="180">
        <f t="shared" si="0"/>
        <v>0</v>
      </c>
      <c r="AC9" s="180">
        <f t="shared" si="0"/>
        <v>2163000</v>
      </c>
      <c r="AD9" s="180">
        <f t="shared" si="0"/>
        <v>0</v>
      </c>
      <c r="AE9" s="180">
        <f t="shared" si="0"/>
        <v>0</v>
      </c>
      <c r="AF9" s="180">
        <f t="shared" si="0"/>
        <v>0</v>
      </c>
      <c r="AG9" s="180">
        <f t="shared" si="0"/>
        <v>0</v>
      </c>
      <c r="AH9" s="180">
        <f t="shared" si="0"/>
        <v>0</v>
      </c>
      <c r="AI9" s="180">
        <f t="shared" si="0"/>
        <v>500000</v>
      </c>
      <c r="AJ9" s="180">
        <f t="shared" si="0"/>
        <v>0</v>
      </c>
      <c r="AK9" s="180">
        <f t="shared" si="0"/>
        <v>500000</v>
      </c>
      <c r="AL9" s="180">
        <f t="shared" si="0"/>
        <v>0</v>
      </c>
      <c r="AM9" s="180">
        <f t="shared" si="0"/>
        <v>0</v>
      </c>
      <c r="AN9" s="180">
        <f t="shared" si="0"/>
        <v>0</v>
      </c>
      <c r="AO9" s="180">
        <f t="shared" si="0"/>
        <v>500000</v>
      </c>
      <c r="AP9" s="180">
        <f t="shared" si="0"/>
        <v>1196800</v>
      </c>
      <c r="AQ9" s="180">
        <f t="shared" si="0"/>
        <v>0</v>
      </c>
      <c r="AR9" s="180">
        <f t="shared" si="0"/>
        <v>0</v>
      </c>
      <c r="AS9" s="180">
        <f t="shared" si="0"/>
        <v>1258190</v>
      </c>
      <c r="AT9" s="180">
        <f t="shared" si="0"/>
        <v>1258190</v>
      </c>
      <c r="AU9" s="180">
        <f t="shared" si="0"/>
        <v>1200000.07</v>
      </c>
      <c r="AV9" s="180">
        <f t="shared" si="0"/>
        <v>-700000.07000000007</v>
      </c>
      <c r="AW9" s="180">
        <f t="shared" si="0"/>
        <v>0</v>
      </c>
      <c r="AX9" s="180">
        <f t="shared" si="0"/>
        <v>-700000.07000000007</v>
      </c>
      <c r="AY9" s="180">
        <f t="shared" si="0"/>
        <v>0</v>
      </c>
      <c r="AZ9" s="180">
        <f t="shared" si="0"/>
        <v>0</v>
      </c>
      <c r="BA9" s="180">
        <f t="shared" si="0"/>
        <v>0</v>
      </c>
      <c r="BB9" s="180">
        <f t="shared" si="0"/>
        <v>-700000.07000000007</v>
      </c>
      <c r="BC9" s="180">
        <f t="shared" si="0"/>
        <v>0</v>
      </c>
      <c r="BD9" s="180">
        <f t="shared" si="0"/>
        <v>-700000</v>
      </c>
      <c r="BE9" s="180">
        <f t="shared" si="0"/>
        <v>0</v>
      </c>
      <c r="BF9" s="180">
        <f t="shared" si="0"/>
        <v>0</v>
      </c>
      <c r="BG9" s="180">
        <f t="shared" si="0"/>
        <v>0</v>
      </c>
      <c r="BH9" s="180">
        <f t="shared" si="0"/>
        <v>-700000</v>
      </c>
      <c r="BI9" s="180">
        <f t="shared" si="0"/>
        <v>0</v>
      </c>
      <c r="BJ9" s="180">
        <f t="shared" si="0"/>
        <v>-700000</v>
      </c>
      <c r="BK9" s="180">
        <f t="shared" si="0"/>
        <v>-7.000000006519258E-2</v>
      </c>
      <c r="BL9" s="180">
        <f t="shared" si="0"/>
        <v>0</v>
      </c>
      <c r="BM9" s="180">
        <f t="shared" si="0"/>
        <v>-700000</v>
      </c>
      <c r="BN9" s="180">
        <f t="shared" si="0"/>
        <v>0</v>
      </c>
      <c r="BO9" s="180">
        <f t="shared" si="0"/>
        <v>0</v>
      </c>
      <c r="BP9" s="180">
        <f t="shared" si="0"/>
        <v>0</v>
      </c>
    </row>
    <row r="10" spans="1:68" s="294" customFormat="1">
      <c r="B10" s="298"/>
      <c r="C10" s="298"/>
      <c r="D10" s="299"/>
      <c r="E10" s="299"/>
      <c r="F10" s="299"/>
      <c r="G10" s="299"/>
      <c r="H10" s="299"/>
      <c r="I10" s="299"/>
      <c r="J10" s="299"/>
      <c r="K10" s="299"/>
      <c r="L10" s="509">
        <f>H9+K9</f>
        <v>2261809.9300000002</v>
      </c>
      <c r="M10" s="509">
        <f>Q9+T9-U9</f>
        <v>1958190.07</v>
      </c>
      <c r="N10" s="36"/>
      <c r="O10" s="36"/>
      <c r="P10" s="21">
        <f>L9+M9+O9</f>
        <v>4720000</v>
      </c>
      <c r="Q10" s="509">
        <f>G9-L9</f>
        <v>1958190.0700000003</v>
      </c>
      <c r="R10" s="21"/>
      <c r="S10" s="21"/>
      <c r="T10" s="21"/>
      <c r="U10" s="21"/>
      <c r="V10" s="509">
        <f>N9-U9</f>
        <v>500000</v>
      </c>
      <c r="W10" s="37"/>
      <c r="X10" s="37"/>
      <c r="Y10" s="37"/>
      <c r="Z10" s="37"/>
      <c r="AA10" s="37"/>
      <c r="AB10" s="286"/>
      <c r="AD10" s="283"/>
      <c r="AE10" s="283"/>
      <c r="AF10" s="283"/>
      <c r="AG10" s="283"/>
      <c r="AH10" s="283"/>
      <c r="AO10" s="510"/>
      <c r="AP10" s="511"/>
      <c r="AQ10" s="183"/>
      <c r="AR10" s="166"/>
      <c r="BD10" s="183"/>
      <c r="BE10" s="183"/>
      <c r="BF10" s="183"/>
      <c r="BG10" s="183"/>
      <c r="BH10" s="183"/>
      <c r="BK10" s="183"/>
    </row>
    <row r="11" spans="1:68">
      <c r="AO11" s="294"/>
      <c r="AP11" s="294"/>
    </row>
    <row r="12" spans="1:68">
      <c r="AO12" s="294"/>
      <c r="AP12" s="294"/>
    </row>
    <row r="13" spans="1:68">
      <c r="AO13" s="294"/>
      <c r="AP13" s="294"/>
    </row>
    <row r="14" spans="1:68">
      <c r="AO14" s="294"/>
      <c r="AP14" s="294"/>
    </row>
    <row r="15" spans="1:68">
      <c r="AO15" s="294"/>
      <c r="AP15" s="294"/>
    </row>
    <row r="16" spans="1:68">
      <c r="AO16" s="294"/>
      <c r="AP16" s="294"/>
    </row>
    <row r="17" spans="41:42">
      <c r="AO17" s="294"/>
      <c r="AP17" s="294"/>
    </row>
    <row r="18" spans="41:42">
      <c r="AO18" s="294"/>
      <c r="AP18" s="294"/>
    </row>
    <row r="19" spans="41:42">
      <c r="AO19" s="294"/>
      <c r="AP19" s="294"/>
    </row>
    <row r="20" spans="41:42">
      <c r="AO20" s="294"/>
      <c r="AP20" s="294"/>
    </row>
    <row r="21" spans="41:42">
      <c r="AO21" s="294"/>
      <c r="AP21" s="294"/>
    </row>
    <row r="22" spans="41:42">
      <c r="AO22" s="294"/>
      <c r="AP22" s="294"/>
    </row>
    <row r="23" spans="41:42">
      <c r="AO23" s="294"/>
      <c r="AP23" s="294"/>
    </row>
    <row r="24" spans="41:42">
      <c r="AO24" s="294"/>
      <c r="AP24" s="294"/>
    </row>
    <row r="25" spans="41:42">
      <c r="AO25" s="294"/>
      <c r="AP25" s="294"/>
    </row>
    <row r="26" spans="41:42">
      <c r="AO26" s="294"/>
      <c r="AP26" s="294"/>
    </row>
    <row r="27" spans="41:42">
      <c r="AO27" s="294"/>
      <c r="AP27" s="294"/>
    </row>
    <row r="28" spans="41:42">
      <c r="AO28" s="294"/>
      <c r="AP28" s="294"/>
    </row>
    <row r="29" spans="41:42">
      <c r="AO29" s="294"/>
      <c r="AP29" s="294"/>
    </row>
    <row r="30" spans="41:42">
      <c r="AO30" s="294"/>
      <c r="AP30" s="294"/>
    </row>
    <row r="31" spans="41:42">
      <c r="AO31" s="294"/>
      <c r="AP31" s="294"/>
    </row>
    <row r="32" spans="41:42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17"/>
      <c r="AP81" s="17"/>
    </row>
    <row r="82" spans="41:42">
      <c r="AO82" s="17"/>
      <c r="AP82" s="17"/>
    </row>
    <row r="83" spans="41:42">
      <c r="AO83" s="17"/>
      <c r="AP83" s="17"/>
    </row>
    <row r="84" spans="41:42">
      <c r="AO84" s="17"/>
      <c r="AP84" s="17"/>
    </row>
    <row r="85" spans="41:42">
      <c r="AO85" s="17"/>
      <c r="AP85" s="17"/>
    </row>
    <row r="86" spans="41:42">
      <c r="AO86" s="17"/>
      <c r="AP86" s="17"/>
    </row>
    <row r="87" spans="41:42">
      <c r="AO87" s="17"/>
      <c r="AP87" s="17"/>
    </row>
    <row r="88" spans="41:42">
      <c r="AO88" s="17"/>
      <c r="AP88" s="17"/>
    </row>
    <row r="89" spans="41:42">
      <c r="AO89" s="17"/>
      <c r="AP89" s="17"/>
    </row>
    <row r="90" spans="41:42">
      <c r="AO90" s="17"/>
      <c r="AP90" s="17"/>
    </row>
    <row r="91" spans="41:42">
      <c r="AO91" s="17"/>
      <c r="AP91" s="17"/>
    </row>
    <row r="92" spans="41:42">
      <c r="AO92" s="17"/>
      <c r="AP92" s="17"/>
    </row>
    <row r="93" spans="41:42">
      <c r="AO93" s="17"/>
      <c r="AP93" s="17"/>
    </row>
    <row r="94" spans="41:42">
      <c r="AO94" s="17"/>
      <c r="AP94" s="17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28"/>
  <sheetViews>
    <sheetView showZeros="0" rightToLeft="1" zoomScaleNormal="100" workbookViewId="0">
      <pane xSplit="3" ySplit="5" topLeftCell="D20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8.90625" defaultRowHeight="14"/>
  <cols>
    <col min="1" max="1" width="6" style="12" customWidth="1"/>
    <col min="2" max="2" width="5" style="12" bestFit="1" customWidth="1"/>
    <col min="3" max="3" width="28.54296875" style="18" bestFit="1" customWidth="1"/>
    <col min="4" max="21" width="11.81640625" style="14" hidden="1" customWidth="1"/>
    <col min="22" max="27" width="11.81640625" style="12" hidden="1" customWidth="1"/>
    <col min="28" max="28" width="11.81640625" style="18" hidden="1" customWidth="1"/>
    <col min="29" max="29" width="11.81640625" style="12" hidden="1" customWidth="1"/>
    <col min="30" max="30" width="11.81640625" style="504" hidden="1" customWidth="1"/>
    <col min="31" max="35" width="11.81640625" style="455" hidden="1" customWidth="1"/>
    <col min="36" max="42" width="11.81640625" style="12" hidden="1" customWidth="1"/>
    <col min="43" max="47" width="11.8164062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2" customWidth="1"/>
    <col min="56" max="60" width="11.81640625" style="166" hidden="1" customWidth="1"/>
    <col min="61" max="61" width="11.81640625" style="12" hidden="1" customWidth="1"/>
    <col min="62" max="62" width="11.81640625" style="12" customWidth="1"/>
    <col min="63" max="63" width="11.81640625" style="166" customWidth="1"/>
    <col min="64" max="65" width="11.81640625" style="12" customWidth="1"/>
    <col min="66" max="67" width="11.81640625" style="12" hidden="1" customWidth="1"/>
    <col min="68" max="68" width="11.81640625" style="12" customWidth="1"/>
    <col min="69" max="16384" width="8.90625" style="12"/>
  </cols>
  <sheetData>
    <row r="1" spans="1:68" s="456" customFormat="1" ht="13.25" customHeight="1">
      <c r="A1" s="501"/>
      <c r="B1" s="501"/>
      <c r="C1" s="502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451"/>
      <c r="Z1" s="451"/>
      <c r="AA1" s="452"/>
      <c r="AB1" s="503"/>
      <c r="AC1" s="452"/>
      <c r="AD1" s="504"/>
      <c r="AE1" s="455"/>
      <c r="AF1" s="455"/>
      <c r="AG1" s="455"/>
      <c r="AH1" s="455"/>
      <c r="AI1" s="455"/>
      <c r="AJ1" s="452"/>
      <c r="AK1" s="452"/>
      <c r="AL1" s="452"/>
      <c r="AO1" s="28"/>
      <c r="AP1" s="28"/>
      <c r="AQ1" s="166"/>
      <c r="AR1" s="166"/>
      <c r="AS1" s="284"/>
      <c r="AT1" s="284"/>
      <c r="AU1" s="284"/>
      <c r="AV1" s="284"/>
      <c r="AW1" s="284"/>
      <c r="AX1" s="284"/>
      <c r="AY1" s="284"/>
      <c r="AZ1" s="284"/>
      <c r="BA1" s="284"/>
      <c r="BD1" s="166"/>
      <c r="BE1" s="166"/>
      <c r="BF1" s="166"/>
      <c r="BG1" s="166"/>
      <c r="BH1" s="166"/>
      <c r="BK1" s="166"/>
    </row>
    <row r="2" spans="1:68" s="456" customFormat="1" ht="18">
      <c r="A2" s="501" t="s">
        <v>1567</v>
      </c>
      <c r="B2" s="501"/>
      <c r="C2" s="502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455"/>
      <c r="Z2" s="455"/>
      <c r="AA2" s="455"/>
      <c r="AB2" s="504"/>
      <c r="AC2" s="455"/>
      <c r="AD2" s="504"/>
      <c r="AE2" s="455"/>
      <c r="AF2" s="455"/>
      <c r="AG2" s="455"/>
      <c r="AH2" s="455"/>
      <c r="AI2" s="455"/>
      <c r="AJ2" s="455"/>
      <c r="AK2" s="455"/>
      <c r="AL2" s="455"/>
      <c r="AO2" s="12"/>
      <c r="AP2" s="12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D2" s="166"/>
      <c r="BE2" s="166"/>
      <c r="BF2" s="166"/>
      <c r="BG2" s="166"/>
      <c r="BH2" s="166"/>
      <c r="BK2" s="166"/>
    </row>
    <row r="3" spans="1:68" s="456" customFormat="1" ht="18">
      <c r="A3" s="501"/>
      <c r="B3" s="501"/>
      <c r="C3" s="502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455"/>
      <c r="Z3" s="455"/>
      <c r="AA3" s="455"/>
      <c r="AB3" s="504"/>
      <c r="AC3" s="455"/>
      <c r="AD3" s="504"/>
      <c r="AE3" s="455"/>
      <c r="AF3" s="455"/>
      <c r="AG3" s="455"/>
      <c r="AH3" s="455"/>
      <c r="AI3" s="455"/>
      <c r="AJ3" s="455"/>
      <c r="AK3" s="455"/>
      <c r="AL3" s="455"/>
      <c r="AO3" s="12"/>
      <c r="AP3" s="12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D3" s="166"/>
      <c r="BE3" s="166"/>
      <c r="BF3" s="166"/>
      <c r="BG3" s="166"/>
      <c r="BH3" s="166"/>
      <c r="BK3" s="166"/>
    </row>
    <row r="4" spans="1:68" ht="20.399999999999999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75" t="s">
        <v>968</v>
      </c>
      <c r="BC4" s="775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505" customFormat="1" ht="86.25" customHeight="1">
      <c r="A5" s="431" t="s">
        <v>0</v>
      </c>
      <c r="B5" s="433" t="s">
        <v>1</v>
      </c>
      <c r="C5" s="433" t="s">
        <v>2</v>
      </c>
      <c r="D5" s="433" t="s">
        <v>3</v>
      </c>
      <c r="E5" s="433" t="s">
        <v>4</v>
      </c>
      <c r="F5" s="433" t="s">
        <v>5</v>
      </c>
      <c r="G5" s="433" t="s">
        <v>6</v>
      </c>
      <c r="H5" s="433" t="s">
        <v>7</v>
      </c>
      <c r="I5" s="433" t="s">
        <v>9</v>
      </c>
      <c r="J5" s="433" t="s">
        <v>178</v>
      </c>
      <c r="K5" s="433" t="s">
        <v>10</v>
      </c>
      <c r="L5" s="433" t="s">
        <v>11</v>
      </c>
      <c r="M5" s="432" t="s">
        <v>970</v>
      </c>
      <c r="N5" s="433" t="s">
        <v>971</v>
      </c>
      <c r="O5" s="433" t="s">
        <v>972</v>
      </c>
      <c r="P5" s="433" t="s">
        <v>628</v>
      </c>
      <c r="Q5" s="433" t="s">
        <v>12</v>
      </c>
      <c r="R5" s="433" t="s">
        <v>630</v>
      </c>
      <c r="S5" s="433" t="s">
        <v>631</v>
      </c>
      <c r="T5" s="433" t="s">
        <v>632</v>
      </c>
      <c r="U5" s="433" t="s">
        <v>629</v>
      </c>
      <c r="V5" s="446" t="s">
        <v>973</v>
      </c>
      <c r="W5" s="433" t="s">
        <v>13</v>
      </c>
      <c r="X5" s="433" t="s">
        <v>14</v>
      </c>
      <c r="Y5" s="433" t="s">
        <v>15</v>
      </c>
      <c r="Z5" s="433" t="s">
        <v>301</v>
      </c>
      <c r="AA5" s="433" t="s">
        <v>91</v>
      </c>
      <c r="AB5" s="458" t="s">
        <v>344</v>
      </c>
      <c r="AC5" s="433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">
        <v>1</v>
      </c>
      <c r="B6" s="3">
        <v>1776</v>
      </c>
      <c r="C6" s="3" t="s">
        <v>59</v>
      </c>
      <c r="D6" s="4">
        <v>1205000</v>
      </c>
      <c r="E6" s="4">
        <v>1205000</v>
      </c>
      <c r="F6" s="4">
        <f t="shared" ref="F6:F26" si="0">D6-E6</f>
        <v>0</v>
      </c>
      <c r="G6" s="4">
        <v>915000</v>
      </c>
      <c r="H6" s="4">
        <v>811917.16</v>
      </c>
      <c r="I6" s="4"/>
      <c r="J6" s="4">
        <v>2808</v>
      </c>
      <c r="K6" s="4">
        <f t="shared" ref="K6:K21" si="1">I6+J6</f>
        <v>2808</v>
      </c>
      <c r="L6" s="4">
        <f t="shared" ref="L6:L21" si="2">H6+K6</f>
        <v>814725.16</v>
      </c>
      <c r="M6" s="4">
        <f t="shared" ref="M6:M21" si="3">Q6+T6</f>
        <v>100274.83999999997</v>
      </c>
      <c r="N6" s="4">
        <v>290000</v>
      </c>
      <c r="O6" s="4">
        <f>N6-AH6</f>
        <v>290000</v>
      </c>
      <c r="P6" s="4">
        <f>D6-L6-M6-O6</f>
        <v>0</v>
      </c>
      <c r="Q6" s="4">
        <f t="shared" ref="Q6:Q24" si="4">G6-L6</f>
        <v>100274.83999999997</v>
      </c>
      <c r="R6" s="4"/>
      <c r="S6" s="4"/>
      <c r="T6" s="4">
        <f t="shared" ref="T6:T17" si="5">SUM(R6:S6)</f>
        <v>0</v>
      </c>
      <c r="U6" s="4">
        <f t="shared" ref="U6:U18" si="6">Q6-M6+T6</f>
        <v>0</v>
      </c>
      <c r="V6" s="4">
        <f t="shared" ref="V6:V24" si="7">N6-U6</f>
        <v>290000</v>
      </c>
      <c r="W6" s="4"/>
      <c r="X6" s="4">
        <f t="shared" ref="X6:X17" si="8">V6-W6-Z6-AA6</f>
        <v>290000</v>
      </c>
      <c r="Y6" s="4"/>
      <c r="Z6" s="4"/>
      <c r="AA6" s="210"/>
      <c r="AB6" s="31" t="s">
        <v>418</v>
      </c>
      <c r="AC6" s="3">
        <v>810000</v>
      </c>
      <c r="AD6" s="506"/>
      <c r="AE6" s="462"/>
      <c r="AF6" s="4"/>
      <c r="AG6" s="4"/>
      <c r="AH6" s="507">
        <f t="shared" ref="AH6:AH24" si="9">SUM(AD6:AG6)</f>
        <v>0</v>
      </c>
      <c r="AI6" s="508">
        <f t="shared" ref="AI6:AI24" si="10">V6-AH6</f>
        <v>290000</v>
      </c>
      <c r="AJ6" s="507"/>
      <c r="AK6" s="4">
        <f>AI6-AN6</f>
        <v>290000</v>
      </c>
      <c r="AL6" s="3"/>
      <c r="AM6" s="3"/>
      <c r="AN6" s="3"/>
      <c r="AO6" s="4">
        <v>290000</v>
      </c>
      <c r="AP6" s="4">
        <v>100274.83999999997</v>
      </c>
      <c r="AQ6" s="172"/>
      <c r="AR6" s="173">
        <v>290000</v>
      </c>
      <c r="AS6" s="173">
        <f t="shared" ref="AS6:AS15" si="11">M6</f>
        <v>100274.83999999997</v>
      </c>
      <c r="AT6" s="173">
        <f>SUM(AR6:AS6)</f>
        <v>390274.83999999997</v>
      </c>
      <c r="AU6" s="173">
        <f>D6-L6-AT6</f>
        <v>0</v>
      </c>
      <c r="AV6" s="173">
        <f>AR6+AS6-M6</f>
        <v>290000</v>
      </c>
      <c r="AW6" s="192"/>
      <c r="AX6" s="173">
        <f>AR6+AS6-M6</f>
        <v>290000</v>
      </c>
      <c r="AY6" s="172"/>
      <c r="AZ6" s="172"/>
      <c r="BA6" s="172"/>
      <c r="BB6" s="173">
        <f>AS6-M6</f>
        <v>0</v>
      </c>
      <c r="BC6" s="4">
        <f>AR6</f>
        <v>290000</v>
      </c>
      <c r="BD6" s="4">
        <v>290000</v>
      </c>
      <c r="BE6" s="4"/>
      <c r="BF6" s="4"/>
      <c r="BG6" s="4"/>
      <c r="BH6" s="4">
        <f>SUM(BD6:BF6)</f>
        <v>290000</v>
      </c>
      <c r="BI6" s="3"/>
      <c r="BJ6" s="4">
        <f>BH6+BI6</f>
        <v>290000</v>
      </c>
      <c r="BK6" s="4">
        <f>AV6-BJ6</f>
        <v>0</v>
      </c>
      <c r="BL6" s="4"/>
      <c r="BM6" s="4">
        <f>BJ6-BP6</f>
        <v>290000</v>
      </c>
      <c r="BN6" s="4"/>
      <c r="BO6" s="4"/>
      <c r="BP6" s="4"/>
    </row>
    <row r="7" spans="1:68" s="5" customFormat="1" ht="30" customHeight="1">
      <c r="A7" s="3">
        <v>2</v>
      </c>
      <c r="B7" s="278">
        <v>1828</v>
      </c>
      <c r="C7" s="3" t="s">
        <v>1045</v>
      </c>
      <c r="D7" s="4">
        <v>240000</v>
      </c>
      <c r="E7" s="4">
        <v>240000</v>
      </c>
      <c r="F7" s="4">
        <f t="shared" si="0"/>
        <v>0</v>
      </c>
      <c r="G7" s="4">
        <v>240000</v>
      </c>
      <c r="H7" s="4">
        <v>188718.3</v>
      </c>
      <c r="I7" s="4"/>
      <c r="J7" s="4"/>
      <c r="K7" s="4">
        <f t="shared" si="1"/>
        <v>0</v>
      </c>
      <c r="L7" s="4">
        <f t="shared" si="2"/>
        <v>188718.3</v>
      </c>
      <c r="M7" s="4">
        <f t="shared" si="3"/>
        <v>51281.700000000012</v>
      </c>
      <c r="N7" s="4">
        <v>0</v>
      </c>
      <c r="O7" s="4">
        <f t="shared" ref="O7:O24" si="12">N7-AH7</f>
        <v>0</v>
      </c>
      <c r="P7" s="4">
        <f t="shared" ref="P7:P24" si="13">D7-L7-M7-O7</f>
        <v>0</v>
      </c>
      <c r="Q7" s="4">
        <f t="shared" si="4"/>
        <v>51281.700000000012</v>
      </c>
      <c r="R7" s="4"/>
      <c r="S7" s="4"/>
      <c r="T7" s="4">
        <f t="shared" si="5"/>
        <v>0</v>
      </c>
      <c r="U7" s="4">
        <f t="shared" si="6"/>
        <v>0</v>
      </c>
      <c r="V7" s="4">
        <f t="shared" si="7"/>
        <v>0</v>
      </c>
      <c r="W7" s="4"/>
      <c r="X7" s="4">
        <f t="shared" si="8"/>
        <v>0</v>
      </c>
      <c r="Y7" s="4"/>
      <c r="Z7" s="4"/>
      <c r="AA7" s="210"/>
      <c r="AB7" s="3" t="s">
        <v>734</v>
      </c>
      <c r="AC7" s="3">
        <v>810000</v>
      </c>
      <c r="AD7" s="506"/>
      <c r="AE7" s="462"/>
      <c r="AF7" s="4"/>
      <c r="AG7" s="4"/>
      <c r="AH7" s="507">
        <f t="shared" si="9"/>
        <v>0</v>
      </c>
      <c r="AI7" s="508">
        <f t="shared" si="10"/>
        <v>0</v>
      </c>
      <c r="AJ7" s="507"/>
      <c r="AK7" s="4">
        <f t="shared" ref="AK7:AK24" si="14">AI7-AN7</f>
        <v>0</v>
      </c>
      <c r="AL7" s="3"/>
      <c r="AM7" s="3"/>
      <c r="AN7" s="3"/>
      <c r="AO7" s="4"/>
      <c r="AP7" s="4">
        <v>51282</v>
      </c>
      <c r="AQ7" s="184"/>
      <c r="AR7" s="184"/>
      <c r="AS7" s="173">
        <f t="shared" si="11"/>
        <v>51281.700000000012</v>
      </c>
      <c r="AT7" s="173">
        <f t="shared" ref="AT7:AT24" si="15">SUM(AR7:AS7)</f>
        <v>51281.700000000012</v>
      </c>
      <c r="AU7" s="173">
        <f t="shared" ref="AU7:AU24" si="16">D7-L7-AT7</f>
        <v>0</v>
      </c>
      <c r="AV7" s="173">
        <f t="shared" ref="AV7:AV24" si="17">AR7+AS7-M7</f>
        <v>0</v>
      </c>
      <c r="AW7" s="309"/>
      <c r="AX7" s="173">
        <f t="shared" ref="AX7:AX24" si="18">AR7+AS7-M7</f>
        <v>0</v>
      </c>
      <c r="AY7" s="172"/>
      <c r="AZ7" s="172"/>
      <c r="BA7" s="172"/>
      <c r="BB7" s="173">
        <f t="shared" ref="BB7:BB24" si="19">AS7-M7</f>
        <v>0</v>
      </c>
      <c r="BC7" s="4">
        <f t="shared" ref="BC7:BC24" si="20">AR7</f>
        <v>0</v>
      </c>
      <c r="BD7" s="4"/>
      <c r="BE7" s="4"/>
      <c r="BF7" s="4"/>
      <c r="BG7" s="4"/>
      <c r="BH7" s="4">
        <f t="shared" ref="BH7:BH26" si="21">SUM(BD7:BF7)</f>
        <v>0</v>
      </c>
      <c r="BI7" s="3"/>
      <c r="BJ7" s="4">
        <f t="shared" ref="BJ7:BJ26" si="22">BH7+BI7</f>
        <v>0</v>
      </c>
      <c r="BK7" s="4">
        <f t="shared" ref="BK7:BK26" si="23">AV7-BJ7</f>
        <v>0</v>
      </c>
      <c r="BL7" s="4"/>
      <c r="BM7" s="4">
        <f t="shared" ref="BM7:BM26" si="24">BJ7-BP7</f>
        <v>0</v>
      </c>
      <c r="BN7" s="4"/>
      <c r="BO7" s="4"/>
      <c r="BP7" s="4"/>
    </row>
    <row r="8" spans="1:68" s="5" customFormat="1" ht="30" customHeight="1">
      <c r="A8" s="3">
        <v>3</v>
      </c>
      <c r="B8" s="278">
        <v>1930</v>
      </c>
      <c r="C8" s="3" t="s">
        <v>143</v>
      </c>
      <c r="D8" s="4">
        <v>1670000</v>
      </c>
      <c r="E8" s="4">
        <v>1670000</v>
      </c>
      <c r="F8" s="4">
        <f t="shared" si="0"/>
        <v>0</v>
      </c>
      <c r="G8" s="4">
        <v>1060000</v>
      </c>
      <c r="H8" s="4">
        <v>895750.93</v>
      </c>
      <c r="I8" s="4"/>
      <c r="J8" s="4">
        <v>4880.07</v>
      </c>
      <c r="K8" s="4">
        <f t="shared" si="1"/>
        <v>4880.07</v>
      </c>
      <c r="L8" s="4">
        <f t="shared" si="2"/>
        <v>900631</v>
      </c>
      <c r="M8" s="4">
        <f t="shared" si="3"/>
        <v>159369</v>
      </c>
      <c r="N8" s="4">
        <v>610000</v>
      </c>
      <c r="O8" s="4">
        <f t="shared" si="12"/>
        <v>610000</v>
      </c>
      <c r="P8" s="4">
        <f t="shared" si="13"/>
        <v>0</v>
      </c>
      <c r="Q8" s="4">
        <f t="shared" si="4"/>
        <v>159369</v>
      </c>
      <c r="R8" s="4"/>
      <c r="S8" s="4"/>
      <c r="T8" s="4">
        <f t="shared" si="5"/>
        <v>0</v>
      </c>
      <c r="U8" s="4">
        <f t="shared" si="6"/>
        <v>0</v>
      </c>
      <c r="V8" s="4">
        <f t="shared" si="7"/>
        <v>610000</v>
      </c>
      <c r="W8" s="4"/>
      <c r="X8" s="4">
        <f t="shared" si="8"/>
        <v>610000</v>
      </c>
      <c r="Y8" s="4"/>
      <c r="Z8" s="4"/>
      <c r="AA8" s="210"/>
      <c r="AB8" s="3" t="s">
        <v>735</v>
      </c>
      <c r="AC8" s="3">
        <v>810000</v>
      </c>
      <c r="AD8" s="506"/>
      <c r="AE8" s="462"/>
      <c r="AF8" s="4"/>
      <c r="AG8" s="4"/>
      <c r="AH8" s="507">
        <f t="shared" si="9"/>
        <v>0</v>
      </c>
      <c r="AI8" s="508">
        <f t="shared" si="10"/>
        <v>610000</v>
      </c>
      <c r="AJ8" s="507"/>
      <c r="AK8" s="4">
        <f t="shared" si="14"/>
        <v>610000</v>
      </c>
      <c r="AL8" s="3"/>
      <c r="AM8" s="3"/>
      <c r="AN8" s="3"/>
      <c r="AO8" s="4">
        <f>480000-AP8-631</f>
        <v>320000</v>
      </c>
      <c r="AP8" s="4">
        <v>159369</v>
      </c>
      <c r="AQ8" s="309" t="s">
        <v>1046</v>
      </c>
      <c r="AR8" s="4">
        <f>480000-AS8-631</f>
        <v>320000</v>
      </c>
      <c r="AS8" s="173">
        <f t="shared" si="11"/>
        <v>159369</v>
      </c>
      <c r="AT8" s="173">
        <f t="shared" si="15"/>
        <v>479369</v>
      </c>
      <c r="AU8" s="173">
        <f t="shared" si="16"/>
        <v>290000</v>
      </c>
      <c r="AV8" s="173">
        <f t="shared" si="17"/>
        <v>320000</v>
      </c>
      <c r="AW8" s="172"/>
      <c r="AX8" s="173">
        <f t="shared" si="18"/>
        <v>320000</v>
      </c>
      <c r="AY8" s="172"/>
      <c r="AZ8" s="172"/>
      <c r="BA8" s="172"/>
      <c r="BB8" s="173">
        <f t="shared" si="19"/>
        <v>0</v>
      </c>
      <c r="BC8" s="4">
        <f t="shared" si="20"/>
        <v>320000</v>
      </c>
      <c r="BD8" s="4">
        <v>320000</v>
      </c>
      <c r="BE8" s="4"/>
      <c r="BF8" s="4"/>
      <c r="BG8" s="4"/>
      <c r="BH8" s="4">
        <f t="shared" si="21"/>
        <v>320000</v>
      </c>
      <c r="BI8" s="3"/>
      <c r="BJ8" s="4">
        <f t="shared" si="22"/>
        <v>320000</v>
      </c>
      <c r="BK8" s="4">
        <f t="shared" si="23"/>
        <v>0</v>
      </c>
      <c r="BL8" s="4"/>
      <c r="BM8" s="4">
        <f t="shared" si="24"/>
        <v>320000</v>
      </c>
      <c r="BN8" s="4"/>
      <c r="BO8" s="4"/>
      <c r="BP8" s="4"/>
    </row>
    <row r="9" spans="1:68" s="5" customFormat="1" ht="30" customHeight="1">
      <c r="A9" s="3">
        <v>4</v>
      </c>
      <c r="B9" s="3">
        <v>1975</v>
      </c>
      <c r="C9" s="3" t="s">
        <v>1582</v>
      </c>
      <c r="D9" s="4">
        <v>975000</v>
      </c>
      <c r="E9" s="4">
        <v>975000</v>
      </c>
      <c r="F9" s="4">
        <f t="shared" si="0"/>
        <v>0</v>
      </c>
      <c r="G9" s="4">
        <v>975000</v>
      </c>
      <c r="H9" s="4">
        <v>543982.22</v>
      </c>
      <c r="I9" s="4"/>
      <c r="J9" s="4"/>
      <c r="K9" s="4">
        <f t="shared" si="1"/>
        <v>0</v>
      </c>
      <c r="L9" s="4">
        <f t="shared" si="2"/>
        <v>543982.22</v>
      </c>
      <c r="M9" s="4">
        <f t="shared" si="3"/>
        <v>431017.78</v>
      </c>
      <c r="N9" s="4">
        <v>0</v>
      </c>
      <c r="O9" s="4">
        <f t="shared" si="12"/>
        <v>0</v>
      </c>
      <c r="P9" s="4">
        <f t="shared" si="13"/>
        <v>0</v>
      </c>
      <c r="Q9" s="4">
        <f t="shared" si="4"/>
        <v>431017.78</v>
      </c>
      <c r="R9" s="4"/>
      <c r="S9" s="4"/>
      <c r="T9" s="4">
        <f t="shared" si="5"/>
        <v>0</v>
      </c>
      <c r="U9" s="4">
        <f t="shared" si="6"/>
        <v>0</v>
      </c>
      <c r="V9" s="4">
        <f t="shared" si="7"/>
        <v>0</v>
      </c>
      <c r="W9" s="4"/>
      <c r="X9" s="4">
        <f t="shared" si="8"/>
        <v>0</v>
      </c>
      <c r="Y9" s="4"/>
      <c r="Z9" s="4"/>
      <c r="AA9" s="210"/>
      <c r="AB9" s="3" t="s">
        <v>553</v>
      </c>
      <c r="AC9" s="3">
        <v>810000</v>
      </c>
      <c r="AD9" s="506"/>
      <c r="AE9" s="462"/>
      <c r="AF9" s="4"/>
      <c r="AG9" s="4"/>
      <c r="AH9" s="507">
        <f t="shared" si="9"/>
        <v>0</v>
      </c>
      <c r="AI9" s="508">
        <f t="shared" si="10"/>
        <v>0</v>
      </c>
      <c r="AJ9" s="507"/>
      <c r="AK9" s="4">
        <f t="shared" si="14"/>
        <v>0</v>
      </c>
      <c r="AL9" s="3"/>
      <c r="AM9" s="3"/>
      <c r="AN9" s="3"/>
      <c r="AO9" s="4"/>
      <c r="AP9" s="4">
        <v>431017.78</v>
      </c>
      <c r="AQ9" s="180">
        <f>SUM(AQ6:AQ8)</f>
        <v>0</v>
      </c>
      <c r="AR9" s="180"/>
      <c r="AS9" s="173">
        <f t="shared" si="11"/>
        <v>431017.78</v>
      </c>
      <c r="AT9" s="173">
        <f t="shared" si="15"/>
        <v>431017.78</v>
      </c>
      <c r="AU9" s="173">
        <f t="shared" si="16"/>
        <v>0</v>
      </c>
      <c r="AV9" s="173">
        <f t="shared" si="17"/>
        <v>0</v>
      </c>
      <c r="AW9" s="180"/>
      <c r="AX9" s="173">
        <f t="shared" si="18"/>
        <v>0</v>
      </c>
      <c r="AY9" s="180">
        <f>SUM(AY6:AY8)</f>
        <v>0</v>
      </c>
      <c r="AZ9" s="180">
        <f>SUM(AZ6:AZ8)</f>
        <v>0</v>
      </c>
      <c r="BA9" s="180">
        <f>SUM(BA6:BA8)</f>
        <v>0</v>
      </c>
      <c r="BB9" s="173">
        <f t="shared" si="19"/>
        <v>0</v>
      </c>
      <c r="BC9" s="4">
        <f t="shared" si="20"/>
        <v>0</v>
      </c>
      <c r="BD9" s="4"/>
      <c r="BE9" s="4"/>
      <c r="BF9" s="4"/>
      <c r="BG9" s="4"/>
      <c r="BH9" s="4">
        <f t="shared" si="21"/>
        <v>0</v>
      </c>
      <c r="BI9" s="3"/>
      <c r="BJ9" s="4">
        <f t="shared" si="22"/>
        <v>0</v>
      </c>
      <c r="BK9" s="4">
        <f t="shared" si="23"/>
        <v>0</v>
      </c>
      <c r="BL9" s="4"/>
      <c r="BM9" s="4">
        <f t="shared" si="24"/>
        <v>0</v>
      </c>
      <c r="BN9" s="4"/>
      <c r="BO9" s="4"/>
      <c r="BP9" s="4"/>
    </row>
    <row r="10" spans="1:68" s="5" customFormat="1" ht="30" customHeight="1">
      <c r="A10" s="3">
        <v>5</v>
      </c>
      <c r="B10" s="3">
        <v>1976</v>
      </c>
      <c r="C10" s="3" t="s">
        <v>161</v>
      </c>
      <c r="D10" s="4">
        <v>644100</v>
      </c>
      <c r="E10" s="4">
        <v>644100</v>
      </c>
      <c r="F10" s="4">
        <f t="shared" si="0"/>
        <v>0</v>
      </c>
      <c r="G10" s="4">
        <v>644100</v>
      </c>
      <c r="H10" s="4">
        <v>581807.61</v>
      </c>
      <c r="I10" s="4"/>
      <c r="J10" s="4"/>
      <c r="K10" s="4">
        <f t="shared" si="1"/>
        <v>0</v>
      </c>
      <c r="L10" s="4">
        <f t="shared" si="2"/>
        <v>581807.61</v>
      </c>
      <c r="M10" s="4">
        <f t="shared" si="3"/>
        <v>62292.390000000014</v>
      </c>
      <c r="N10" s="4">
        <v>0</v>
      </c>
      <c r="O10" s="4">
        <f t="shared" si="12"/>
        <v>0</v>
      </c>
      <c r="P10" s="4">
        <f t="shared" si="13"/>
        <v>0</v>
      </c>
      <c r="Q10" s="4">
        <f t="shared" si="4"/>
        <v>62292.390000000014</v>
      </c>
      <c r="R10" s="4"/>
      <c r="S10" s="4"/>
      <c r="T10" s="4">
        <f t="shared" si="5"/>
        <v>0</v>
      </c>
      <c r="U10" s="4">
        <f t="shared" si="6"/>
        <v>0</v>
      </c>
      <c r="V10" s="4">
        <f t="shared" si="7"/>
        <v>0</v>
      </c>
      <c r="W10" s="4"/>
      <c r="X10" s="4">
        <f t="shared" si="8"/>
        <v>0</v>
      </c>
      <c r="Y10" s="4"/>
      <c r="Z10" s="4"/>
      <c r="AA10" s="210"/>
      <c r="AB10" s="31" t="s">
        <v>424</v>
      </c>
      <c r="AC10" s="3">
        <v>810000</v>
      </c>
      <c r="AD10" s="506"/>
      <c r="AE10" s="462"/>
      <c r="AF10" s="4"/>
      <c r="AG10" s="4"/>
      <c r="AH10" s="507">
        <f t="shared" si="9"/>
        <v>0</v>
      </c>
      <c r="AI10" s="508">
        <f t="shared" si="10"/>
        <v>0</v>
      </c>
      <c r="AJ10" s="507"/>
      <c r="AK10" s="4">
        <f t="shared" si="14"/>
        <v>0</v>
      </c>
      <c r="AL10" s="3"/>
      <c r="AM10" s="3"/>
      <c r="AN10" s="3"/>
      <c r="AO10" s="4"/>
      <c r="AP10" s="4">
        <v>62292.390000000014</v>
      </c>
      <c r="AQ10" s="184"/>
      <c r="AR10" s="184"/>
      <c r="AS10" s="173">
        <f t="shared" si="11"/>
        <v>62292.390000000014</v>
      </c>
      <c r="AT10" s="173">
        <f t="shared" si="15"/>
        <v>62292.390000000014</v>
      </c>
      <c r="AU10" s="173">
        <f t="shared" si="16"/>
        <v>0</v>
      </c>
      <c r="AV10" s="173">
        <f t="shared" si="17"/>
        <v>0</v>
      </c>
      <c r="AW10" s="172"/>
      <c r="AX10" s="173">
        <f t="shared" si="18"/>
        <v>0</v>
      </c>
      <c r="AY10" s="172"/>
      <c r="AZ10" s="172"/>
      <c r="BA10" s="172"/>
      <c r="BB10" s="173">
        <f t="shared" si="19"/>
        <v>0</v>
      </c>
      <c r="BC10" s="4">
        <f t="shared" si="20"/>
        <v>0</v>
      </c>
      <c r="BD10" s="4"/>
      <c r="BE10" s="4"/>
      <c r="BF10" s="4"/>
      <c r="BG10" s="4"/>
      <c r="BH10" s="4">
        <f t="shared" si="21"/>
        <v>0</v>
      </c>
      <c r="BI10" s="3"/>
      <c r="BJ10" s="4">
        <f t="shared" si="22"/>
        <v>0</v>
      </c>
      <c r="BK10" s="4">
        <f t="shared" si="23"/>
        <v>0</v>
      </c>
      <c r="BL10" s="4"/>
      <c r="BM10" s="4">
        <f t="shared" si="24"/>
        <v>0</v>
      </c>
      <c r="BN10" s="4"/>
      <c r="BO10" s="4"/>
      <c r="BP10" s="4"/>
    </row>
    <row r="11" spans="1:68" s="5" customFormat="1" ht="30" customHeight="1">
      <c r="A11" s="3">
        <v>6</v>
      </c>
      <c r="B11" s="3">
        <v>1977</v>
      </c>
      <c r="C11" s="3" t="s">
        <v>1047</v>
      </c>
      <c r="D11" s="4">
        <v>44100</v>
      </c>
      <c r="E11" s="4">
        <v>44100</v>
      </c>
      <c r="F11" s="4">
        <f t="shared" si="0"/>
        <v>0</v>
      </c>
      <c r="G11" s="4">
        <v>44100</v>
      </c>
      <c r="H11" s="4">
        <v>43807.21</v>
      </c>
      <c r="I11" s="4"/>
      <c r="J11" s="4"/>
      <c r="K11" s="4">
        <f t="shared" si="1"/>
        <v>0</v>
      </c>
      <c r="L11" s="4">
        <f t="shared" si="2"/>
        <v>43807.21</v>
      </c>
      <c r="M11" s="4">
        <f t="shared" si="3"/>
        <v>292.79000000000087</v>
      </c>
      <c r="N11" s="4">
        <v>0</v>
      </c>
      <c r="O11" s="4">
        <f t="shared" si="12"/>
        <v>0</v>
      </c>
      <c r="P11" s="4">
        <f t="shared" si="13"/>
        <v>0</v>
      </c>
      <c r="Q11" s="4">
        <f t="shared" si="4"/>
        <v>292.79000000000087</v>
      </c>
      <c r="R11" s="4"/>
      <c r="S11" s="4"/>
      <c r="T11" s="4">
        <f t="shared" si="5"/>
        <v>0</v>
      </c>
      <c r="U11" s="4">
        <f t="shared" si="6"/>
        <v>0</v>
      </c>
      <c r="V11" s="4">
        <f t="shared" si="7"/>
        <v>0</v>
      </c>
      <c r="W11" s="4"/>
      <c r="X11" s="4">
        <f t="shared" si="8"/>
        <v>0</v>
      </c>
      <c r="Y11" s="4"/>
      <c r="Z11" s="4"/>
      <c r="AA11" s="210"/>
      <c r="AB11" s="3" t="s">
        <v>721</v>
      </c>
      <c r="AC11" s="3">
        <v>810000</v>
      </c>
      <c r="AD11" s="506"/>
      <c r="AE11" s="462"/>
      <c r="AF11" s="4"/>
      <c r="AG11" s="4"/>
      <c r="AH11" s="507">
        <f t="shared" si="9"/>
        <v>0</v>
      </c>
      <c r="AI11" s="508">
        <f t="shared" si="10"/>
        <v>0</v>
      </c>
      <c r="AJ11" s="507"/>
      <c r="AK11" s="4">
        <f t="shared" si="14"/>
        <v>0</v>
      </c>
      <c r="AL11" s="3"/>
      <c r="AM11" s="3"/>
      <c r="AN11" s="3"/>
      <c r="AO11" s="4">
        <v>0</v>
      </c>
      <c r="AP11" s="4"/>
      <c r="AQ11" s="184"/>
      <c r="AR11" s="184"/>
      <c r="AS11" s="173">
        <f t="shared" si="11"/>
        <v>292.79000000000087</v>
      </c>
      <c r="AT11" s="173">
        <f t="shared" si="15"/>
        <v>292.79000000000087</v>
      </c>
      <c r="AU11" s="173">
        <f t="shared" si="16"/>
        <v>0</v>
      </c>
      <c r="AV11" s="173">
        <f t="shared" si="17"/>
        <v>0</v>
      </c>
      <c r="AW11" s="184"/>
      <c r="AX11" s="173">
        <f t="shared" si="18"/>
        <v>0</v>
      </c>
      <c r="AY11" s="184"/>
      <c r="AZ11" s="184"/>
      <c r="BA11" s="184"/>
      <c r="BB11" s="173">
        <f t="shared" si="19"/>
        <v>0</v>
      </c>
      <c r="BC11" s="4">
        <f t="shared" si="20"/>
        <v>0</v>
      </c>
      <c r="BD11" s="4"/>
      <c r="BE11" s="4"/>
      <c r="BF11" s="4"/>
      <c r="BG11" s="4"/>
      <c r="BH11" s="4">
        <f t="shared" si="21"/>
        <v>0</v>
      </c>
      <c r="BI11" s="3"/>
      <c r="BJ11" s="4">
        <f t="shared" si="22"/>
        <v>0</v>
      </c>
      <c r="BK11" s="4">
        <f t="shared" si="23"/>
        <v>0</v>
      </c>
      <c r="BL11" s="4"/>
      <c r="BM11" s="4">
        <f t="shared" si="24"/>
        <v>0</v>
      </c>
      <c r="BN11" s="4"/>
      <c r="BO11" s="4"/>
      <c r="BP11" s="4"/>
    </row>
    <row r="12" spans="1:68" s="5" customFormat="1" ht="30" customHeight="1">
      <c r="A12" s="3">
        <v>7</v>
      </c>
      <c r="B12" s="278">
        <v>1987</v>
      </c>
      <c r="C12" s="3" t="s">
        <v>1048</v>
      </c>
      <c r="D12" s="4">
        <v>120000</v>
      </c>
      <c r="E12" s="4">
        <v>120000</v>
      </c>
      <c r="F12" s="4">
        <f t="shared" si="0"/>
        <v>0</v>
      </c>
      <c r="G12" s="4">
        <v>120000</v>
      </c>
      <c r="H12" s="4">
        <v>77677</v>
      </c>
      <c r="I12" s="4"/>
      <c r="J12" s="4"/>
      <c r="K12" s="4">
        <f t="shared" si="1"/>
        <v>0</v>
      </c>
      <c r="L12" s="4">
        <f t="shared" si="2"/>
        <v>77677</v>
      </c>
      <c r="M12" s="4">
        <f t="shared" si="3"/>
        <v>42323</v>
      </c>
      <c r="N12" s="4">
        <v>0</v>
      </c>
      <c r="O12" s="4">
        <f>N12-AH12</f>
        <v>0</v>
      </c>
      <c r="P12" s="4">
        <f t="shared" si="13"/>
        <v>0</v>
      </c>
      <c r="Q12" s="4">
        <f t="shared" si="4"/>
        <v>42323</v>
      </c>
      <c r="R12" s="4"/>
      <c r="S12" s="4"/>
      <c r="T12" s="4">
        <f t="shared" si="5"/>
        <v>0</v>
      </c>
      <c r="U12" s="4">
        <f t="shared" si="6"/>
        <v>0</v>
      </c>
      <c r="V12" s="4">
        <f t="shared" si="7"/>
        <v>0</v>
      </c>
      <c r="W12" s="4"/>
      <c r="X12" s="4">
        <f t="shared" si="8"/>
        <v>0</v>
      </c>
      <c r="Y12" s="4"/>
      <c r="Z12" s="4"/>
      <c r="AA12" s="210"/>
      <c r="AB12" s="3" t="s">
        <v>721</v>
      </c>
      <c r="AC12" s="3">
        <v>810000</v>
      </c>
      <c r="AD12" s="506"/>
      <c r="AE12" s="462"/>
      <c r="AF12" s="4"/>
      <c r="AG12" s="4"/>
      <c r="AH12" s="507">
        <f t="shared" si="9"/>
        <v>0</v>
      </c>
      <c r="AI12" s="508">
        <f t="shared" si="10"/>
        <v>0</v>
      </c>
      <c r="AJ12" s="507"/>
      <c r="AK12" s="4">
        <f t="shared" si="14"/>
        <v>0</v>
      </c>
      <c r="AL12" s="3"/>
      <c r="AM12" s="3"/>
      <c r="AN12" s="3"/>
      <c r="AO12" s="4"/>
      <c r="AP12" s="4">
        <v>42323</v>
      </c>
      <c r="AQ12" s="184"/>
      <c r="AR12" s="184"/>
      <c r="AS12" s="173">
        <f t="shared" si="11"/>
        <v>42323</v>
      </c>
      <c r="AT12" s="173">
        <f t="shared" si="15"/>
        <v>42323</v>
      </c>
      <c r="AU12" s="173">
        <f t="shared" si="16"/>
        <v>0</v>
      </c>
      <c r="AV12" s="173">
        <f t="shared" si="17"/>
        <v>0</v>
      </c>
      <c r="AW12" s="184"/>
      <c r="AX12" s="173">
        <f t="shared" si="18"/>
        <v>0</v>
      </c>
      <c r="AY12" s="184"/>
      <c r="AZ12" s="184"/>
      <c r="BA12" s="184"/>
      <c r="BB12" s="173">
        <f t="shared" si="19"/>
        <v>0</v>
      </c>
      <c r="BC12" s="4">
        <f t="shared" si="20"/>
        <v>0</v>
      </c>
      <c r="BD12" s="4"/>
      <c r="BE12" s="4"/>
      <c r="BF12" s="4"/>
      <c r="BG12" s="4"/>
      <c r="BH12" s="4">
        <f t="shared" si="21"/>
        <v>0</v>
      </c>
      <c r="BI12" s="3"/>
      <c r="BJ12" s="4">
        <f t="shared" si="22"/>
        <v>0</v>
      </c>
      <c r="BK12" s="4">
        <f t="shared" si="23"/>
        <v>0</v>
      </c>
      <c r="BL12" s="4"/>
      <c r="BM12" s="4">
        <f t="shared" si="24"/>
        <v>0</v>
      </c>
      <c r="BN12" s="4"/>
      <c r="BO12" s="4"/>
      <c r="BP12" s="4"/>
    </row>
    <row r="13" spans="1:68" s="5" customFormat="1" ht="30" customHeight="1">
      <c r="A13" s="3">
        <v>8</v>
      </c>
      <c r="B13" s="278">
        <v>1990</v>
      </c>
      <c r="C13" s="3" t="s">
        <v>1049</v>
      </c>
      <c r="D13" s="4">
        <v>58800</v>
      </c>
      <c r="E13" s="4">
        <v>58800</v>
      </c>
      <c r="F13" s="4">
        <f t="shared" si="0"/>
        <v>0</v>
      </c>
      <c r="G13" s="4">
        <v>58800</v>
      </c>
      <c r="H13" s="4">
        <v>54353.06</v>
      </c>
      <c r="I13" s="4"/>
      <c r="J13" s="4"/>
      <c r="K13" s="4">
        <f t="shared" si="1"/>
        <v>0</v>
      </c>
      <c r="L13" s="4">
        <f t="shared" si="2"/>
        <v>54353.06</v>
      </c>
      <c r="M13" s="4">
        <f t="shared" si="3"/>
        <v>4446.9400000000023</v>
      </c>
      <c r="N13" s="4">
        <v>0</v>
      </c>
      <c r="O13" s="4">
        <f t="shared" si="12"/>
        <v>0</v>
      </c>
      <c r="P13" s="4">
        <f t="shared" si="13"/>
        <v>0</v>
      </c>
      <c r="Q13" s="4">
        <f t="shared" si="4"/>
        <v>4446.9400000000023</v>
      </c>
      <c r="R13" s="4"/>
      <c r="S13" s="4"/>
      <c r="T13" s="4">
        <f t="shared" si="5"/>
        <v>0</v>
      </c>
      <c r="U13" s="4">
        <f t="shared" si="6"/>
        <v>0</v>
      </c>
      <c r="V13" s="4">
        <f t="shared" si="7"/>
        <v>0</v>
      </c>
      <c r="W13" s="4"/>
      <c r="X13" s="4">
        <f t="shared" si="8"/>
        <v>0</v>
      </c>
      <c r="Y13" s="4"/>
      <c r="Z13" s="4"/>
      <c r="AA13" s="210"/>
      <c r="AB13" s="3"/>
      <c r="AC13" s="3">
        <v>810000</v>
      </c>
      <c r="AD13" s="506"/>
      <c r="AE13" s="462"/>
      <c r="AF13" s="4"/>
      <c r="AG13" s="4"/>
      <c r="AH13" s="507">
        <f t="shared" si="9"/>
        <v>0</v>
      </c>
      <c r="AI13" s="508">
        <f t="shared" si="10"/>
        <v>0</v>
      </c>
      <c r="AJ13" s="507"/>
      <c r="AK13" s="4">
        <f t="shared" si="14"/>
        <v>0</v>
      </c>
      <c r="AL13" s="3"/>
      <c r="AM13" s="3"/>
      <c r="AN13" s="3"/>
      <c r="AO13" s="4"/>
      <c r="AP13" s="4">
        <v>4446.9400000000023</v>
      </c>
      <c r="AQ13" s="184"/>
      <c r="AR13" s="184"/>
      <c r="AS13" s="173">
        <f t="shared" si="11"/>
        <v>4446.9400000000023</v>
      </c>
      <c r="AT13" s="173">
        <f t="shared" si="15"/>
        <v>4446.9400000000023</v>
      </c>
      <c r="AU13" s="173">
        <f t="shared" si="16"/>
        <v>0</v>
      </c>
      <c r="AV13" s="173">
        <f t="shared" si="17"/>
        <v>0</v>
      </c>
      <c r="AW13" s="184"/>
      <c r="AX13" s="173">
        <f t="shared" si="18"/>
        <v>0</v>
      </c>
      <c r="AY13" s="184"/>
      <c r="AZ13" s="184"/>
      <c r="BA13" s="184"/>
      <c r="BB13" s="173">
        <f t="shared" si="19"/>
        <v>0</v>
      </c>
      <c r="BC13" s="4">
        <f t="shared" si="20"/>
        <v>0</v>
      </c>
      <c r="BD13" s="4"/>
      <c r="BE13" s="4"/>
      <c r="BF13" s="4"/>
      <c r="BG13" s="4"/>
      <c r="BH13" s="4">
        <f t="shared" si="21"/>
        <v>0</v>
      </c>
      <c r="BI13" s="3"/>
      <c r="BJ13" s="4">
        <f t="shared" si="22"/>
        <v>0</v>
      </c>
      <c r="BK13" s="4">
        <f t="shared" si="23"/>
        <v>0</v>
      </c>
      <c r="BL13" s="4"/>
      <c r="BM13" s="4">
        <f t="shared" si="24"/>
        <v>0</v>
      </c>
      <c r="BN13" s="4"/>
      <c r="BO13" s="4"/>
      <c r="BP13" s="4"/>
    </row>
    <row r="14" spans="1:68" s="5" customFormat="1" ht="30" customHeight="1">
      <c r="A14" s="3">
        <v>9</v>
      </c>
      <c r="B14" s="278">
        <v>2033</v>
      </c>
      <c r="C14" s="3" t="s">
        <v>419</v>
      </c>
      <c r="D14" s="4">
        <v>1000000</v>
      </c>
      <c r="E14" s="4">
        <v>1000000</v>
      </c>
      <c r="F14" s="4">
        <f t="shared" si="0"/>
        <v>0</v>
      </c>
      <c r="G14" s="4">
        <v>1000000</v>
      </c>
      <c r="H14" s="4">
        <v>538291.04</v>
      </c>
      <c r="I14" s="4"/>
      <c r="J14" s="4">
        <v>24122.14</v>
      </c>
      <c r="K14" s="4">
        <f t="shared" si="1"/>
        <v>24122.14</v>
      </c>
      <c r="L14" s="4">
        <f>H14+K14</f>
        <v>562413.18000000005</v>
      </c>
      <c r="M14" s="4">
        <f t="shared" si="3"/>
        <v>437586.81999999995</v>
      </c>
      <c r="N14" s="4">
        <v>0</v>
      </c>
      <c r="O14" s="4">
        <f t="shared" si="12"/>
        <v>0</v>
      </c>
      <c r="P14" s="4">
        <f t="shared" si="13"/>
        <v>0</v>
      </c>
      <c r="Q14" s="4">
        <f t="shared" si="4"/>
        <v>437586.81999999995</v>
      </c>
      <c r="R14" s="4"/>
      <c r="S14" s="4"/>
      <c r="T14" s="4">
        <f t="shared" si="5"/>
        <v>0</v>
      </c>
      <c r="U14" s="4">
        <f t="shared" si="6"/>
        <v>0</v>
      </c>
      <c r="V14" s="4">
        <f t="shared" si="7"/>
        <v>0</v>
      </c>
      <c r="W14" s="4"/>
      <c r="X14" s="4">
        <f t="shared" si="8"/>
        <v>0</v>
      </c>
      <c r="Y14" s="4"/>
      <c r="Z14" s="4"/>
      <c r="AA14" s="210"/>
      <c r="AB14" s="3" t="s">
        <v>420</v>
      </c>
      <c r="AC14" s="3">
        <v>810000</v>
      </c>
      <c r="AD14" s="506"/>
      <c r="AE14" s="462"/>
      <c r="AF14" s="4"/>
      <c r="AG14" s="4"/>
      <c r="AH14" s="507">
        <f t="shared" si="9"/>
        <v>0</v>
      </c>
      <c r="AI14" s="508">
        <f t="shared" si="10"/>
        <v>0</v>
      </c>
      <c r="AJ14" s="507"/>
      <c r="AK14" s="4">
        <f t="shared" si="14"/>
        <v>0</v>
      </c>
      <c r="AL14" s="3"/>
      <c r="AM14" s="3"/>
      <c r="AN14" s="3"/>
      <c r="AO14" s="4"/>
      <c r="AP14" s="4">
        <v>437586.81999999995</v>
      </c>
      <c r="AQ14" s="292"/>
      <c r="AR14" s="184"/>
      <c r="AS14" s="173">
        <f t="shared" si="11"/>
        <v>437586.81999999995</v>
      </c>
      <c r="AT14" s="173">
        <f t="shared" si="15"/>
        <v>437586.81999999995</v>
      </c>
      <c r="AU14" s="173">
        <f t="shared" si="16"/>
        <v>0</v>
      </c>
      <c r="AV14" s="173">
        <f t="shared" si="17"/>
        <v>0</v>
      </c>
      <c r="AW14" s="184"/>
      <c r="AX14" s="173">
        <f t="shared" si="18"/>
        <v>0</v>
      </c>
      <c r="AY14" s="184"/>
      <c r="AZ14" s="184"/>
      <c r="BA14" s="184"/>
      <c r="BB14" s="173">
        <f t="shared" si="19"/>
        <v>0</v>
      </c>
      <c r="BC14" s="4">
        <f t="shared" si="20"/>
        <v>0</v>
      </c>
      <c r="BD14" s="4"/>
      <c r="BE14" s="4"/>
      <c r="BF14" s="4"/>
      <c r="BG14" s="4"/>
      <c r="BH14" s="4">
        <f t="shared" si="21"/>
        <v>0</v>
      </c>
      <c r="BI14" s="3"/>
      <c r="BJ14" s="4">
        <f t="shared" si="22"/>
        <v>0</v>
      </c>
      <c r="BK14" s="4">
        <f t="shared" si="23"/>
        <v>0</v>
      </c>
      <c r="BL14" s="4"/>
      <c r="BM14" s="4">
        <f t="shared" si="24"/>
        <v>0</v>
      </c>
      <c r="BN14" s="4"/>
      <c r="BO14" s="4"/>
      <c r="BP14" s="4"/>
    </row>
    <row r="15" spans="1:68" s="5" customFormat="1" ht="30" customHeight="1">
      <c r="A15" s="3">
        <v>10</v>
      </c>
      <c r="B15" s="278">
        <v>2034</v>
      </c>
      <c r="C15" s="3" t="s">
        <v>421</v>
      </c>
      <c r="D15" s="4">
        <v>2515000</v>
      </c>
      <c r="E15" s="4">
        <v>2515000</v>
      </c>
      <c r="F15" s="4">
        <f t="shared" si="0"/>
        <v>0</v>
      </c>
      <c r="G15" s="4">
        <v>2000000</v>
      </c>
      <c r="H15" s="4">
        <v>1875304.56</v>
      </c>
      <c r="I15" s="4"/>
      <c r="J15" s="4">
        <v>53447.02</v>
      </c>
      <c r="K15" s="4">
        <f t="shared" si="1"/>
        <v>53447.02</v>
      </c>
      <c r="L15" s="4">
        <f>H15+K15</f>
        <v>1928751.58</v>
      </c>
      <c r="M15" s="4">
        <f t="shared" si="3"/>
        <v>71248.419999999925</v>
      </c>
      <c r="N15" s="4">
        <v>515000</v>
      </c>
      <c r="O15" s="4">
        <f t="shared" si="12"/>
        <v>515000</v>
      </c>
      <c r="P15" s="4">
        <f t="shared" si="13"/>
        <v>0</v>
      </c>
      <c r="Q15" s="4">
        <f t="shared" si="4"/>
        <v>71248.419999999925</v>
      </c>
      <c r="R15" s="4"/>
      <c r="S15" s="4"/>
      <c r="T15" s="4">
        <f t="shared" si="5"/>
        <v>0</v>
      </c>
      <c r="U15" s="4">
        <f t="shared" si="6"/>
        <v>0</v>
      </c>
      <c r="V15" s="4">
        <f t="shared" si="7"/>
        <v>515000</v>
      </c>
      <c r="W15" s="4"/>
      <c r="X15" s="4">
        <f t="shared" si="8"/>
        <v>515000</v>
      </c>
      <c r="Y15" s="4"/>
      <c r="Z15" s="4"/>
      <c r="AA15" s="210"/>
      <c r="AB15" s="3" t="s">
        <v>851</v>
      </c>
      <c r="AC15" s="3">
        <v>810000</v>
      </c>
      <c r="AD15" s="506"/>
      <c r="AE15" s="462"/>
      <c r="AF15" s="4"/>
      <c r="AG15" s="4"/>
      <c r="AH15" s="507">
        <f t="shared" si="9"/>
        <v>0</v>
      </c>
      <c r="AI15" s="508">
        <f t="shared" si="10"/>
        <v>515000</v>
      </c>
      <c r="AJ15" s="507"/>
      <c r="AK15" s="4">
        <f t="shared" si="14"/>
        <v>515000</v>
      </c>
      <c r="AL15" s="3"/>
      <c r="AM15" s="3"/>
      <c r="AN15" s="3"/>
      <c r="AO15" s="4">
        <v>400000</v>
      </c>
      <c r="AP15" s="4">
        <v>71248.419999999925</v>
      </c>
      <c r="AQ15" s="184"/>
      <c r="AR15" s="173">
        <v>400000</v>
      </c>
      <c r="AS15" s="173">
        <f t="shared" si="11"/>
        <v>71248.419999999925</v>
      </c>
      <c r="AT15" s="173">
        <f t="shared" si="15"/>
        <v>471248.41999999993</v>
      </c>
      <c r="AU15" s="173">
        <f t="shared" si="16"/>
        <v>115000</v>
      </c>
      <c r="AV15" s="173">
        <f t="shared" si="17"/>
        <v>400000</v>
      </c>
      <c r="AW15" s="184"/>
      <c r="AX15" s="173">
        <f t="shared" si="18"/>
        <v>400000</v>
      </c>
      <c r="AY15" s="184"/>
      <c r="AZ15" s="184"/>
      <c r="BA15" s="184"/>
      <c r="BB15" s="173">
        <f t="shared" si="19"/>
        <v>0</v>
      </c>
      <c r="BC15" s="4">
        <f t="shared" si="20"/>
        <v>400000</v>
      </c>
      <c r="BD15" s="4">
        <v>400000</v>
      </c>
      <c r="BE15" s="4"/>
      <c r="BF15" s="4"/>
      <c r="BG15" s="4"/>
      <c r="BH15" s="4">
        <f t="shared" si="21"/>
        <v>400000</v>
      </c>
      <c r="BI15" s="3"/>
      <c r="BJ15" s="4">
        <f t="shared" si="22"/>
        <v>400000</v>
      </c>
      <c r="BK15" s="4">
        <f t="shared" si="23"/>
        <v>0</v>
      </c>
      <c r="BL15" s="4"/>
      <c r="BM15" s="4">
        <f t="shared" si="24"/>
        <v>400000</v>
      </c>
      <c r="BN15" s="4"/>
      <c r="BO15" s="4"/>
      <c r="BP15" s="4"/>
    </row>
    <row r="16" spans="1:68" s="5" customFormat="1" ht="30" customHeight="1">
      <c r="A16" s="3">
        <v>11</v>
      </c>
      <c r="B16" s="278">
        <v>2069</v>
      </c>
      <c r="C16" s="3" t="s">
        <v>1583</v>
      </c>
      <c r="D16" s="4">
        <v>190000</v>
      </c>
      <c r="E16" s="4">
        <v>190000</v>
      </c>
      <c r="F16" s="4">
        <f t="shared" si="0"/>
        <v>0</v>
      </c>
      <c r="G16" s="4">
        <v>140000</v>
      </c>
      <c r="H16" s="4">
        <v>133018.10999999999</v>
      </c>
      <c r="I16" s="4"/>
      <c r="J16" s="4">
        <v>506.81</v>
      </c>
      <c r="K16" s="4">
        <f t="shared" si="1"/>
        <v>506.81</v>
      </c>
      <c r="L16" s="4">
        <f t="shared" si="2"/>
        <v>133524.91999999998</v>
      </c>
      <c r="M16" s="4">
        <f t="shared" si="3"/>
        <v>6475.0800000000163</v>
      </c>
      <c r="N16" s="4">
        <v>50000</v>
      </c>
      <c r="O16" s="4">
        <f t="shared" si="12"/>
        <v>50000</v>
      </c>
      <c r="P16" s="4">
        <f>D16-L16-M16-O16</f>
        <v>0</v>
      </c>
      <c r="Q16" s="4">
        <f t="shared" si="4"/>
        <v>6475.0800000000163</v>
      </c>
      <c r="R16" s="4"/>
      <c r="S16" s="4"/>
      <c r="T16" s="4">
        <f t="shared" si="5"/>
        <v>0</v>
      </c>
      <c r="U16" s="4">
        <f t="shared" si="6"/>
        <v>0</v>
      </c>
      <c r="V16" s="4">
        <f t="shared" si="7"/>
        <v>50000</v>
      </c>
      <c r="W16" s="4"/>
      <c r="X16" s="4">
        <f t="shared" si="8"/>
        <v>50000</v>
      </c>
      <c r="Y16" s="4"/>
      <c r="Z16" s="4"/>
      <c r="AA16" s="210"/>
      <c r="AB16" s="3" t="s">
        <v>721</v>
      </c>
      <c r="AC16" s="3">
        <v>810000</v>
      </c>
      <c r="AD16" s="506"/>
      <c r="AE16" s="462"/>
      <c r="AF16" s="4"/>
      <c r="AG16" s="4"/>
      <c r="AH16" s="507">
        <f t="shared" si="9"/>
        <v>0</v>
      </c>
      <c r="AI16" s="508">
        <f t="shared" si="10"/>
        <v>50000</v>
      </c>
      <c r="AJ16" s="507"/>
      <c r="AK16" s="4">
        <f t="shared" si="14"/>
        <v>50000</v>
      </c>
      <c r="AL16" s="3"/>
      <c r="AM16" s="3"/>
      <c r="AN16" s="3"/>
      <c r="AO16" s="4"/>
      <c r="AP16" s="4">
        <v>6475.0800000000163</v>
      </c>
      <c r="AQ16" s="184"/>
      <c r="AR16" s="184"/>
      <c r="AS16" s="173">
        <v>6475</v>
      </c>
      <c r="AT16" s="173">
        <f t="shared" si="15"/>
        <v>6475</v>
      </c>
      <c r="AU16" s="173">
        <f t="shared" si="16"/>
        <v>50000.080000000016</v>
      </c>
      <c r="AV16" s="173">
        <f t="shared" si="17"/>
        <v>-8.0000000016298145E-2</v>
      </c>
      <c r="AW16" s="184"/>
      <c r="AX16" s="173">
        <f t="shared" si="18"/>
        <v>-8.0000000016298145E-2</v>
      </c>
      <c r="AY16" s="184"/>
      <c r="AZ16" s="184"/>
      <c r="BA16" s="184"/>
      <c r="BB16" s="173">
        <f t="shared" si="19"/>
        <v>-8.0000000016298145E-2</v>
      </c>
      <c r="BC16" s="4">
        <f t="shared" si="20"/>
        <v>0</v>
      </c>
      <c r="BD16" s="4"/>
      <c r="BE16" s="4"/>
      <c r="BF16" s="4"/>
      <c r="BG16" s="4"/>
      <c r="BH16" s="4">
        <f t="shared" si="21"/>
        <v>0</v>
      </c>
      <c r="BI16" s="3"/>
      <c r="BJ16" s="4">
        <f t="shared" si="22"/>
        <v>0</v>
      </c>
      <c r="BK16" s="4">
        <f t="shared" si="23"/>
        <v>-8.0000000016298145E-2</v>
      </c>
      <c r="BL16" s="4"/>
      <c r="BM16" s="4">
        <f t="shared" si="24"/>
        <v>0</v>
      </c>
      <c r="BN16" s="4"/>
      <c r="BO16" s="4"/>
      <c r="BP16" s="4"/>
    </row>
    <row r="17" spans="1:68" s="5" customFormat="1" ht="30" customHeight="1">
      <c r="A17" s="3">
        <v>12</v>
      </c>
      <c r="B17" s="278">
        <v>2070</v>
      </c>
      <c r="C17" s="3" t="s">
        <v>1050</v>
      </c>
      <c r="D17" s="4">
        <v>500000</v>
      </c>
      <c r="E17" s="4">
        <v>500000</v>
      </c>
      <c r="F17" s="4">
        <f t="shared" si="0"/>
        <v>0</v>
      </c>
      <c r="G17" s="4">
        <v>500000</v>
      </c>
      <c r="H17" s="4">
        <v>335300.78999999998</v>
      </c>
      <c r="I17" s="4"/>
      <c r="J17" s="4">
        <v>15093</v>
      </c>
      <c r="K17" s="4">
        <f t="shared" si="1"/>
        <v>15093</v>
      </c>
      <c r="L17" s="4">
        <f t="shared" si="2"/>
        <v>350393.79</v>
      </c>
      <c r="M17" s="4">
        <f t="shared" si="3"/>
        <v>149606.21000000002</v>
      </c>
      <c r="N17" s="4">
        <v>0</v>
      </c>
      <c r="O17" s="4">
        <f>N17-AH17</f>
        <v>0</v>
      </c>
      <c r="P17" s="4">
        <f t="shared" si="13"/>
        <v>0</v>
      </c>
      <c r="Q17" s="4">
        <f t="shared" si="4"/>
        <v>149606.21000000002</v>
      </c>
      <c r="R17" s="4"/>
      <c r="S17" s="4"/>
      <c r="T17" s="4">
        <f t="shared" si="5"/>
        <v>0</v>
      </c>
      <c r="U17" s="4">
        <f t="shared" si="6"/>
        <v>0</v>
      </c>
      <c r="V17" s="4">
        <f t="shared" si="7"/>
        <v>0</v>
      </c>
      <c r="W17" s="4"/>
      <c r="X17" s="4">
        <f t="shared" si="8"/>
        <v>-78000</v>
      </c>
      <c r="Y17" s="4"/>
      <c r="Z17" s="4"/>
      <c r="AA17" s="310">
        <v>78000</v>
      </c>
      <c r="AB17" s="3" t="s">
        <v>736</v>
      </c>
      <c r="AC17" s="3">
        <v>810000</v>
      </c>
      <c r="AD17" s="459"/>
      <c r="AE17" s="462"/>
      <c r="AF17" s="4"/>
      <c r="AG17" s="4"/>
      <c r="AH17" s="507">
        <f t="shared" si="9"/>
        <v>0</v>
      </c>
      <c r="AI17" s="508">
        <f t="shared" si="10"/>
        <v>0</v>
      </c>
      <c r="AJ17" s="507"/>
      <c r="AK17" s="4">
        <f t="shared" si="14"/>
        <v>-78000</v>
      </c>
      <c r="AL17" s="3"/>
      <c r="AM17" s="3"/>
      <c r="AN17" s="4">
        <v>78000</v>
      </c>
      <c r="AO17" s="4"/>
      <c r="AP17" s="4">
        <v>149606.21000000002</v>
      </c>
      <c r="AQ17" s="184"/>
      <c r="AR17" s="184"/>
      <c r="AS17" s="173">
        <v>149606</v>
      </c>
      <c r="AT17" s="173">
        <f t="shared" si="15"/>
        <v>149606</v>
      </c>
      <c r="AU17" s="173">
        <f t="shared" si="16"/>
        <v>0.21000000002095476</v>
      </c>
      <c r="AV17" s="173">
        <f t="shared" si="17"/>
        <v>-0.21000000002095476</v>
      </c>
      <c r="AW17" s="184"/>
      <c r="AX17" s="173">
        <f t="shared" si="18"/>
        <v>-0.21000000002095476</v>
      </c>
      <c r="AY17" s="184"/>
      <c r="AZ17" s="184"/>
      <c r="BA17" s="184"/>
      <c r="BB17" s="173">
        <f t="shared" si="19"/>
        <v>-0.21000000002095476</v>
      </c>
      <c r="BC17" s="4">
        <f t="shared" si="20"/>
        <v>0</v>
      </c>
      <c r="BD17" s="4"/>
      <c r="BE17" s="4"/>
      <c r="BF17" s="4"/>
      <c r="BG17" s="4"/>
      <c r="BH17" s="4">
        <f t="shared" si="21"/>
        <v>0</v>
      </c>
      <c r="BI17" s="3"/>
      <c r="BJ17" s="4">
        <f t="shared" si="22"/>
        <v>0</v>
      </c>
      <c r="BK17" s="4">
        <f t="shared" si="23"/>
        <v>-0.21000000002095476</v>
      </c>
      <c r="BL17" s="4"/>
      <c r="BM17" s="4">
        <f t="shared" si="24"/>
        <v>0</v>
      </c>
      <c r="BN17" s="4"/>
      <c r="BO17" s="4"/>
      <c r="BP17" s="4"/>
    </row>
    <row r="18" spans="1:68" s="5" customFormat="1" ht="30" customHeight="1">
      <c r="A18" s="3">
        <v>13</v>
      </c>
      <c r="B18" s="31">
        <v>2090</v>
      </c>
      <c r="C18" s="3" t="s">
        <v>425</v>
      </c>
      <c r="D18" s="4">
        <v>350000</v>
      </c>
      <c r="E18" s="4">
        <v>350000</v>
      </c>
      <c r="F18" s="4">
        <f t="shared" si="0"/>
        <v>0</v>
      </c>
      <c r="G18" s="4">
        <v>350000</v>
      </c>
      <c r="H18" s="4">
        <v>0</v>
      </c>
      <c r="I18" s="4"/>
      <c r="J18" s="4"/>
      <c r="K18" s="4">
        <f t="shared" si="1"/>
        <v>0</v>
      </c>
      <c r="L18" s="4">
        <f t="shared" si="2"/>
        <v>0</v>
      </c>
      <c r="M18" s="4">
        <f t="shared" si="3"/>
        <v>350000</v>
      </c>
      <c r="N18" s="4">
        <v>0</v>
      </c>
      <c r="O18" s="4">
        <f t="shared" si="12"/>
        <v>0</v>
      </c>
      <c r="P18" s="4">
        <f t="shared" si="13"/>
        <v>0</v>
      </c>
      <c r="Q18" s="4">
        <f t="shared" si="4"/>
        <v>350000</v>
      </c>
      <c r="R18" s="4"/>
      <c r="S18" s="4"/>
      <c r="T18" s="4">
        <f t="shared" ref="T18:T26" si="25">SUM(R18:S18)</f>
        <v>0</v>
      </c>
      <c r="U18" s="4">
        <f t="shared" si="6"/>
        <v>0</v>
      </c>
      <c r="V18" s="4">
        <f t="shared" si="7"/>
        <v>0</v>
      </c>
      <c r="W18" s="4"/>
      <c r="X18" s="4">
        <f>V18-W18-Z18-AA18</f>
        <v>0</v>
      </c>
      <c r="Y18" s="4"/>
      <c r="Z18" s="4"/>
      <c r="AA18" s="210"/>
      <c r="AB18" s="3" t="s">
        <v>554</v>
      </c>
      <c r="AC18" s="3">
        <v>810000</v>
      </c>
      <c r="AD18" s="506"/>
      <c r="AE18" s="462"/>
      <c r="AF18" s="4"/>
      <c r="AG18" s="4"/>
      <c r="AH18" s="507">
        <f t="shared" si="9"/>
        <v>0</v>
      </c>
      <c r="AI18" s="508">
        <f t="shared" si="10"/>
        <v>0</v>
      </c>
      <c r="AJ18" s="507"/>
      <c r="AK18" s="4">
        <f t="shared" si="14"/>
        <v>0</v>
      </c>
      <c r="AL18" s="3"/>
      <c r="AM18" s="3"/>
      <c r="AN18" s="3"/>
      <c r="AO18" s="4"/>
      <c r="AP18" s="4">
        <v>350000</v>
      </c>
      <c r="AQ18" s="172" t="s">
        <v>1051</v>
      </c>
      <c r="AR18" s="184"/>
      <c r="AS18" s="173">
        <v>350000</v>
      </c>
      <c r="AT18" s="173">
        <f t="shared" si="15"/>
        <v>350000</v>
      </c>
      <c r="AU18" s="173">
        <f t="shared" si="16"/>
        <v>0</v>
      </c>
      <c r="AV18" s="173">
        <f t="shared" si="17"/>
        <v>0</v>
      </c>
      <c r="AW18" s="184"/>
      <c r="AX18" s="173">
        <f t="shared" si="18"/>
        <v>0</v>
      </c>
      <c r="AY18" s="184"/>
      <c r="AZ18" s="184"/>
      <c r="BA18" s="184"/>
      <c r="BB18" s="173">
        <f t="shared" si="19"/>
        <v>0</v>
      </c>
      <c r="BC18" s="4">
        <f t="shared" si="20"/>
        <v>0</v>
      </c>
      <c r="BD18" s="4"/>
      <c r="BE18" s="4"/>
      <c r="BF18" s="4"/>
      <c r="BG18" s="4"/>
      <c r="BH18" s="4">
        <f t="shared" si="21"/>
        <v>0</v>
      </c>
      <c r="BI18" s="3"/>
      <c r="BJ18" s="4">
        <f t="shared" si="22"/>
        <v>0</v>
      </c>
      <c r="BK18" s="4">
        <f t="shared" si="23"/>
        <v>0</v>
      </c>
      <c r="BL18" s="4"/>
      <c r="BM18" s="4">
        <f t="shared" si="24"/>
        <v>0</v>
      </c>
      <c r="BN18" s="4"/>
      <c r="BO18" s="4"/>
      <c r="BP18" s="4"/>
    </row>
    <row r="19" spans="1:68" s="5" customFormat="1" ht="30" customHeight="1">
      <c r="A19" s="3">
        <v>14</v>
      </c>
      <c r="B19" s="31">
        <v>2091</v>
      </c>
      <c r="C19" s="3" t="s">
        <v>426</v>
      </c>
      <c r="D19" s="4">
        <v>1500000</v>
      </c>
      <c r="E19" s="4">
        <v>1500000</v>
      </c>
      <c r="F19" s="4">
        <f t="shared" si="0"/>
        <v>0</v>
      </c>
      <c r="G19" s="4">
        <v>1100000</v>
      </c>
      <c r="H19" s="4">
        <v>0</v>
      </c>
      <c r="I19" s="4"/>
      <c r="J19" s="4"/>
      <c r="K19" s="4">
        <f t="shared" si="1"/>
        <v>0</v>
      </c>
      <c r="L19" s="4">
        <f t="shared" si="2"/>
        <v>0</v>
      </c>
      <c r="M19" s="4">
        <f t="shared" si="3"/>
        <v>1100000</v>
      </c>
      <c r="N19" s="4">
        <v>600000</v>
      </c>
      <c r="O19" s="4">
        <f t="shared" si="12"/>
        <v>400000</v>
      </c>
      <c r="P19" s="4">
        <f t="shared" si="13"/>
        <v>0</v>
      </c>
      <c r="Q19" s="4">
        <f t="shared" si="4"/>
        <v>1100000</v>
      </c>
      <c r="R19" s="4"/>
      <c r="S19" s="4"/>
      <c r="T19" s="4">
        <f t="shared" si="25"/>
        <v>0</v>
      </c>
      <c r="U19" s="4"/>
      <c r="V19" s="4">
        <f t="shared" si="7"/>
        <v>600000</v>
      </c>
      <c r="W19" s="4"/>
      <c r="X19" s="4">
        <f>V19-W19-Z19-AA19</f>
        <v>600000</v>
      </c>
      <c r="Y19" s="4"/>
      <c r="Z19" s="4"/>
      <c r="AA19" s="210"/>
      <c r="AB19" s="3" t="s">
        <v>638</v>
      </c>
      <c r="AC19" s="3">
        <v>810000</v>
      </c>
      <c r="AD19" s="506"/>
      <c r="AE19" s="462"/>
      <c r="AF19" s="4">
        <v>200000</v>
      </c>
      <c r="AG19" s="4"/>
      <c r="AH19" s="4">
        <f t="shared" si="9"/>
        <v>200000</v>
      </c>
      <c r="AI19" s="4">
        <f t="shared" si="10"/>
        <v>400000</v>
      </c>
      <c r="AJ19" s="507"/>
      <c r="AK19" s="4">
        <f t="shared" si="14"/>
        <v>400000</v>
      </c>
      <c r="AL19" s="3"/>
      <c r="AM19" s="3"/>
      <c r="AN19" s="3"/>
      <c r="AO19" s="4">
        <v>0</v>
      </c>
      <c r="AP19" s="4">
        <v>0</v>
      </c>
      <c r="AQ19" s="184"/>
      <c r="AR19" s="184"/>
      <c r="AS19" s="173"/>
      <c r="AT19" s="173">
        <f t="shared" si="15"/>
        <v>0</v>
      </c>
      <c r="AU19" s="173">
        <f t="shared" si="16"/>
        <v>1500000</v>
      </c>
      <c r="AV19" s="173">
        <f t="shared" si="17"/>
        <v>-1100000</v>
      </c>
      <c r="AW19" s="184"/>
      <c r="AX19" s="173">
        <f t="shared" si="18"/>
        <v>-1100000</v>
      </c>
      <c r="AY19" s="184"/>
      <c r="AZ19" s="184"/>
      <c r="BA19" s="184"/>
      <c r="BB19" s="173">
        <f t="shared" si="19"/>
        <v>-1100000</v>
      </c>
      <c r="BC19" s="4">
        <f t="shared" si="20"/>
        <v>0</v>
      </c>
      <c r="BD19" s="4">
        <v>-1100000</v>
      </c>
      <c r="BE19" s="4"/>
      <c r="BF19" s="4"/>
      <c r="BG19" s="4"/>
      <c r="BH19" s="4">
        <f t="shared" si="21"/>
        <v>-1100000</v>
      </c>
      <c r="BI19" s="3"/>
      <c r="BJ19" s="4">
        <f t="shared" si="22"/>
        <v>-1100000</v>
      </c>
      <c r="BK19" s="4">
        <f t="shared" si="23"/>
        <v>0</v>
      </c>
      <c r="BL19" s="4"/>
      <c r="BM19" s="4">
        <f t="shared" si="24"/>
        <v>-1100000</v>
      </c>
      <c r="BN19" s="4"/>
      <c r="BO19" s="4"/>
      <c r="BP19" s="4"/>
    </row>
    <row r="20" spans="1:68" s="5" customFormat="1" ht="30" customHeight="1">
      <c r="A20" s="3">
        <v>15</v>
      </c>
      <c r="B20" s="31">
        <v>2092</v>
      </c>
      <c r="C20" s="3" t="s">
        <v>1052</v>
      </c>
      <c r="D20" s="4">
        <v>4800000</v>
      </c>
      <c r="E20" s="4">
        <v>4800000</v>
      </c>
      <c r="F20" s="4">
        <f t="shared" si="0"/>
        <v>0</v>
      </c>
      <c r="G20" s="4">
        <v>4800000</v>
      </c>
      <c r="H20" s="4">
        <v>1048015.42</v>
      </c>
      <c r="I20" s="4">
        <v>621307.5</v>
      </c>
      <c r="J20" s="4">
        <v>39910.879999999997</v>
      </c>
      <c r="K20" s="4">
        <f t="shared" si="1"/>
        <v>661218.38</v>
      </c>
      <c r="L20" s="4">
        <f t="shared" si="2"/>
        <v>1709233.8</v>
      </c>
      <c r="M20" s="4">
        <f t="shared" si="3"/>
        <v>3090766.2</v>
      </c>
      <c r="N20" s="4">
        <v>0</v>
      </c>
      <c r="O20" s="4">
        <f t="shared" si="12"/>
        <v>0</v>
      </c>
      <c r="P20" s="4">
        <f t="shared" si="13"/>
        <v>0</v>
      </c>
      <c r="Q20" s="4">
        <f t="shared" si="4"/>
        <v>3090766.2</v>
      </c>
      <c r="R20" s="4"/>
      <c r="S20" s="4"/>
      <c r="T20" s="4">
        <f t="shared" si="25"/>
        <v>0</v>
      </c>
      <c r="U20" s="4">
        <f t="shared" ref="U20:U26" si="26">Q20-M20+T20</f>
        <v>0</v>
      </c>
      <c r="V20" s="4">
        <f t="shared" si="7"/>
        <v>0</v>
      </c>
      <c r="W20" s="4"/>
      <c r="X20" s="4">
        <f>V20-W20-Z20-AA20</f>
        <v>0</v>
      </c>
      <c r="Y20" s="4"/>
      <c r="Z20" s="4"/>
      <c r="AA20" s="4"/>
      <c r="AB20" s="3" t="s">
        <v>556</v>
      </c>
      <c r="AC20" s="3">
        <v>810000</v>
      </c>
      <c r="AD20" s="506"/>
      <c r="AE20" s="462"/>
      <c r="AF20" s="4"/>
      <c r="AG20" s="4"/>
      <c r="AH20" s="507">
        <f t="shared" si="9"/>
        <v>0</v>
      </c>
      <c r="AI20" s="508">
        <f t="shared" si="10"/>
        <v>0</v>
      </c>
      <c r="AJ20" s="507"/>
      <c r="AK20" s="4">
        <f t="shared" si="14"/>
        <v>0</v>
      </c>
      <c r="AL20" s="3"/>
      <c r="AM20" s="3"/>
      <c r="AN20" s="3"/>
      <c r="AO20" s="4"/>
      <c r="AP20" s="4">
        <v>3090766.2</v>
      </c>
      <c r="AQ20" s="184"/>
      <c r="AR20" s="184"/>
      <c r="AS20" s="173">
        <v>3090766</v>
      </c>
      <c r="AT20" s="173">
        <f t="shared" si="15"/>
        <v>3090766</v>
      </c>
      <c r="AU20" s="173">
        <f t="shared" si="16"/>
        <v>0.20000000018626451</v>
      </c>
      <c r="AV20" s="173">
        <f t="shared" si="17"/>
        <v>-0.20000000018626451</v>
      </c>
      <c r="AW20" s="184"/>
      <c r="AX20" s="173">
        <f t="shared" si="18"/>
        <v>-0.20000000018626451</v>
      </c>
      <c r="AY20" s="184"/>
      <c r="AZ20" s="184"/>
      <c r="BA20" s="184"/>
      <c r="BB20" s="173">
        <f t="shared" si="19"/>
        <v>-0.20000000018626451</v>
      </c>
      <c r="BC20" s="4">
        <f t="shared" si="20"/>
        <v>0</v>
      </c>
      <c r="BD20" s="4"/>
      <c r="BE20" s="4"/>
      <c r="BF20" s="4"/>
      <c r="BG20" s="4"/>
      <c r="BH20" s="4">
        <f t="shared" si="21"/>
        <v>0</v>
      </c>
      <c r="BI20" s="3"/>
      <c r="BJ20" s="4">
        <f t="shared" si="22"/>
        <v>0</v>
      </c>
      <c r="BK20" s="4">
        <f t="shared" si="23"/>
        <v>-0.20000000018626451</v>
      </c>
      <c r="BL20" s="4"/>
      <c r="BM20" s="4">
        <f t="shared" si="24"/>
        <v>0</v>
      </c>
      <c r="BN20" s="4"/>
      <c r="BO20" s="4"/>
      <c r="BP20" s="4"/>
    </row>
    <row r="21" spans="1:68" s="5" customFormat="1" ht="30" customHeight="1">
      <c r="A21" s="3">
        <v>16</v>
      </c>
      <c r="B21" s="31">
        <v>2135</v>
      </c>
      <c r="C21" s="3" t="s">
        <v>655</v>
      </c>
      <c r="D21" s="4">
        <v>23000000</v>
      </c>
      <c r="E21" s="4">
        <v>23000000</v>
      </c>
      <c r="F21" s="4">
        <f t="shared" si="0"/>
        <v>0</v>
      </c>
      <c r="G21" s="4">
        <v>560000</v>
      </c>
      <c r="H21" s="4">
        <v>0</v>
      </c>
      <c r="I21" s="4"/>
      <c r="J21" s="4"/>
      <c r="K21" s="4">
        <f t="shared" si="1"/>
        <v>0</v>
      </c>
      <c r="L21" s="4">
        <f t="shared" si="2"/>
        <v>0</v>
      </c>
      <c r="M21" s="4">
        <f t="shared" si="3"/>
        <v>560000</v>
      </c>
      <c r="N21" s="4">
        <v>1800000</v>
      </c>
      <c r="O21" s="4">
        <f t="shared" si="12"/>
        <v>1800000</v>
      </c>
      <c r="P21" s="4">
        <f t="shared" si="13"/>
        <v>20640000</v>
      </c>
      <c r="Q21" s="4">
        <f t="shared" si="4"/>
        <v>560000</v>
      </c>
      <c r="R21" s="4"/>
      <c r="S21" s="4"/>
      <c r="T21" s="4">
        <f t="shared" si="25"/>
        <v>0</v>
      </c>
      <c r="U21" s="4">
        <f t="shared" si="26"/>
        <v>0</v>
      </c>
      <c r="V21" s="4">
        <f t="shared" si="7"/>
        <v>1800000</v>
      </c>
      <c r="W21" s="4"/>
      <c r="X21" s="4">
        <f>V21-W21-Z21-AA21</f>
        <v>1800000</v>
      </c>
      <c r="Y21" s="4"/>
      <c r="Z21" s="4"/>
      <c r="AA21" s="4"/>
      <c r="AB21" s="3" t="s">
        <v>737</v>
      </c>
      <c r="AC21" s="3">
        <v>810000</v>
      </c>
      <c r="AD21" s="506"/>
      <c r="AE21" s="462"/>
      <c r="AF21" s="4"/>
      <c r="AG21" s="4"/>
      <c r="AH21" s="507">
        <f t="shared" si="9"/>
        <v>0</v>
      </c>
      <c r="AI21" s="508">
        <f t="shared" si="10"/>
        <v>1800000</v>
      </c>
      <c r="AJ21" s="507"/>
      <c r="AK21" s="4">
        <f t="shared" si="14"/>
        <v>1800000</v>
      </c>
      <c r="AL21" s="3"/>
      <c r="AM21" s="3"/>
      <c r="AN21" s="3"/>
      <c r="AO21" s="4">
        <v>0</v>
      </c>
      <c r="AP21" s="4">
        <v>0</v>
      </c>
      <c r="AQ21" s="184"/>
      <c r="AR21" s="184"/>
      <c r="AS21" s="173"/>
      <c r="AT21" s="173">
        <f t="shared" si="15"/>
        <v>0</v>
      </c>
      <c r="AU21" s="173">
        <f t="shared" si="16"/>
        <v>23000000</v>
      </c>
      <c r="AV21" s="173">
        <f t="shared" si="17"/>
        <v>-560000</v>
      </c>
      <c r="AW21" s="184"/>
      <c r="AX21" s="173">
        <f t="shared" si="18"/>
        <v>-560000</v>
      </c>
      <c r="AY21" s="184"/>
      <c r="AZ21" s="184"/>
      <c r="BA21" s="184"/>
      <c r="BB21" s="173">
        <f t="shared" si="19"/>
        <v>-560000</v>
      </c>
      <c r="BC21" s="4">
        <f t="shared" si="20"/>
        <v>0</v>
      </c>
      <c r="BD21" s="4">
        <v>-560000</v>
      </c>
      <c r="BE21" s="4"/>
      <c r="BF21" s="4"/>
      <c r="BG21" s="4"/>
      <c r="BH21" s="4">
        <f t="shared" si="21"/>
        <v>-560000</v>
      </c>
      <c r="BI21" s="3"/>
      <c r="BJ21" s="4">
        <f t="shared" si="22"/>
        <v>-560000</v>
      </c>
      <c r="BK21" s="4">
        <f t="shared" si="23"/>
        <v>0</v>
      </c>
      <c r="BL21" s="4"/>
      <c r="BM21" s="4">
        <f t="shared" si="24"/>
        <v>-560000</v>
      </c>
      <c r="BN21" s="4"/>
      <c r="BO21" s="4"/>
      <c r="BP21" s="4"/>
    </row>
    <row r="22" spans="1:68" s="5" customFormat="1" ht="30" customHeight="1">
      <c r="A22" s="3">
        <v>17</v>
      </c>
      <c r="B22" s="31">
        <v>2158</v>
      </c>
      <c r="C22" s="3" t="s">
        <v>1584</v>
      </c>
      <c r="D22" s="4">
        <v>954000</v>
      </c>
      <c r="E22" s="4">
        <v>954000</v>
      </c>
      <c r="F22" s="4">
        <f t="shared" si="0"/>
        <v>0</v>
      </c>
      <c r="G22" s="4">
        <v>0</v>
      </c>
      <c r="H22" s="4">
        <v>0</v>
      </c>
      <c r="I22" s="4"/>
      <c r="J22" s="4"/>
      <c r="K22" s="4">
        <f>SUM(I22:J22)</f>
        <v>0</v>
      </c>
      <c r="L22" s="4">
        <f>H22+K22</f>
        <v>0</v>
      </c>
      <c r="M22" s="4">
        <f>Q22+T22</f>
        <v>0</v>
      </c>
      <c r="N22" s="4">
        <v>570000</v>
      </c>
      <c r="O22" s="4">
        <f t="shared" si="12"/>
        <v>570000</v>
      </c>
      <c r="P22" s="4">
        <f t="shared" si="13"/>
        <v>384000</v>
      </c>
      <c r="Q22" s="4">
        <f t="shared" si="4"/>
        <v>0</v>
      </c>
      <c r="R22" s="4"/>
      <c r="S22" s="4"/>
      <c r="T22" s="4">
        <f t="shared" si="25"/>
        <v>0</v>
      </c>
      <c r="U22" s="4">
        <f t="shared" si="26"/>
        <v>0</v>
      </c>
      <c r="V22" s="4">
        <f t="shared" si="7"/>
        <v>570000</v>
      </c>
      <c r="W22" s="4">
        <f>V22-AA22-X22-Z22</f>
        <v>0</v>
      </c>
      <c r="X22" s="4">
        <f>V22-Y22-Z22-AA22</f>
        <v>570000</v>
      </c>
      <c r="Y22" s="4"/>
      <c r="Z22" s="4"/>
      <c r="AA22" s="4"/>
      <c r="AB22" s="3" t="s">
        <v>738</v>
      </c>
      <c r="AC22" s="3">
        <v>810000</v>
      </c>
      <c r="AD22" s="376"/>
      <c r="AE22" s="378"/>
      <c r="AF22" s="4"/>
      <c r="AG22" s="4"/>
      <c r="AH22" s="507">
        <f t="shared" si="9"/>
        <v>0</v>
      </c>
      <c r="AI22" s="508">
        <f t="shared" si="10"/>
        <v>570000</v>
      </c>
      <c r="AJ22" s="507"/>
      <c r="AK22" s="4">
        <f t="shared" si="14"/>
        <v>570000</v>
      </c>
      <c r="AL22" s="3"/>
      <c r="AM22" s="3"/>
      <c r="AN22" s="3"/>
      <c r="AO22" s="4">
        <v>0</v>
      </c>
      <c r="AP22" s="4">
        <v>0</v>
      </c>
      <c r="AQ22" s="184"/>
      <c r="AR22" s="184"/>
      <c r="AS22" s="173">
        <f>AP22</f>
        <v>0</v>
      </c>
      <c r="AT22" s="173">
        <f t="shared" si="15"/>
        <v>0</v>
      </c>
      <c r="AU22" s="173">
        <f t="shared" si="16"/>
        <v>954000</v>
      </c>
      <c r="AV22" s="173">
        <f t="shared" si="17"/>
        <v>0</v>
      </c>
      <c r="AW22" s="184"/>
      <c r="AX22" s="173">
        <f t="shared" si="18"/>
        <v>0</v>
      </c>
      <c r="AY22" s="184"/>
      <c r="AZ22" s="184"/>
      <c r="BA22" s="184"/>
      <c r="BB22" s="173">
        <f t="shared" si="19"/>
        <v>0</v>
      </c>
      <c r="BC22" s="4">
        <f t="shared" si="20"/>
        <v>0</v>
      </c>
      <c r="BD22" s="4"/>
      <c r="BE22" s="4"/>
      <c r="BF22" s="4"/>
      <c r="BG22" s="4"/>
      <c r="BH22" s="4">
        <f t="shared" si="21"/>
        <v>0</v>
      </c>
      <c r="BI22" s="3"/>
      <c r="BJ22" s="4">
        <f t="shared" si="22"/>
        <v>0</v>
      </c>
      <c r="BK22" s="4">
        <f t="shared" si="23"/>
        <v>0</v>
      </c>
      <c r="BL22" s="4"/>
      <c r="BM22" s="4">
        <f t="shared" si="24"/>
        <v>0</v>
      </c>
      <c r="BN22" s="4"/>
      <c r="BO22" s="4"/>
      <c r="BP22" s="4"/>
    </row>
    <row r="23" spans="1:68" s="5" customFormat="1" ht="30" customHeight="1">
      <c r="A23" s="3">
        <v>18</v>
      </c>
      <c r="B23" s="31">
        <v>2159</v>
      </c>
      <c r="C23" s="3" t="s">
        <v>739</v>
      </c>
      <c r="D23" s="4">
        <v>200000</v>
      </c>
      <c r="E23" s="4">
        <v>200000</v>
      </c>
      <c r="F23" s="4">
        <f t="shared" si="0"/>
        <v>0</v>
      </c>
      <c r="G23" s="4">
        <v>200000</v>
      </c>
      <c r="H23" s="4">
        <v>0</v>
      </c>
      <c r="I23" s="4"/>
      <c r="J23" s="4"/>
      <c r="K23" s="4">
        <f>SUM(I23:J23)</f>
        <v>0</v>
      </c>
      <c r="L23" s="4">
        <f>H23+K23</f>
        <v>0</v>
      </c>
      <c r="M23" s="4">
        <f>Q23+T23</f>
        <v>200000</v>
      </c>
      <c r="N23" s="4">
        <v>200000</v>
      </c>
      <c r="O23" s="4">
        <f>N23-AH23</f>
        <v>0</v>
      </c>
      <c r="P23" s="4">
        <f t="shared" si="13"/>
        <v>0</v>
      </c>
      <c r="Q23" s="4">
        <f t="shared" si="4"/>
        <v>200000</v>
      </c>
      <c r="R23" s="4"/>
      <c r="S23" s="4"/>
      <c r="T23" s="4">
        <f t="shared" si="25"/>
        <v>0</v>
      </c>
      <c r="U23" s="4">
        <f t="shared" si="26"/>
        <v>0</v>
      </c>
      <c r="V23" s="4">
        <f t="shared" si="7"/>
        <v>200000</v>
      </c>
      <c r="W23" s="4">
        <f>V23-AA23-X23-Z23</f>
        <v>0</v>
      </c>
      <c r="X23" s="4">
        <f>V23-Y23-Z23-AA23</f>
        <v>200000</v>
      </c>
      <c r="Y23" s="4"/>
      <c r="Z23" s="4"/>
      <c r="AA23" s="4"/>
      <c r="AB23" s="3" t="s">
        <v>740</v>
      </c>
      <c r="AC23" s="3">
        <v>810000</v>
      </c>
      <c r="AD23" s="376"/>
      <c r="AE23" s="378"/>
      <c r="AF23" s="4">
        <v>200000</v>
      </c>
      <c r="AG23" s="4"/>
      <c r="AH23" s="4">
        <f t="shared" si="9"/>
        <v>200000</v>
      </c>
      <c r="AI23" s="508">
        <f t="shared" si="10"/>
        <v>0</v>
      </c>
      <c r="AJ23" s="507"/>
      <c r="AK23" s="4">
        <f t="shared" si="14"/>
        <v>0</v>
      </c>
      <c r="AL23" s="3"/>
      <c r="AM23" s="3"/>
      <c r="AN23" s="3"/>
      <c r="AO23" s="4"/>
      <c r="AP23" s="4">
        <v>200000</v>
      </c>
      <c r="AQ23" s="172" t="s">
        <v>1051</v>
      </c>
      <c r="AR23" s="184"/>
      <c r="AS23" s="173">
        <v>200000</v>
      </c>
      <c r="AT23" s="173">
        <f t="shared" si="15"/>
        <v>200000</v>
      </c>
      <c r="AU23" s="173">
        <f t="shared" si="16"/>
        <v>0</v>
      </c>
      <c r="AV23" s="173">
        <f t="shared" si="17"/>
        <v>0</v>
      </c>
      <c r="AW23" s="184"/>
      <c r="AX23" s="173">
        <f t="shared" si="18"/>
        <v>0</v>
      </c>
      <c r="AY23" s="184"/>
      <c r="AZ23" s="184"/>
      <c r="BA23" s="184"/>
      <c r="BB23" s="173">
        <f t="shared" si="19"/>
        <v>0</v>
      </c>
      <c r="BC23" s="4">
        <f t="shared" si="20"/>
        <v>0</v>
      </c>
      <c r="BD23" s="4"/>
      <c r="BE23" s="4"/>
      <c r="BF23" s="4"/>
      <c r="BG23" s="4"/>
      <c r="BH23" s="4">
        <f t="shared" si="21"/>
        <v>0</v>
      </c>
      <c r="BI23" s="3"/>
      <c r="BJ23" s="4">
        <f t="shared" si="22"/>
        <v>0</v>
      </c>
      <c r="BK23" s="4">
        <f t="shared" si="23"/>
        <v>0</v>
      </c>
      <c r="BL23" s="4"/>
      <c r="BM23" s="4">
        <f t="shared" si="24"/>
        <v>0</v>
      </c>
      <c r="BN23" s="4"/>
      <c r="BO23" s="4"/>
      <c r="BP23" s="4"/>
    </row>
    <row r="24" spans="1:68" s="5" customFormat="1" ht="30" customHeight="1">
      <c r="A24" s="3">
        <v>19</v>
      </c>
      <c r="B24" s="31">
        <v>2160</v>
      </c>
      <c r="C24" s="3" t="s">
        <v>741</v>
      </c>
      <c r="D24" s="4">
        <v>180000</v>
      </c>
      <c r="E24" s="4">
        <v>180000</v>
      </c>
      <c r="F24" s="4">
        <f t="shared" si="0"/>
        <v>0</v>
      </c>
      <c r="G24" s="4">
        <v>180000</v>
      </c>
      <c r="H24" s="4">
        <v>0</v>
      </c>
      <c r="I24" s="4"/>
      <c r="J24" s="4"/>
      <c r="K24" s="4">
        <f>SUM(I24:J24)</f>
        <v>0</v>
      </c>
      <c r="L24" s="4">
        <f>H24+K24</f>
        <v>0</v>
      </c>
      <c r="M24" s="4">
        <f>Q24+T24</f>
        <v>180000</v>
      </c>
      <c r="N24" s="4">
        <v>180000</v>
      </c>
      <c r="O24" s="4">
        <f t="shared" si="12"/>
        <v>0</v>
      </c>
      <c r="P24" s="4">
        <f t="shared" si="13"/>
        <v>0</v>
      </c>
      <c r="Q24" s="4">
        <f t="shared" si="4"/>
        <v>180000</v>
      </c>
      <c r="R24" s="4"/>
      <c r="S24" s="4"/>
      <c r="T24" s="4">
        <f t="shared" si="25"/>
        <v>0</v>
      </c>
      <c r="U24" s="4">
        <f t="shared" si="26"/>
        <v>0</v>
      </c>
      <c r="V24" s="4">
        <f t="shared" si="7"/>
        <v>180000</v>
      </c>
      <c r="W24" s="4">
        <f>V24-AA24-X24-Z24</f>
        <v>0</v>
      </c>
      <c r="X24" s="4">
        <f>V24-Y24-Z24-AA24</f>
        <v>180000</v>
      </c>
      <c r="Y24" s="4"/>
      <c r="Z24" s="4"/>
      <c r="AA24" s="4"/>
      <c r="AB24" s="3" t="s">
        <v>742</v>
      </c>
      <c r="AC24" s="3">
        <v>810000</v>
      </c>
      <c r="AD24" s="376"/>
      <c r="AE24" s="378"/>
      <c r="AF24" s="4">
        <v>180000</v>
      </c>
      <c r="AG24" s="4"/>
      <c r="AH24" s="4">
        <f t="shared" si="9"/>
        <v>180000</v>
      </c>
      <c r="AI24" s="508">
        <f t="shared" si="10"/>
        <v>0</v>
      </c>
      <c r="AJ24" s="507"/>
      <c r="AK24" s="4">
        <f t="shared" si="14"/>
        <v>0</v>
      </c>
      <c r="AL24" s="3"/>
      <c r="AM24" s="3"/>
      <c r="AN24" s="3"/>
      <c r="AO24" s="4">
        <v>0</v>
      </c>
      <c r="AP24" s="4"/>
      <c r="AQ24" s="184"/>
      <c r="AR24" s="184"/>
      <c r="AS24" s="173">
        <f>AP24</f>
        <v>0</v>
      </c>
      <c r="AT24" s="173">
        <f t="shared" si="15"/>
        <v>0</v>
      </c>
      <c r="AU24" s="173">
        <f t="shared" si="16"/>
        <v>180000</v>
      </c>
      <c r="AV24" s="173">
        <f t="shared" si="17"/>
        <v>-180000</v>
      </c>
      <c r="AW24" s="184"/>
      <c r="AX24" s="173">
        <f t="shared" si="18"/>
        <v>-180000</v>
      </c>
      <c r="AY24" s="184"/>
      <c r="AZ24" s="184"/>
      <c r="BA24" s="184"/>
      <c r="BB24" s="173">
        <f t="shared" si="19"/>
        <v>-180000</v>
      </c>
      <c r="BC24" s="4">
        <f t="shared" si="20"/>
        <v>0</v>
      </c>
      <c r="BD24" s="4">
        <v>-180000</v>
      </c>
      <c r="BE24" s="4"/>
      <c r="BF24" s="4"/>
      <c r="BG24" s="4"/>
      <c r="BH24" s="4">
        <f t="shared" si="21"/>
        <v>-180000</v>
      </c>
      <c r="BI24" s="3"/>
      <c r="BJ24" s="4">
        <f t="shared" si="22"/>
        <v>-180000</v>
      </c>
      <c r="BK24" s="4">
        <f t="shared" si="23"/>
        <v>0</v>
      </c>
      <c r="BL24" s="4"/>
      <c r="BM24" s="4">
        <f t="shared" si="24"/>
        <v>-180000</v>
      </c>
      <c r="BN24" s="4"/>
      <c r="BO24" s="4"/>
      <c r="BP24" s="4"/>
    </row>
    <row r="25" spans="1:68" s="5" customFormat="1" ht="30" customHeight="1">
      <c r="A25" s="3">
        <v>20</v>
      </c>
      <c r="B25" s="31">
        <v>2161</v>
      </c>
      <c r="C25" s="3" t="s">
        <v>850</v>
      </c>
      <c r="D25" s="4">
        <v>180000</v>
      </c>
      <c r="E25" s="4">
        <v>180000</v>
      </c>
      <c r="F25" s="4">
        <f t="shared" si="0"/>
        <v>0</v>
      </c>
      <c r="G25" s="4">
        <v>0</v>
      </c>
      <c r="H25" s="4">
        <v>0</v>
      </c>
      <c r="I25" s="4"/>
      <c r="J25" s="4"/>
      <c r="K25" s="4">
        <f>SUM(I25:J25)</f>
        <v>0</v>
      </c>
      <c r="L25" s="4">
        <f>H25+K25</f>
        <v>0</v>
      </c>
      <c r="M25" s="4">
        <f>Q25+T25</f>
        <v>0</v>
      </c>
      <c r="N25" s="4">
        <v>180000</v>
      </c>
      <c r="O25" s="4">
        <f>N25-AH25</f>
        <v>180000</v>
      </c>
      <c r="P25" s="4">
        <f>D25-L25-M25-O25</f>
        <v>0</v>
      </c>
      <c r="Q25" s="4">
        <f>G25-L25</f>
        <v>0</v>
      </c>
      <c r="R25" s="4"/>
      <c r="S25" s="4"/>
      <c r="T25" s="4">
        <f t="shared" si="25"/>
        <v>0</v>
      </c>
      <c r="U25" s="4">
        <f t="shared" si="26"/>
        <v>0</v>
      </c>
      <c r="V25" s="4">
        <f>N25-U25</f>
        <v>180000</v>
      </c>
      <c r="W25" s="4">
        <f>V25-AA25-X25-Z25</f>
        <v>0</v>
      </c>
      <c r="X25" s="4">
        <f>V25-Y25-Z25-AA25</f>
        <v>180000</v>
      </c>
      <c r="Y25" s="4"/>
      <c r="Z25" s="4"/>
      <c r="AA25" s="4"/>
      <c r="AB25" s="3" t="s">
        <v>909</v>
      </c>
      <c r="AC25" s="3">
        <v>810000</v>
      </c>
      <c r="AD25" s="376"/>
      <c r="AE25" s="378"/>
      <c r="AF25" s="4"/>
      <c r="AG25" s="4"/>
      <c r="AH25" s="507">
        <f>SUM(AD25:AG25)</f>
        <v>0</v>
      </c>
      <c r="AI25" s="508">
        <f>V25-AH25</f>
        <v>180000</v>
      </c>
      <c r="AJ25" s="507"/>
      <c r="AK25" s="4">
        <f>AI25-AN25</f>
        <v>180000</v>
      </c>
      <c r="AL25" s="3"/>
      <c r="AM25" s="3"/>
      <c r="AN25" s="3"/>
      <c r="AO25" s="4">
        <v>180000</v>
      </c>
      <c r="AP25" s="4"/>
      <c r="AQ25" s="172" t="s">
        <v>1053</v>
      </c>
      <c r="AR25" s="173">
        <v>180000</v>
      </c>
      <c r="AS25" s="173"/>
      <c r="AT25" s="173">
        <f>SUM(AR25:AS25)</f>
        <v>180000</v>
      </c>
      <c r="AU25" s="173">
        <f>D25-L25-AT25</f>
        <v>0</v>
      </c>
      <c r="AV25" s="173">
        <f>AR25+AS25-M25</f>
        <v>180000</v>
      </c>
      <c r="AW25" s="184"/>
      <c r="AX25" s="173">
        <f>AR25+AS25-M25</f>
        <v>180000</v>
      </c>
      <c r="AY25" s="184"/>
      <c r="AZ25" s="184"/>
      <c r="BA25" s="184"/>
      <c r="BB25" s="173">
        <f>AS25-M25</f>
        <v>0</v>
      </c>
      <c r="BC25" s="4">
        <f>AR25</f>
        <v>180000</v>
      </c>
      <c r="BD25" s="4">
        <v>180000</v>
      </c>
      <c r="BE25" s="4"/>
      <c r="BF25" s="4"/>
      <c r="BG25" s="4"/>
      <c r="BH25" s="4">
        <f t="shared" si="21"/>
        <v>180000</v>
      </c>
      <c r="BI25" s="3"/>
      <c r="BJ25" s="4">
        <f t="shared" si="22"/>
        <v>180000</v>
      </c>
      <c r="BK25" s="4">
        <f t="shared" si="23"/>
        <v>0</v>
      </c>
      <c r="BL25" s="4"/>
      <c r="BM25" s="4">
        <f t="shared" si="24"/>
        <v>180000</v>
      </c>
      <c r="BN25" s="4"/>
      <c r="BO25" s="4"/>
      <c r="BP25" s="4"/>
    </row>
    <row r="26" spans="1:68" s="5" customFormat="1" ht="30" customHeight="1">
      <c r="A26" s="3">
        <v>21</v>
      </c>
      <c r="B26" s="31">
        <v>2179</v>
      </c>
      <c r="C26" s="3" t="s">
        <v>1054</v>
      </c>
      <c r="D26" s="4">
        <v>460000</v>
      </c>
      <c r="E26" s="4">
        <v>460000</v>
      </c>
      <c r="F26" s="4">
        <f t="shared" si="0"/>
        <v>0</v>
      </c>
      <c r="G26" s="4">
        <v>0</v>
      </c>
      <c r="H26" s="4">
        <v>0</v>
      </c>
      <c r="I26" s="4"/>
      <c r="J26" s="4"/>
      <c r="K26" s="4">
        <f>SUM(I26:J26)</f>
        <v>0</v>
      </c>
      <c r="L26" s="4">
        <f>H26+K26</f>
        <v>0</v>
      </c>
      <c r="M26" s="4">
        <f>Q26+T26</f>
        <v>0</v>
      </c>
      <c r="N26" s="4">
        <v>460000</v>
      </c>
      <c r="O26" s="4">
        <f>N26-AH26</f>
        <v>460000</v>
      </c>
      <c r="P26" s="4">
        <f>D26-L26-M26-O26</f>
        <v>0</v>
      </c>
      <c r="Q26" s="4">
        <f>G26-L26</f>
        <v>0</v>
      </c>
      <c r="R26" s="4"/>
      <c r="S26" s="4"/>
      <c r="T26" s="4">
        <f t="shared" si="25"/>
        <v>0</v>
      </c>
      <c r="U26" s="4">
        <f t="shared" si="26"/>
        <v>0</v>
      </c>
      <c r="V26" s="4">
        <f>N26-U26</f>
        <v>460000</v>
      </c>
      <c r="W26" s="4">
        <f>V26-AA26-X26-Z26</f>
        <v>0</v>
      </c>
      <c r="X26" s="4"/>
      <c r="Y26" s="4"/>
      <c r="Z26" s="4"/>
      <c r="AA26" s="4">
        <v>460000</v>
      </c>
      <c r="AB26" s="3"/>
      <c r="AC26" s="3">
        <v>810000</v>
      </c>
      <c r="AD26" s="4"/>
      <c r="AE26" s="4"/>
      <c r="AF26" s="4"/>
      <c r="AG26" s="4"/>
      <c r="AH26" s="4">
        <f>SUM(AD26:AG26)</f>
        <v>0</v>
      </c>
      <c r="AI26" s="4">
        <f>V26-AH26</f>
        <v>460000</v>
      </c>
      <c r="AJ26" s="4"/>
      <c r="AK26" s="4">
        <f>AI26-AJ26-AN26</f>
        <v>0</v>
      </c>
      <c r="AL26" s="3"/>
      <c r="AM26" s="3"/>
      <c r="AN26" s="4">
        <v>460000</v>
      </c>
      <c r="AO26" s="4">
        <v>460000</v>
      </c>
      <c r="AP26" s="4"/>
      <c r="AQ26" s="3" t="s">
        <v>1055</v>
      </c>
      <c r="AR26" s="4">
        <f>AO26</f>
        <v>460000</v>
      </c>
      <c r="AS26" s="4">
        <f>AP26</f>
        <v>0</v>
      </c>
      <c r="AT26" s="173">
        <f>SUM(AR26:AS26)</f>
        <v>460000</v>
      </c>
      <c r="AU26" s="173">
        <f>D26-L26-AT26</f>
        <v>0</v>
      </c>
      <c r="AV26" s="173">
        <f>AR26+AS26-M26</f>
        <v>460000</v>
      </c>
      <c r="AW26" s="3"/>
      <c r="AX26" s="4">
        <f>AS26-M26+AR26-AW26-BA26</f>
        <v>0</v>
      </c>
      <c r="AY26" s="3"/>
      <c r="AZ26" s="3"/>
      <c r="BA26" s="4">
        <v>460000</v>
      </c>
      <c r="BB26" s="173">
        <f>AS26-M26</f>
        <v>0</v>
      </c>
      <c r="BC26" s="4">
        <f>AR26</f>
        <v>460000</v>
      </c>
      <c r="BD26" s="4">
        <v>460000</v>
      </c>
      <c r="BE26" s="4"/>
      <c r="BF26" s="4"/>
      <c r="BG26" s="4"/>
      <c r="BH26" s="4">
        <f t="shared" si="21"/>
        <v>460000</v>
      </c>
      <c r="BI26" s="3"/>
      <c r="BJ26" s="4">
        <f t="shared" si="22"/>
        <v>460000</v>
      </c>
      <c r="BK26" s="4">
        <f t="shared" si="23"/>
        <v>0</v>
      </c>
      <c r="BL26" s="4"/>
      <c r="BM26" s="4">
        <f t="shared" si="24"/>
        <v>0</v>
      </c>
      <c r="BN26" s="4"/>
      <c r="BO26" s="4"/>
      <c r="BP26" s="4">
        <v>460000</v>
      </c>
    </row>
    <row r="27" spans="1:68" s="70" customFormat="1" ht="30" customHeight="1">
      <c r="A27" s="33">
        <v>21</v>
      </c>
      <c r="B27" s="33"/>
      <c r="C27" s="7" t="s">
        <v>450</v>
      </c>
      <c r="D27" s="73">
        <f>SUBTOTAL(9,D6:D26)</f>
        <v>40786000</v>
      </c>
      <c r="E27" s="73">
        <f t="shared" ref="E27:BA27" si="27">SUBTOTAL(9,E6:E26)</f>
        <v>40786000</v>
      </c>
      <c r="F27" s="73">
        <f t="shared" si="27"/>
        <v>0</v>
      </c>
      <c r="G27" s="73">
        <f t="shared" si="27"/>
        <v>14887000</v>
      </c>
      <c r="H27" s="73">
        <f t="shared" si="27"/>
        <v>7127943.4100000001</v>
      </c>
      <c r="I27" s="73">
        <f t="shared" si="27"/>
        <v>621307.5</v>
      </c>
      <c r="J27" s="73">
        <f t="shared" si="27"/>
        <v>140767.91999999998</v>
      </c>
      <c r="K27" s="73">
        <f t="shared" si="27"/>
        <v>762075.42</v>
      </c>
      <c r="L27" s="73">
        <f t="shared" si="27"/>
        <v>7890018.8300000001</v>
      </c>
      <c r="M27" s="73">
        <f t="shared" si="27"/>
        <v>6996981.1699999999</v>
      </c>
      <c r="N27" s="73">
        <f t="shared" si="27"/>
        <v>5455000</v>
      </c>
      <c r="O27" s="73">
        <f t="shared" si="27"/>
        <v>4875000</v>
      </c>
      <c r="P27" s="73">
        <f t="shared" si="27"/>
        <v>21024000</v>
      </c>
      <c r="Q27" s="73">
        <f t="shared" si="27"/>
        <v>6996981.1699999999</v>
      </c>
      <c r="R27" s="73">
        <f t="shared" si="27"/>
        <v>0</v>
      </c>
      <c r="S27" s="73">
        <f t="shared" si="27"/>
        <v>0</v>
      </c>
      <c r="T27" s="73">
        <f t="shared" si="27"/>
        <v>0</v>
      </c>
      <c r="U27" s="73">
        <f t="shared" si="27"/>
        <v>0</v>
      </c>
      <c r="V27" s="73">
        <f t="shared" si="27"/>
        <v>5455000</v>
      </c>
      <c r="W27" s="73">
        <f t="shared" si="27"/>
        <v>0</v>
      </c>
      <c r="X27" s="73">
        <f t="shared" si="27"/>
        <v>4917000</v>
      </c>
      <c r="Y27" s="73">
        <f t="shared" si="27"/>
        <v>0</v>
      </c>
      <c r="Z27" s="73">
        <f t="shared" si="27"/>
        <v>0</v>
      </c>
      <c r="AA27" s="73">
        <f t="shared" si="27"/>
        <v>538000</v>
      </c>
      <c r="AB27" s="73">
        <f t="shared" si="27"/>
        <v>0</v>
      </c>
      <c r="AC27" s="73">
        <f t="shared" si="27"/>
        <v>17010000</v>
      </c>
      <c r="AD27" s="73">
        <f t="shared" si="27"/>
        <v>0</v>
      </c>
      <c r="AE27" s="73">
        <f t="shared" si="27"/>
        <v>0</v>
      </c>
      <c r="AF27" s="73">
        <f t="shared" si="27"/>
        <v>580000</v>
      </c>
      <c r="AG27" s="73">
        <f t="shared" si="27"/>
        <v>0</v>
      </c>
      <c r="AH27" s="73">
        <f t="shared" si="27"/>
        <v>580000</v>
      </c>
      <c r="AI27" s="73">
        <f t="shared" si="27"/>
        <v>4875000</v>
      </c>
      <c r="AJ27" s="73">
        <f t="shared" si="27"/>
        <v>0</v>
      </c>
      <c r="AK27" s="73">
        <f t="shared" si="27"/>
        <v>4337000</v>
      </c>
      <c r="AL27" s="73">
        <f t="shared" si="27"/>
        <v>0</v>
      </c>
      <c r="AM27" s="73">
        <f t="shared" si="27"/>
        <v>0</v>
      </c>
      <c r="AN27" s="73">
        <f t="shared" si="27"/>
        <v>538000</v>
      </c>
      <c r="AO27" s="73">
        <f t="shared" si="27"/>
        <v>1650000</v>
      </c>
      <c r="AP27" s="73">
        <f t="shared" si="27"/>
        <v>5156688.68</v>
      </c>
      <c r="AQ27" s="73">
        <f t="shared" si="27"/>
        <v>0</v>
      </c>
      <c r="AR27" s="73">
        <f t="shared" si="27"/>
        <v>1650000</v>
      </c>
      <c r="AS27" s="73">
        <f t="shared" si="27"/>
        <v>5156980.68</v>
      </c>
      <c r="AT27" s="73">
        <f t="shared" si="27"/>
        <v>6806980.6799999997</v>
      </c>
      <c r="AU27" s="73">
        <f t="shared" si="27"/>
        <v>26089000.490000002</v>
      </c>
      <c r="AV27" s="73">
        <f t="shared" si="27"/>
        <v>-190000.49000000022</v>
      </c>
      <c r="AW27" s="73">
        <f t="shared" si="27"/>
        <v>0</v>
      </c>
      <c r="AX27" s="73">
        <f t="shared" si="27"/>
        <v>-650000.49000000022</v>
      </c>
      <c r="AY27" s="73">
        <f t="shared" si="27"/>
        <v>0</v>
      </c>
      <c r="AZ27" s="73">
        <f t="shared" si="27"/>
        <v>0</v>
      </c>
      <c r="BA27" s="73">
        <f t="shared" si="27"/>
        <v>460000</v>
      </c>
      <c r="BB27" s="73">
        <f>SUM(BB6:BB26)</f>
        <v>-1840000.4900000002</v>
      </c>
      <c r="BC27" s="73">
        <f>SUM(BC6:BC26)</f>
        <v>1650000</v>
      </c>
      <c r="BD27" s="73">
        <f t="shared" ref="BD27:BP27" si="28">SUM(BD6:BD26)</f>
        <v>-190000</v>
      </c>
      <c r="BE27" s="73">
        <f t="shared" si="28"/>
        <v>0</v>
      </c>
      <c r="BF27" s="73">
        <f t="shared" si="28"/>
        <v>0</v>
      </c>
      <c r="BG27" s="73">
        <f t="shared" si="28"/>
        <v>0</v>
      </c>
      <c r="BH27" s="73">
        <f t="shared" si="28"/>
        <v>-190000</v>
      </c>
      <c r="BI27" s="73">
        <f t="shared" si="28"/>
        <v>0</v>
      </c>
      <c r="BJ27" s="73">
        <f t="shared" si="28"/>
        <v>-190000</v>
      </c>
      <c r="BK27" s="73">
        <f t="shared" si="28"/>
        <v>-0.49000000022351742</v>
      </c>
      <c r="BL27" s="73">
        <f t="shared" si="28"/>
        <v>0</v>
      </c>
      <c r="BM27" s="73">
        <f t="shared" si="28"/>
        <v>-650000</v>
      </c>
      <c r="BN27" s="73">
        <f t="shared" si="28"/>
        <v>0</v>
      </c>
      <c r="BO27" s="73">
        <f t="shared" si="28"/>
        <v>0</v>
      </c>
      <c r="BP27" s="73">
        <f t="shared" si="28"/>
        <v>460000</v>
      </c>
    </row>
    <row r="28" spans="1:68" s="455" customFormat="1">
      <c r="A28" s="12"/>
      <c r="B28" s="12"/>
      <c r="C28" s="18"/>
      <c r="D28" s="14"/>
      <c r="E28" s="14"/>
      <c r="F28" s="14"/>
      <c r="G28" s="14"/>
      <c r="H28" s="14"/>
      <c r="I28" s="14"/>
      <c r="J28" s="14"/>
      <c r="K28" s="14"/>
      <c r="L28" s="14">
        <f>K27+H27</f>
        <v>7890018.8300000001</v>
      </c>
      <c r="M28" s="14"/>
      <c r="N28" s="14"/>
      <c r="O28" s="14"/>
      <c r="P28" s="14">
        <f>P27+O27+M27+L27</f>
        <v>40786000</v>
      </c>
      <c r="Q28" s="14">
        <f>G27-L28</f>
        <v>6996981.1699999999</v>
      </c>
      <c r="R28" s="14"/>
      <c r="S28" s="14"/>
      <c r="T28" s="14"/>
      <c r="U28" s="14"/>
      <c r="V28" s="14">
        <f>N27-U27</f>
        <v>5455000</v>
      </c>
      <c r="W28" s="12"/>
      <c r="X28" s="12"/>
      <c r="Y28" s="12"/>
      <c r="Z28" s="12"/>
      <c r="AA28" s="12"/>
      <c r="AB28" s="18"/>
      <c r="AC28" s="12"/>
      <c r="AD28" s="504"/>
      <c r="AJ28" s="12"/>
      <c r="AK28" s="12"/>
      <c r="AL28" s="12"/>
      <c r="AO28" s="294"/>
      <c r="AP28" s="294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D28" s="166"/>
      <c r="BE28" s="166"/>
      <c r="BF28" s="166"/>
      <c r="BG28" s="166"/>
      <c r="BH28" s="166"/>
      <c r="BK28" s="166"/>
    </row>
    <row r="29" spans="1:68">
      <c r="P29" s="14">
        <f>D27-P28</f>
        <v>0</v>
      </c>
      <c r="AO29" s="294"/>
      <c r="AP29" s="294"/>
    </row>
    <row r="30" spans="1:68">
      <c r="AO30" s="294"/>
      <c r="AP30" s="294"/>
    </row>
    <row r="31" spans="1:68">
      <c r="AO31" s="294"/>
      <c r="AP31" s="294"/>
    </row>
    <row r="32" spans="1:68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17"/>
      <c r="AP87" s="17"/>
    </row>
    <row r="88" spans="41:42">
      <c r="AO88" s="17"/>
      <c r="AP88" s="17"/>
    </row>
    <row r="89" spans="41:42">
      <c r="AO89" s="17"/>
      <c r="AP89" s="17"/>
    </row>
    <row r="90" spans="41:42">
      <c r="AO90" s="17"/>
      <c r="AP90" s="17"/>
    </row>
    <row r="91" spans="41:42">
      <c r="AO91" s="17"/>
      <c r="AP91" s="17"/>
    </row>
    <row r="92" spans="41:42">
      <c r="AO92" s="17"/>
      <c r="AP92" s="17"/>
    </row>
    <row r="93" spans="41:42">
      <c r="AO93" s="17"/>
      <c r="AP93" s="17"/>
    </row>
    <row r="94" spans="41:42">
      <c r="AO94" s="17"/>
      <c r="AP94" s="17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1:X3 AD22:AD24 AH20:AI22 AI23:AI24 Z1:AE3 AG1:AP3 BB1:BC3 BL1:XFD3 AJ5:AJ24 AH5:AI18 AE5:AE24 AD5:AD20 AD28:AI1048576">
    <cfRule type="cellIs" dxfId="160" priority="26" operator="equal">
      <formula>0</formula>
    </cfRule>
  </conditionalFormatting>
  <conditionalFormatting sqref="AB5">
    <cfRule type="cellIs" dxfId="159" priority="25" operator="equal">
      <formula>0</formula>
    </cfRule>
  </conditionalFormatting>
  <conditionalFormatting sqref="Y1:Y3">
    <cfRule type="cellIs" dxfId="158" priority="24" operator="equal">
      <formula>0</formula>
    </cfRule>
  </conditionalFormatting>
  <conditionalFormatting sqref="AD21">
    <cfRule type="cellIs" dxfId="157" priority="23" operator="equal">
      <formula>0</formula>
    </cfRule>
  </conditionalFormatting>
  <conditionalFormatting sqref="AF1:AF3 AF5">
    <cfRule type="cellIs" dxfId="156" priority="21" operator="equal">
      <formula>0</formula>
    </cfRule>
  </conditionalFormatting>
  <conditionalFormatting sqref="AR1:BA3">
    <cfRule type="cellIs" dxfId="155" priority="20" operator="equal">
      <formula>0</formula>
    </cfRule>
  </conditionalFormatting>
  <conditionalFormatting sqref="AR17:AR18 AW17:AW18 AY17:BA18">
    <cfRule type="cellIs" dxfId="154" priority="19" operator="equal">
      <formula>0</formula>
    </cfRule>
  </conditionalFormatting>
  <conditionalFormatting sqref="AR12:AR14 AW12:AW14">
    <cfRule type="cellIs" dxfId="153" priority="18" operator="equal">
      <formula>0</formula>
    </cfRule>
  </conditionalFormatting>
  <conditionalFormatting sqref="AQ1:AQ3">
    <cfRule type="cellIs" dxfId="152" priority="17" operator="equal">
      <formula>0</formula>
    </cfRule>
  </conditionalFormatting>
  <conditionalFormatting sqref="AQ17">
    <cfRule type="cellIs" dxfId="151" priority="16" operator="equal">
      <formula>0</formula>
    </cfRule>
  </conditionalFormatting>
  <conditionalFormatting sqref="AQ12:AQ14">
    <cfRule type="cellIs" dxfId="150" priority="15" operator="equal">
      <formula>0</formula>
    </cfRule>
  </conditionalFormatting>
  <conditionalFormatting sqref="AQ18">
    <cfRule type="cellIs" dxfId="149" priority="14" operator="equal">
      <formula>0</formula>
    </cfRule>
  </conditionalFormatting>
  <conditionalFormatting sqref="AQ23">
    <cfRule type="cellIs" dxfId="148" priority="13" operator="equal">
      <formula>0</formula>
    </cfRule>
  </conditionalFormatting>
  <conditionalFormatting sqref="AQ6">
    <cfRule type="cellIs" dxfId="147" priority="12" operator="equal">
      <formula>0</formula>
    </cfRule>
  </conditionalFormatting>
  <conditionalFormatting sqref="BD1:BD3">
    <cfRule type="cellIs" dxfId="146" priority="11" operator="equal">
      <formula>0</formula>
    </cfRule>
  </conditionalFormatting>
  <conditionalFormatting sqref="AH25:AJ26">
    <cfRule type="cellIs" dxfId="145" priority="10" operator="equal">
      <formula>0</formula>
    </cfRule>
  </conditionalFormatting>
  <conditionalFormatting sqref="AD25:AD26">
    <cfRule type="cellIs" dxfId="144" priority="9" operator="equal">
      <formula>0</formula>
    </cfRule>
  </conditionalFormatting>
  <conditionalFormatting sqref="AE25:AE26">
    <cfRule type="cellIs" dxfId="143" priority="8" operator="equal">
      <formula>0</formula>
    </cfRule>
  </conditionalFormatting>
  <conditionalFormatting sqref="AQ25:AQ26">
    <cfRule type="cellIs" dxfId="142" priority="7" operator="equal">
      <formula>0</formula>
    </cfRule>
  </conditionalFormatting>
  <conditionalFormatting sqref="BK1:BK3">
    <cfRule type="cellIs" dxfId="141" priority="6" operator="equal">
      <formula>0</formula>
    </cfRule>
  </conditionalFormatting>
  <conditionalFormatting sqref="BH1:BH3">
    <cfRule type="cellIs" dxfId="140" priority="5" operator="equal">
      <formula>0</formula>
    </cfRule>
  </conditionalFormatting>
  <conditionalFormatting sqref="BF1:BF3">
    <cfRule type="cellIs" dxfId="139" priority="4" operator="equal">
      <formula>0</formula>
    </cfRule>
  </conditionalFormatting>
  <conditionalFormatting sqref="BE1:BE3">
    <cfRule type="cellIs" dxfId="138" priority="3" operator="equal">
      <formula>0</formula>
    </cfRule>
  </conditionalFormatting>
  <conditionalFormatting sqref="BG1:BG3">
    <cfRule type="cellIs" dxfId="137" priority="2" operator="equal">
      <formula>0</formula>
    </cfRule>
  </conditionalFormatting>
  <conditionalFormatting sqref="BI1:BJ3">
    <cfRule type="cellIs" dxfId="13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20"/>
  <sheetViews>
    <sheetView showZeros="0" rightToLeft="1" zoomScaleNormal="100" workbookViewId="0">
      <pane xSplit="3" ySplit="5" topLeftCell="D12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4" style="29" customWidth="1"/>
    <col min="2" max="2" width="8.36328125" style="12" customWidth="1"/>
    <col min="3" max="3" width="29.08984375" style="12" bestFit="1" customWidth="1"/>
    <col min="4" max="5" width="10.08984375" style="14" hidden="1" customWidth="1"/>
    <col min="6" max="6" width="9.08984375" style="14" hidden="1" customWidth="1"/>
    <col min="7" max="8" width="10.08984375" style="14" hidden="1" customWidth="1"/>
    <col min="9" max="9" width="6" style="14" hidden="1" customWidth="1"/>
    <col min="10" max="11" width="9.08984375" style="14" hidden="1" customWidth="1"/>
    <col min="12" max="12" width="10.08984375" style="14" hidden="1" customWidth="1"/>
    <col min="13" max="15" width="9.08984375" style="14" hidden="1" customWidth="1"/>
    <col min="16" max="16" width="10.08984375" style="14" hidden="1" customWidth="1"/>
    <col min="17" max="17" width="9.08984375" style="14" hidden="1" customWidth="1"/>
    <col min="18" max="19" width="11.54296875" style="14" hidden="1" customWidth="1"/>
    <col min="20" max="20" width="7.54296875" style="14" hidden="1" customWidth="1"/>
    <col min="21" max="21" width="8.08984375" style="14" hidden="1" customWidth="1"/>
    <col min="22" max="22" width="9.08984375" style="12" hidden="1" customWidth="1"/>
    <col min="23" max="23" width="7.90625" style="12" hidden="1" customWidth="1"/>
    <col min="24" max="24" width="9.08984375" style="12" hidden="1" customWidth="1"/>
    <col min="25" max="25" width="5.453125" style="12" hidden="1" customWidth="1"/>
    <col min="26" max="27" width="7.54296875" style="12" hidden="1" customWidth="1"/>
    <col min="28" max="28" width="42.6328125" style="29" hidden="1" customWidth="1"/>
    <col min="29" max="29" width="9.08984375" style="12" hidden="1" customWidth="1"/>
    <col min="30" max="30" width="6.08984375" style="496" hidden="1" customWidth="1"/>
    <col min="31" max="31" width="9.08984375" style="496" hidden="1" customWidth="1"/>
    <col min="32" max="32" width="5.08984375" style="496" hidden="1" customWidth="1"/>
    <col min="33" max="33" width="6.90625" style="496" hidden="1" customWidth="1"/>
    <col min="34" max="35" width="10.6328125" style="496" hidden="1" customWidth="1"/>
    <col min="36" max="40" width="10.6328125" style="12" hidden="1" customWidth="1"/>
    <col min="41" max="41" width="16.54296875" style="12" hidden="1" customWidth="1"/>
    <col min="42" max="42" width="14.90625" style="12" hidden="1" customWidth="1"/>
    <col min="43" max="44" width="11.6328125" style="166" hidden="1" customWidth="1"/>
    <col min="45" max="45" width="11.453125" style="166" hidden="1" customWidth="1"/>
    <col min="46" max="46" width="11.1796875" style="166" hidden="1" customWidth="1"/>
    <col min="47" max="47" width="11.5429687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2" customWidth="1"/>
    <col min="56" max="60" width="11.81640625" style="166" hidden="1" customWidth="1"/>
    <col min="61" max="61" width="11.81640625" style="12" hidden="1" customWidth="1"/>
    <col min="62" max="62" width="11.81640625" style="12" customWidth="1"/>
    <col min="63" max="63" width="11.81640625" style="166" customWidth="1"/>
    <col min="64" max="65" width="11.81640625" style="12" customWidth="1"/>
    <col min="66" max="67" width="11.81640625" style="12" hidden="1" customWidth="1"/>
    <col min="68" max="68" width="11.81640625" style="12" customWidth="1"/>
    <col min="69" max="16384" width="9.08984375" style="12"/>
  </cols>
  <sheetData>
    <row r="1" spans="1:68" s="497" customFormat="1">
      <c r="A1" s="494"/>
      <c r="B1" s="494"/>
      <c r="C1" s="494"/>
      <c r="D1" s="495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6"/>
      <c r="AE1" s="496"/>
      <c r="AF1" s="496"/>
      <c r="AG1" s="496"/>
      <c r="AH1" s="496"/>
      <c r="AI1" s="496"/>
      <c r="AO1" s="28"/>
      <c r="AP1" s="28"/>
      <c r="AQ1" s="166"/>
      <c r="AR1" s="166"/>
      <c r="AS1" s="284"/>
      <c r="AT1" s="284"/>
      <c r="AU1" s="284"/>
      <c r="AV1" s="284"/>
      <c r="AW1" s="284"/>
      <c r="AX1" s="284"/>
      <c r="AY1" s="284"/>
      <c r="AZ1" s="284"/>
      <c r="BA1" s="284"/>
      <c r="BD1" s="166"/>
      <c r="BE1" s="166"/>
      <c r="BF1" s="166"/>
      <c r="BG1" s="166"/>
      <c r="BH1" s="166"/>
      <c r="BK1" s="166"/>
    </row>
    <row r="2" spans="1:68" s="497" customFormat="1">
      <c r="A2" s="494" t="s">
        <v>1568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6"/>
      <c r="AE2" s="496"/>
      <c r="AF2" s="496"/>
      <c r="AG2" s="496"/>
      <c r="AH2" s="496"/>
      <c r="AI2" s="496"/>
      <c r="AO2" s="12"/>
      <c r="AP2" s="12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D2" s="166"/>
      <c r="BE2" s="166"/>
      <c r="BF2" s="166"/>
      <c r="BG2" s="166"/>
      <c r="BH2" s="166"/>
      <c r="BK2" s="166"/>
    </row>
    <row r="3" spans="1:68" s="497" customFormat="1">
      <c r="A3" s="494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6"/>
      <c r="AE3" s="496"/>
      <c r="AF3" s="496"/>
      <c r="AG3" s="496"/>
      <c r="AH3" s="496"/>
      <c r="AI3" s="496"/>
      <c r="AO3" s="12"/>
      <c r="AP3" s="12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D3" s="166"/>
      <c r="BE3" s="166"/>
      <c r="BF3" s="166"/>
      <c r="BG3" s="166"/>
      <c r="BH3" s="166"/>
      <c r="BK3" s="166"/>
    </row>
    <row r="4" spans="1:68" ht="20.399999999999999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24" customFormat="1" ht="70">
      <c r="A5" s="433" t="s">
        <v>0</v>
      </c>
      <c r="B5" s="433" t="s">
        <v>836</v>
      </c>
      <c r="C5" s="433" t="s">
        <v>2</v>
      </c>
      <c r="D5" s="433" t="s">
        <v>3</v>
      </c>
      <c r="E5" s="433" t="s">
        <v>4</v>
      </c>
      <c r="F5" s="433" t="s">
        <v>5</v>
      </c>
      <c r="G5" s="433" t="s">
        <v>6</v>
      </c>
      <c r="H5" s="433" t="s">
        <v>7</v>
      </c>
      <c r="I5" s="433" t="s">
        <v>9</v>
      </c>
      <c r="J5" s="433" t="s">
        <v>178</v>
      </c>
      <c r="K5" s="433" t="s">
        <v>10</v>
      </c>
      <c r="L5" s="433" t="s">
        <v>11</v>
      </c>
      <c r="M5" s="432" t="s">
        <v>970</v>
      </c>
      <c r="N5" s="433" t="s">
        <v>971</v>
      </c>
      <c r="O5" s="433" t="s">
        <v>972</v>
      </c>
      <c r="P5" s="433" t="s">
        <v>628</v>
      </c>
      <c r="Q5" s="433" t="s">
        <v>12</v>
      </c>
      <c r="R5" s="433" t="s">
        <v>630</v>
      </c>
      <c r="S5" s="433" t="s">
        <v>631</v>
      </c>
      <c r="T5" s="433" t="s">
        <v>632</v>
      </c>
      <c r="U5" s="433" t="s">
        <v>629</v>
      </c>
      <c r="V5" s="446" t="s">
        <v>973</v>
      </c>
      <c r="W5" s="433" t="s">
        <v>13</v>
      </c>
      <c r="X5" s="433" t="s">
        <v>14</v>
      </c>
      <c r="Y5" s="433" t="s">
        <v>15</v>
      </c>
      <c r="Z5" s="433" t="s">
        <v>301</v>
      </c>
      <c r="AA5" s="433" t="s">
        <v>91</v>
      </c>
      <c r="AB5" s="433" t="s">
        <v>344</v>
      </c>
      <c r="AC5" s="433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1">
        <v>1</v>
      </c>
      <c r="B6" s="3">
        <v>1486</v>
      </c>
      <c r="C6" s="3" t="s">
        <v>639</v>
      </c>
      <c r="D6" s="4">
        <v>9110365</v>
      </c>
      <c r="E6" s="4">
        <v>9110365</v>
      </c>
      <c r="F6" s="4">
        <f t="shared" ref="F6:F12" si="0">D6-E6</f>
        <v>0</v>
      </c>
      <c r="G6" s="4">
        <v>5790365</v>
      </c>
      <c r="H6" s="4">
        <v>5230136.66</v>
      </c>
      <c r="I6" s="4"/>
      <c r="J6" s="4">
        <v>164675.13</v>
      </c>
      <c r="K6" s="4">
        <f t="shared" ref="K6:K11" si="1">I6+J6</f>
        <v>164675.13</v>
      </c>
      <c r="L6" s="4">
        <f t="shared" ref="L6:L11" si="2">H6+K6</f>
        <v>5394811.79</v>
      </c>
      <c r="M6" s="4">
        <f>Q6+T6</f>
        <v>395553.20999999996</v>
      </c>
      <c r="N6" s="4">
        <v>1200000</v>
      </c>
      <c r="O6" s="4">
        <f>N6-AH6</f>
        <v>1200000</v>
      </c>
      <c r="P6" s="4">
        <f>D6-L6-M6-O6</f>
        <v>2120000</v>
      </c>
      <c r="Q6" s="4">
        <f>G6-L6</f>
        <v>395553.20999999996</v>
      </c>
      <c r="R6" s="4"/>
      <c r="S6" s="4"/>
      <c r="T6" s="4">
        <f t="shared" ref="T6:T12" si="3">SUM(R6:S6)</f>
        <v>0</v>
      </c>
      <c r="U6" s="4"/>
      <c r="V6" s="4">
        <f t="shared" ref="V6:V16" si="4">N6-U6</f>
        <v>1200000</v>
      </c>
      <c r="W6" s="4"/>
      <c r="X6" s="4">
        <f t="shared" ref="X6:X12" si="5">V6-W6-Z6-AA6</f>
        <v>1200000</v>
      </c>
      <c r="Y6" s="4"/>
      <c r="Z6" s="4"/>
      <c r="AA6" s="3"/>
      <c r="AB6" s="3" t="s">
        <v>427</v>
      </c>
      <c r="AC6" s="3">
        <v>930000</v>
      </c>
      <c r="AD6" s="498"/>
      <c r="AE6" s="4"/>
      <c r="AF6" s="4"/>
      <c r="AG6" s="4"/>
      <c r="AH6" s="4">
        <f>SUM(AD6:AG6)</f>
        <v>0</v>
      </c>
      <c r="AI6" s="4">
        <f>V6-AH6</f>
        <v>1200000</v>
      </c>
      <c r="AJ6" s="4"/>
      <c r="AK6" s="4">
        <f>AI6-AN6</f>
        <v>1200000</v>
      </c>
      <c r="AL6" s="4"/>
      <c r="AM6" s="4"/>
      <c r="AN6" s="3"/>
      <c r="AO6" s="3"/>
      <c r="AP6" s="3"/>
      <c r="AQ6" s="173"/>
      <c r="AR6" s="173"/>
      <c r="AS6" s="173">
        <f>M6</f>
        <v>395553.20999999996</v>
      </c>
      <c r="AT6" s="173">
        <f>SUM(AR6:AS6)</f>
        <v>395553.20999999996</v>
      </c>
      <c r="AU6" s="173">
        <f>D6-L6-AT6</f>
        <v>3320000</v>
      </c>
      <c r="AV6" s="173">
        <f>AR6+AS6-M6</f>
        <v>0</v>
      </c>
      <c r="AW6" s="192"/>
      <c r="AX6" s="173">
        <f>AR6+AS6-M6</f>
        <v>0</v>
      </c>
      <c r="AY6" s="172"/>
      <c r="AZ6" s="172"/>
      <c r="BA6" s="172"/>
      <c r="BB6" s="173">
        <f>AS6-M6</f>
        <v>0</v>
      </c>
      <c r="BC6" s="4">
        <f>AR6</f>
        <v>0</v>
      </c>
      <c r="BD6" s="173"/>
      <c r="BE6" s="173"/>
      <c r="BF6" s="173"/>
      <c r="BG6" s="173"/>
      <c r="BH6" s="173">
        <f>SUM(BD6:BF6)</f>
        <v>0</v>
      </c>
      <c r="BI6" s="3"/>
      <c r="BJ6" s="4">
        <f>BH6+BI6</f>
        <v>0</v>
      </c>
      <c r="BK6" s="173">
        <f>AV6-BJ6</f>
        <v>0</v>
      </c>
      <c r="BL6" s="173"/>
      <c r="BM6" s="173">
        <f>BJ6-BP6</f>
        <v>0</v>
      </c>
      <c r="BN6" s="173"/>
      <c r="BO6" s="173"/>
      <c r="BP6" s="173"/>
    </row>
    <row r="7" spans="1:68" s="5" customFormat="1" ht="30" customHeight="1">
      <c r="A7" s="31">
        <v>2</v>
      </c>
      <c r="B7" s="3">
        <v>1582</v>
      </c>
      <c r="C7" s="3" t="s">
        <v>58</v>
      </c>
      <c r="D7" s="4">
        <v>1774000</v>
      </c>
      <c r="E7" s="4">
        <v>1774000</v>
      </c>
      <c r="F7" s="4">
        <f t="shared" si="0"/>
        <v>0</v>
      </c>
      <c r="G7" s="4">
        <v>1674000</v>
      </c>
      <c r="H7" s="4">
        <v>909813.51</v>
      </c>
      <c r="I7" s="4"/>
      <c r="J7" s="4"/>
      <c r="K7" s="4">
        <f t="shared" si="1"/>
        <v>0</v>
      </c>
      <c r="L7" s="4">
        <f t="shared" si="2"/>
        <v>909813.51</v>
      </c>
      <c r="M7" s="4">
        <f t="shared" ref="M7:M12" si="6">Q7+T7</f>
        <v>764186.49</v>
      </c>
      <c r="N7" s="4">
        <f>720000+120000-100000</f>
        <v>740000</v>
      </c>
      <c r="O7" s="4">
        <f t="shared" ref="O7:O16" si="7">N7-AH7</f>
        <v>0</v>
      </c>
      <c r="P7" s="4">
        <f t="shared" ref="P7:P16" si="8">D7-L7-M7-O7</f>
        <v>100000</v>
      </c>
      <c r="Q7" s="4">
        <f t="shared" ref="Q7:Q12" si="9">G7-L7</f>
        <v>764186.49</v>
      </c>
      <c r="R7" s="4"/>
      <c r="S7" s="4"/>
      <c r="T7" s="4">
        <f t="shared" si="3"/>
        <v>0</v>
      </c>
      <c r="U7" s="4">
        <f>Q7-M7+T7</f>
        <v>0</v>
      </c>
      <c r="V7" s="4">
        <f t="shared" si="4"/>
        <v>740000</v>
      </c>
      <c r="W7" s="4"/>
      <c r="X7" s="4">
        <f t="shared" si="5"/>
        <v>740000</v>
      </c>
      <c r="Y7" s="4"/>
      <c r="Z7" s="4"/>
      <c r="AA7" s="3"/>
      <c r="AB7" s="72" t="s">
        <v>910</v>
      </c>
      <c r="AC7" s="3">
        <v>829000</v>
      </c>
      <c r="AD7" s="498"/>
      <c r="AE7" s="4">
        <v>740000</v>
      </c>
      <c r="AF7" s="4"/>
      <c r="AG7" s="4"/>
      <c r="AH7" s="4">
        <f t="shared" ref="AH7:AH16" si="10">SUM(AD7:AG7)</f>
        <v>740000</v>
      </c>
      <c r="AI7" s="4">
        <f t="shared" ref="AI7:AI16" si="11">V7-AH7</f>
        <v>0</v>
      </c>
      <c r="AJ7" s="4"/>
      <c r="AK7" s="4">
        <f t="shared" ref="AK7:AK16" si="12">AI7-AN7</f>
        <v>0</v>
      </c>
      <c r="AL7" s="4"/>
      <c r="AM7" s="4"/>
      <c r="AN7" s="3"/>
      <c r="AO7" s="3"/>
      <c r="AP7" s="3"/>
      <c r="AQ7" s="499" t="s">
        <v>1041</v>
      </c>
      <c r="AR7" s="184"/>
      <c r="AS7" s="173">
        <f>4186+20000</f>
        <v>24186</v>
      </c>
      <c r="AT7" s="173">
        <f t="shared" ref="AT7:AT16" si="13">SUM(AR7:AS7)</f>
        <v>24186</v>
      </c>
      <c r="AU7" s="173">
        <f t="shared" ref="AU7:AU16" si="14">D7-L7-AT7</f>
        <v>840000.49</v>
      </c>
      <c r="AV7" s="173">
        <f>AR7+AS7-M7</f>
        <v>-740000.49</v>
      </c>
      <c r="AW7" s="309"/>
      <c r="AX7" s="173">
        <f t="shared" ref="AX7:AX16" si="15">AR7+AS7-M7</f>
        <v>-740000.49</v>
      </c>
      <c r="AY7" s="172"/>
      <c r="AZ7" s="172"/>
      <c r="BA7" s="172"/>
      <c r="BB7" s="173">
        <f t="shared" ref="BB7:BB16" si="16">AS7-M7</f>
        <v>-740000.49</v>
      </c>
      <c r="BC7" s="4">
        <f t="shared" ref="BC7:BC16" si="17">AR7</f>
        <v>0</v>
      </c>
      <c r="BD7" s="289">
        <v>-740000</v>
      </c>
      <c r="BE7" s="173"/>
      <c r="BF7" s="173"/>
      <c r="BG7" s="173"/>
      <c r="BH7" s="173">
        <f t="shared" ref="BH7:BH16" si="18">SUM(BD7:BF7)</f>
        <v>-740000</v>
      </c>
      <c r="BI7" s="3"/>
      <c r="BJ7" s="4">
        <f t="shared" ref="BJ7:BJ16" si="19">BH7+BI7</f>
        <v>-740000</v>
      </c>
      <c r="BK7" s="173">
        <f t="shared" ref="BK7:BK16" si="20">AV7-BJ7</f>
        <v>-0.48999999999068677</v>
      </c>
      <c r="BL7" s="173"/>
      <c r="BM7" s="173">
        <f t="shared" ref="BM7:BM16" si="21">BJ7-BP7</f>
        <v>-740000</v>
      </c>
      <c r="BN7" s="173"/>
      <c r="BO7" s="173"/>
      <c r="BP7" s="173"/>
    </row>
    <row r="8" spans="1:68" s="5" customFormat="1" ht="30" customHeight="1">
      <c r="A8" s="31">
        <v>3</v>
      </c>
      <c r="B8" s="3">
        <v>1678</v>
      </c>
      <c r="C8" s="3" t="s">
        <v>558</v>
      </c>
      <c r="D8" s="4">
        <v>1760000</v>
      </c>
      <c r="E8" s="4">
        <v>1760000</v>
      </c>
      <c r="F8" s="4">
        <f t="shared" si="0"/>
        <v>0</v>
      </c>
      <c r="G8" s="4">
        <v>1610000</v>
      </c>
      <c r="H8" s="4">
        <v>1471129.31</v>
      </c>
      <c r="I8" s="4"/>
      <c r="J8" s="4">
        <v>3298.37</v>
      </c>
      <c r="K8" s="4">
        <f t="shared" si="1"/>
        <v>3298.37</v>
      </c>
      <c r="L8" s="4">
        <f t="shared" si="2"/>
        <v>1474427.6800000002</v>
      </c>
      <c r="M8" s="4">
        <f t="shared" si="6"/>
        <v>135572.31999999983</v>
      </c>
      <c r="N8" s="4">
        <v>250000</v>
      </c>
      <c r="O8" s="4">
        <f t="shared" si="7"/>
        <v>150000</v>
      </c>
      <c r="P8" s="4">
        <f t="shared" si="8"/>
        <v>0</v>
      </c>
      <c r="Q8" s="4">
        <f>G8-L8</f>
        <v>135572.31999999983</v>
      </c>
      <c r="R8" s="4"/>
      <c r="S8" s="4"/>
      <c r="T8" s="4">
        <f t="shared" si="3"/>
        <v>0</v>
      </c>
      <c r="U8" s="4">
        <f>Q8-M8+T8</f>
        <v>0</v>
      </c>
      <c r="V8" s="4">
        <f t="shared" si="4"/>
        <v>250000</v>
      </c>
      <c r="W8" s="4"/>
      <c r="X8" s="4">
        <f t="shared" si="5"/>
        <v>250000</v>
      </c>
      <c r="Y8" s="4"/>
      <c r="Z8" s="4"/>
      <c r="AA8" s="3"/>
      <c r="AB8" s="3" t="s">
        <v>559</v>
      </c>
      <c r="AC8" s="3">
        <v>829000</v>
      </c>
      <c r="AD8" s="498"/>
      <c r="AE8" s="4">
        <v>100000</v>
      </c>
      <c r="AF8" s="4"/>
      <c r="AG8" s="4"/>
      <c r="AH8" s="4">
        <f t="shared" si="10"/>
        <v>100000</v>
      </c>
      <c r="AI8" s="4">
        <f t="shared" si="11"/>
        <v>150000</v>
      </c>
      <c r="AJ8" s="4"/>
      <c r="AK8" s="4">
        <f t="shared" si="12"/>
        <v>150000</v>
      </c>
      <c r="AL8" s="4"/>
      <c r="AM8" s="4"/>
      <c r="AN8" s="3"/>
      <c r="AO8" s="3"/>
      <c r="AP8" s="3"/>
      <c r="AQ8" s="499" t="s">
        <v>1042</v>
      </c>
      <c r="AR8" s="173"/>
      <c r="AS8" s="173">
        <f>5572+30000+100000</f>
        <v>135572</v>
      </c>
      <c r="AT8" s="173">
        <f t="shared" si="13"/>
        <v>135572</v>
      </c>
      <c r="AU8" s="173">
        <f t="shared" si="14"/>
        <v>150000.31999999983</v>
      </c>
      <c r="AV8" s="173">
        <f>AR8+AS8-M8</f>
        <v>-0.31999999983236194</v>
      </c>
      <c r="AW8" s="172"/>
      <c r="AX8" s="173">
        <f t="shared" si="15"/>
        <v>-0.31999999983236194</v>
      </c>
      <c r="AY8" s="172"/>
      <c r="AZ8" s="172"/>
      <c r="BA8" s="172"/>
      <c r="BB8" s="173">
        <f t="shared" si="16"/>
        <v>-0.31999999983236194</v>
      </c>
      <c r="BC8" s="4">
        <f t="shared" si="17"/>
        <v>0</v>
      </c>
      <c r="BD8" s="173"/>
      <c r="BE8" s="173"/>
      <c r="BF8" s="173"/>
      <c r="BG8" s="173"/>
      <c r="BH8" s="173">
        <f t="shared" si="18"/>
        <v>0</v>
      </c>
      <c r="BI8" s="3"/>
      <c r="BJ8" s="4">
        <f t="shared" si="19"/>
        <v>0</v>
      </c>
      <c r="BK8" s="173">
        <f t="shared" si="20"/>
        <v>-0.31999999983236194</v>
      </c>
      <c r="BL8" s="173"/>
      <c r="BM8" s="173">
        <f t="shared" si="21"/>
        <v>0</v>
      </c>
      <c r="BN8" s="173"/>
      <c r="BO8" s="173"/>
      <c r="BP8" s="173"/>
    </row>
    <row r="9" spans="1:68" s="5" customFormat="1" ht="30" customHeight="1">
      <c r="A9" s="31">
        <v>4</v>
      </c>
      <c r="B9" s="3">
        <v>1777</v>
      </c>
      <c r="C9" s="3" t="s">
        <v>1580</v>
      </c>
      <c r="D9" s="4">
        <v>390000</v>
      </c>
      <c r="E9" s="4">
        <v>390000</v>
      </c>
      <c r="F9" s="4">
        <f t="shared" si="0"/>
        <v>0</v>
      </c>
      <c r="G9" s="4">
        <v>270000</v>
      </c>
      <c r="H9" s="4">
        <v>129069.72</v>
      </c>
      <c r="I9" s="4"/>
      <c r="J9" s="4"/>
      <c r="K9" s="4">
        <f t="shared" si="1"/>
        <v>0</v>
      </c>
      <c r="L9" s="4">
        <f t="shared" si="2"/>
        <v>129069.72</v>
      </c>
      <c r="M9" s="4">
        <f t="shared" si="6"/>
        <v>140930.28</v>
      </c>
      <c r="N9" s="4">
        <v>120000</v>
      </c>
      <c r="O9" s="4">
        <f t="shared" si="7"/>
        <v>120000</v>
      </c>
      <c r="P9" s="4">
        <f t="shared" si="8"/>
        <v>0</v>
      </c>
      <c r="Q9" s="4">
        <f>G9-L9</f>
        <v>140930.28</v>
      </c>
      <c r="R9" s="4"/>
      <c r="S9" s="4"/>
      <c r="T9" s="4">
        <f t="shared" si="3"/>
        <v>0</v>
      </c>
      <c r="U9" s="4">
        <f>Q9-M9+T9</f>
        <v>0</v>
      </c>
      <c r="V9" s="4">
        <f t="shared" si="4"/>
        <v>120000</v>
      </c>
      <c r="W9" s="4"/>
      <c r="X9" s="4">
        <f t="shared" si="5"/>
        <v>120000</v>
      </c>
      <c r="Y9" s="4"/>
      <c r="Z9" s="4"/>
      <c r="AA9" s="3"/>
      <c r="AB9" s="3" t="s">
        <v>849</v>
      </c>
      <c r="AC9" s="3">
        <v>829000</v>
      </c>
      <c r="AD9" s="498"/>
      <c r="AE9" s="4"/>
      <c r="AF9" s="4"/>
      <c r="AG9" s="4"/>
      <c r="AH9" s="4">
        <f t="shared" si="10"/>
        <v>0</v>
      </c>
      <c r="AI9" s="4">
        <f t="shared" si="11"/>
        <v>120000</v>
      </c>
      <c r="AJ9" s="4"/>
      <c r="AK9" s="4">
        <f t="shared" si="12"/>
        <v>120000</v>
      </c>
      <c r="AL9" s="4"/>
      <c r="AM9" s="4"/>
      <c r="AN9" s="3"/>
      <c r="AO9" s="3"/>
      <c r="AP9" s="3"/>
      <c r="AQ9" s="180">
        <f>SUM(AQ6:AQ8)</f>
        <v>0</v>
      </c>
      <c r="AR9" s="173"/>
      <c r="AS9" s="173">
        <v>930</v>
      </c>
      <c r="AT9" s="173">
        <f t="shared" si="13"/>
        <v>930</v>
      </c>
      <c r="AU9" s="173">
        <f t="shared" si="14"/>
        <v>260000.28</v>
      </c>
      <c r="AV9" s="173">
        <f>AR9+AS9-M9</f>
        <v>-140000.28</v>
      </c>
      <c r="AW9" s="180"/>
      <c r="AX9" s="173">
        <f t="shared" si="15"/>
        <v>-140000.28</v>
      </c>
      <c r="AY9" s="180"/>
      <c r="AZ9" s="180"/>
      <c r="BA9" s="180"/>
      <c r="BB9" s="173">
        <f t="shared" si="16"/>
        <v>-140000.28</v>
      </c>
      <c r="BC9" s="4">
        <f t="shared" si="17"/>
        <v>0</v>
      </c>
      <c r="BD9" s="173">
        <v>-140000</v>
      </c>
      <c r="BE9" s="173"/>
      <c r="BF9" s="173"/>
      <c r="BG9" s="173"/>
      <c r="BH9" s="173">
        <f t="shared" si="18"/>
        <v>-140000</v>
      </c>
      <c r="BI9" s="3"/>
      <c r="BJ9" s="4">
        <f t="shared" si="19"/>
        <v>-140000</v>
      </c>
      <c r="BK9" s="173">
        <f t="shared" si="20"/>
        <v>-0.27999999999883585</v>
      </c>
      <c r="BL9" s="173"/>
      <c r="BM9" s="173">
        <f t="shared" si="21"/>
        <v>-140000</v>
      </c>
      <c r="BN9" s="173"/>
      <c r="BO9" s="173"/>
      <c r="BP9" s="173"/>
    </row>
    <row r="10" spans="1:68" s="5" customFormat="1" ht="30" customHeight="1">
      <c r="A10" s="31">
        <v>5</v>
      </c>
      <c r="B10" s="3">
        <v>1890</v>
      </c>
      <c r="C10" s="3" t="s">
        <v>640</v>
      </c>
      <c r="D10" s="4">
        <v>1100000</v>
      </c>
      <c r="E10" s="4">
        <v>1100000</v>
      </c>
      <c r="F10" s="4">
        <f t="shared" si="0"/>
        <v>0</v>
      </c>
      <c r="G10" s="4">
        <v>1100000</v>
      </c>
      <c r="H10" s="4">
        <v>1015344.4</v>
      </c>
      <c r="I10" s="4"/>
      <c r="J10" s="4"/>
      <c r="K10" s="4">
        <f t="shared" si="1"/>
        <v>0</v>
      </c>
      <c r="L10" s="4">
        <f t="shared" si="2"/>
        <v>1015344.4</v>
      </c>
      <c r="M10" s="4">
        <f t="shared" si="6"/>
        <v>84655.599999999977</v>
      </c>
      <c r="N10" s="4"/>
      <c r="O10" s="4">
        <f t="shared" si="7"/>
        <v>0</v>
      </c>
      <c r="P10" s="4">
        <f t="shared" si="8"/>
        <v>0</v>
      </c>
      <c r="Q10" s="4">
        <f t="shared" si="9"/>
        <v>84655.599999999977</v>
      </c>
      <c r="R10" s="4"/>
      <c r="S10" s="4"/>
      <c r="T10" s="4">
        <f t="shared" si="3"/>
        <v>0</v>
      </c>
      <c r="U10" s="4">
        <f>Q10-M10+T10</f>
        <v>0</v>
      </c>
      <c r="V10" s="4">
        <f t="shared" si="4"/>
        <v>0</v>
      </c>
      <c r="W10" s="4"/>
      <c r="X10" s="4">
        <f t="shared" si="5"/>
        <v>-180000</v>
      </c>
      <c r="Y10" s="4"/>
      <c r="Z10" s="4"/>
      <c r="AA10" s="4">
        <v>180000</v>
      </c>
      <c r="AB10" s="3" t="s">
        <v>783</v>
      </c>
      <c r="AC10" s="3">
        <v>829000</v>
      </c>
      <c r="AD10" s="498"/>
      <c r="AE10" s="4"/>
      <c r="AF10" s="4"/>
      <c r="AG10" s="4"/>
      <c r="AH10" s="4">
        <f t="shared" si="10"/>
        <v>0</v>
      </c>
      <c r="AI10" s="4">
        <f t="shared" si="11"/>
        <v>0</v>
      </c>
      <c r="AJ10" s="4"/>
      <c r="AK10" s="4">
        <f t="shared" si="12"/>
        <v>-180000</v>
      </c>
      <c r="AL10" s="4"/>
      <c r="AM10" s="4"/>
      <c r="AN10" s="4">
        <v>180000</v>
      </c>
      <c r="AO10" s="3"/>
      <c r="AP10" s="3"/>
      <c r="AQ10" s="3"/>
      <c r="AR10" s="173"/>
      <c r="AS10" s="173">
        <v>84656</v>
      </c>
      <c r="AT10" s="173">
        <f t="shared" si="13"/>
        <v>84656</v>
      </c>
      <c r="AU10" s="173">
        <f t="shared" si="14"/>
        <v>-0.40000000002328306</v>
      </c>
      <c r="AV10" s="173">
        <f>AR10+AS10-M10</f>
        <v>0.40000000002328306</v>
      </c>
      <c r="AW10" s="172"/>
      <c r="AX10" s="173">
        <f>AR10+AS10-M10-BA10</f>
        <v>0.40000000002328306</v>
      </c>
      <c r="AY10" s="172"/>
      <c r="AZ10" s="172"/>
      <c r="BA10" s="4"/>
      <c r="BB10" s="173">
        <f t="shared" si="16"/>
        <v>0.40000000002328306</v>
      </c>
      <c r="BC10" s="4">
        <f t="shared" si="17"/>
        <v>0</v>
      </c>
      <c r="BD10" s="173"/>
      <c r="BE10" s="173"/>
      <c r="BF10" s="173"/>
      <c r="BG10" s="173"/>
      <c r="BH10" s="173">
        <f t="shared" si="18"/>
        <v>0</v>
      </c>
      <c r="BI10" s="3"/>
      <c r="BJ10" s="4">
        <f t="shared" si="19"/>
        <v>0</v>
      </c>
      <c r="BK10" s="173">
        <f t="shared" si="20"/>
        <v>0.40000000002328306</v>
      </c>
      <c r="BL10" s="173"/>
      <c r="BM10" s="173">
        <f t="shared" si="21"/>
        <v>0</v>
      </c>
      <c r="BN10" s="173"/>
      <c r="BO10" s="173"/>
      <c r="BP10" s="173"/>
    </row>
    <row r="11" spans="1:68" s="5" customFormat="1" ht="30" customHeight="1">
      <c r="A11" s="31">
        <v>6</v>
      </c>
      <c r="B11" s="278">
        <v>2004</v>
      </c>
      <c r="C11" s="3" t="s">
        <v>184</v>
      </c>
      <c r="D11" s="4">
        <v>735000</v>
      </c>
      <c r="E11" s="4">
        <v>735000</v>
      </c>
      <c r="F11" s="4">
        <f t="shared" si="0"/>
        <v>0</v>
      </c>
      <c r="G11" s="4">
        <v>615000</v>
      </c>
      <c r="H11" s="4">
        <v>516571.36</v>
      </c>
      <c r="I11" s="4"/>
      <c r="J11" s="4">
        <v>91275.8</v>
      </c>
      <c r="K11" s="4">
        <f t="shared" si="1"/>
        <v>91275.8</v>
      </c>
      <c r="L11" s="4">
        <f t="shared" si="2"/>
        <v>607847.16</v>
      </c>
      <c r="M11" s="4">
        <f>Q11+T11</f>
        <v>7152.8399999999674</v>
      </c>
      <c r="N11" s="4">
        <v>70000</v>
      </c>
      <c r="O11" s="4">
        <f t="shared" si="7"/>
        <v>70000</v>
      </c>
      <c r="P11" s="4">
        <f t="shared" si="8"/>
        <v>50000</v>
      </c>
      <c r="Q11" s="4">
        <f>G11-L11</f>
        <v>7152.8399999999674</v>
      </c>
      <c r="R11" s="4"/>
      <c r="S11" s="4"/>
      <c r="T11" s="4">
        <f t="shared" si="3"/>
        <v>0</v>
      </c>
      <c r="U11" s="4"/>
      <c r="V11" s="4">
        <f t="shared" si="4"/>
        <v>70000</v>
      </c>
      <c r="W11" s="4"/>
      <c r="X11" s="4">
        <f t="shared" si="5"/>
        <v>70000</v>
      </c>
      <c r="Y11" s="4"/>
      <c r="Z11" s="4"/>
      <c r="AA11" s="3"/>
      <c r="AB11" s="3" t="s">
        <v>743</v>
      </c>
      <c r="AC11" s="3">
        <v>829000</v>
      </c>
      <c r="AD11" s="498"/>
      <c r="AE11" s="4"/>
      <c r="AF11" s="4"/>
      <c r="AG11" s="4"/>
      <c r="AH11" s="4">
        <f t="shared" si="10"/>
        <v>0</v>
      </c>
      <c r="AI11" s="4">
        <f t="shared" si="11"/>
        <v>70000</v>
      </c>
      <c r="AJ11" s="4"/>
      <c r="AK11" s="4">
        <f t="shared" si="12"/>
        <v>70000</v>
      </c>
      <c r="AL11" s="3"/>
      <c r="AM11" s="3"/>
      <c r="AN11" s="3"/>
      <c r="AO11" s="172"/>
      <c r="AP11" s="172"/>
      <c r="AQ11" s="184"/>
      <c r="AR11" s="173">
        <v>70000</v>
      </c>
      <c r="AS11" s="173">
        <v>7153</v>
      </c>
      <c r="AT11" s="173">
        <f t="shared" si="13"/>
        <v>77153</v>
      </c>
      <c r="AU11" s="173">
        <f t="shared" si="14"/>
        <v>49999.839999999967</v>
      </c>
      <c r="AV11" s="173">
        <f t="shared" ref="AV11:AV16" si="22">AR11+AS11-M11</f>
        <v>70000.160000000033</v>
      </c>
      <c r="AW11" s="184"/>
      <c r="AX11" s="173">
        <f t="shared" si="15"/>
        <v>70000.160000000033</v>
      </c>
      <c r="AY11" s="184"/>
      <c r="AZ11" s="184"/>
      <c r="BA11" s="184"/>
      <c r="BB11" s="173">
        <f t="shared" si="16"/>
        <v>0.16000000003259629</v>
      </c>
      <c r="BC11" s="4">
        <f t="shared" si="17"/>
        <v>70000</v>
      </c>
      <c r="BD11" s="173">
        <v>70000</v>
      </c>
      <c r="BE11" s="173"/>
      <c r="BF11" s="173"/>
      <c r="BG11" s="173"/>
      <c r="BH11" s="173">
        <f t="shared" si="18"/>
        <v>70000</v>
      </c>
      <c r="BI11" s="3"/>
      <c r="BJ11" s="4">
        <f t="shared" si="19"/>
        <v>70000</v>
      </c>
      <c r="BK11" s="173">
        <f t="shared" si="20"/>
        <v>0.16000000003259629</v>
      </c>
      <c r="BL11" s="173"/>
      <c r="BM11" s="173">
        <f t="shared" si="21"/>
        <v>70000</v>
      </c>
      <c r="BN11" s="173"/>
      <c r="BO11" s="173"/>
      <c r="BP11" s="173"/>
    </row>
    <row r="12" spans="1:68" s="5" customFormat="1" ht="30" customHeight="1">
      <c r="A12" s="31">
        <v>7</v>
      </c>
      <c r="B12" s="3">
        <v>2031</v>
      </c>
      <c r="C12" s="3" t="s">
        <v>428</v>
      </c>
      <c r="D12" s="4">
        <v>2700000</v>
      </c>
      <c r="E12" s="4">
        <v>2700000</v>
      </c>
      <c r="F12" s="4">
        <f t="shared" si="0"/>
        <v>0</v>
      </c>
      <c r="G12" s="4">
        <v>2700000</v>
      </c>
      <c r="H12" s="4">
        <v>1202659.25</v>
      </c>
      <c r="I12" s="4"/>
      <c r="J12" s="4">
        <v>268079.2</v>
      </c>
      <c r="K12" s="4">
        <f>SUM(I12:J12)</f>
        <v>268079.2</v>
      </c>
      <c r="L12" s="4">
        <f>K12+H12</f>
        <v>1470738.45</v>
      </c>
      <c r="M12" s="4">
        <f t="shared" si="6"/>
        <v>1229261.55</v>
      </c>
      <c r="N12" s="4"/>
      <c r="O12" s="4">
        <f t="shared" si="7"/>
        <v>0</v>
      </c>
      <c r="P12" s="4">
        <f t="shared" si="8"/>
        <v>0</v>
      </c>
      <c r="Q12" s="4">
        <f t="shared" si="9"/>
        <v>1229261.55</v>
      </c>
      <c r="R12" s="4"/>
      <c r="S12" s="4"/>
      <c r="T12" s="4">
        <f t="shared" si="3"/>
        <v>0</v>
      </c>
      <c r="U12" s="4"/>
      <c r="V12" s="4">
        <f t="shared" si="4"/>
        <v>0</v>
      </c>
      <c r="W12" s="4"/>
      <c r="X12" s="4">
        <f t="shared" si="5"/>
        <v>0</v>
      </c>
      <c r="Y12" s="4"/>
      <c r="Z12" s="4"/>
      <c r="AA12" s="3"/>
      <c r="AB12" s="3"/>
      <c r="AC12" s="3">
        <v>826000</v>
      </c>
      <c r="AD12" s="498"/>
      <c r="AE12" s="4"/>
      <c r="AF12" s="4"/>
      <c r="AG12" s="4"/>
      <c r="AH12" s="4">
        <f t="shared" si="10"/>
        <v>0</v>
      </c>
      <c r="AI12" s="4">
        <f t="shared" si="11"/>
        <v>0</v>
      </c>
      <c r="AJ12" s="4"/>
      <c r="AK12" s="4">
        <f t="shared" si="12"/>
        <v>0</v>
      </c>
      <c r="AL12" s="3"/>
      <c r="AM12" s="3"/>
      <c r="AN12" s="3"/>
      <c r="AO12" s="172"/>
      <c r="AP12" s="172"/>
      <c r="AQ12" s="500" t="s">
        <v>1043</v>
      </c>
      <c r="AR12" s="184"/>
      <c r="AS12" s="173">
        <f>29262+600000</f>
        <v>629262</v>
      </c>
      <c r="AT12" s="173">
        <f t="shared" si="13"/>
        <v>629262</v>
      </c>
      <c r="AU12" s="173">
        <f t="shared" si="14"/>
        <v>599999.55000000005</v>
      </c>
      <c r="AV12" s="173">
        <f t="shared" si="22"/>
        <v>-599999.55000000005</v>
      </c>
      <c r="AW12" s="184"/>
      <c r="AX12" s="173">
        <f t="shared" si="15"/>
        <v>-599999.55000000005</v>
      </c>
      <c r="AY12" s="184"/>
      <c r="AZ12" s="184"/>
      <c r="BA12" s="184"/>
      <c r="BB12" s="173">
        <f t="shared" si="16"/>
        <v>-599999.55000000005</v>
      </c>
      <c r="BC12" s="4">
        <f t="shared" si="17"/>
        <v>0</v>
      </c>
      <c r="BD12" s="173">
        <v>-600000</v>
      </c>
      <c r="BE12" s="173"/>
      <c r="BF12" s="173"/>
      <c r="BG12" s="173"/>
      <c r="BH12" s="173">
        <f t="shared" si="18"/>
        <v>-600000</v>
      </c>
      <c r="BI12" s="3"/>
      <c r="BJ12" s="4">
        <f t="shared" si="19"/>
        <v>-600000</v>
      </c>
      <c r="BK12" s="173">
        <f t="shared" si="20"/>
        <v>0.44999999995343387</v>
      </c>
      <c r="BL12" s="173"/>
      <c r="BM12" s="173">
        <f t="shared" si="21"/>
        <v>-600000</v>
      </c>
      <c r="BN12" s="173"/>
      <c r="BO12" s="173"/>
      <c r="BP12" s="173"/>
    </row>
    <row r="13" spans="1:68" s="5" customFormat="1" ht="30" customHeight="1">
      <c r="A13" s="31">
        <v>8</v>
      </c>
      <c r="B13" s="278">
        <v>2060</v>
      </c>
      <c r="C13" s="3" t="s">
        <v>1044</v>
      </c>
      <c r="D13" s="4">
        <v>2070229</v>
      </c>
      <c r="E13" s="4">
        <v>2070229</v>
      </c>
      <c r="F13" s="4">
        <f>D13-E13</f>
        <v>0</v>
      </c>
      <c r="G13" s="4">
        <v>1826000</v>
      </c>
      <c r="H13" s="4">
        <f>1138797.3</f>
        <v>1138797.3</v>
      </c>
      <c r="I13" s="4"/>
      <c r="J13" s="4">
        <v>675093.38</v>
      </c>
      <c r="K13" s="4">
        <f>I13+J13</f>
        <v>675093.38</v>
      </c>
      <c r="L13" s="4">
        <f>H13+K13</f>
        <v>1813890.6800000002</v>
      </c>
      <c r="M13" s="4">
        <f>Q13+T13</f>
        <v>12109.319999999832</v>
      </c>
      <c r="N13" s="4">
        <f>180000+350000+100000-100000+60229</f>
        <v>590229</v>
      </c>
      <c r="O13" s="4">
        <f t="shared" si="7"/>
        <v>244229</v>
      </c>
      <c r="P13" s="4">
        <f t="shared" si="8"/>
        <v>0</v>
      </c>
      <c r="Q13" s="4">
        <f>G13-L13</f>
        <v>12109.319999999832</v>
      </c>
      <c r="R13" s="4"/>
      <c r="S13" s="4"/>
      <c r="T13" s="4">
        <f>SUM(R13:S13)</f>
        <v>0</v>
      </c>
      <c r="U13" s="4">
        <f>Q13-M13+T13</f>
        <v>0</v>
      </c>
      <c r="V13" s="4">
        <f t="shared" si="4"/>
        <v>590229</v>
      </c>
      <c r="W13" s="4">
        <f>500000-500000</f>
        <v>0</v>
      </c>
      <c r="X13" s="4">
        <f>V13-W13-Z13-AA13</f>
        <v>530000</v>
      </c>
      <c r="Y13" s="4"/>
      <c r="Z13" s="4"/>
      <c r="AA13" s="4">
        <v>60229</v>
      </c>
      <c r="AB13" s="3" t="s">
        <v>882</v>
      </c>
      <c r="AC13" s="3">
        <v>829000</v>
      </c>
      <c r="AD13" s="498"/>
      <c r="AE13" s="4">
        <v>346000</v>
      </c>
      <c r="AF13" s="4"/>
      <c r="AG13" s="4"/>
      <c r="AH13" s="4">
        <f t="shared" si="10"/>
        <v>346000</v>
      </c>
      <c r="AI13" s="4">
        <f t="shared" si="11"/>
        <v>244229</v>
      </c>
      <c r="AJ13" s="4"/>
      <c r="AK13" s="4">
        <f t="shared" si="12"/>
        <v>244229</v>
      </c>
      <c r="AL13" s="3"/>
      <c r="AM13" s="3"/>
      <c r="AN13" s="210"/>
      <c r="AO13" s="172"/>
      <c r="AP13" s="172"/>
      <c r="AQ13" s="184"/>
      <c r="AR13" s="184"/>
      <c r="AS13" s="173">
        <v>12109</v>
      </c>
      <c r="AT13" s="173">
        <f t="shared" si="13"/>
        <v>12109</v>
      </c>
      <c r="AU13" s="173">
        <f t="shared" si="14"/>
        <v>244229.31999999983</v>
      </c>
      <c r="AV13" s="173">
        <f t="shared" si="22"/>
        <v>-0.31999999983236194</v>
      </c>
      <c r="AW13" s="184"/>
      <c r="AX13" s="173">
        <f t="shared" si="15"/>
        <v>-0.31999999983236194</v>
      </c>
      <c r="AY13" s="184"/>
      <c r="AZ13" s="184"/>
      <c r="BA13" s="184"/>
      <c r="BB13" s="173">
        <f t="shared" si="16"/>
        <v>-0.31999999983236194</v>
      </c>
      <c r="BC13" s="4">
        <f t="shared" si="17"/>
        <v>0</v>
      </c>
      <c r="BD13" s="173"/>
      <c r="BE13" s="173"/>
      <c r="BF13" s="173"/>
      <c r="BG13" s="173"/>
      <c r="BH13" s="173">
        <f t="shared" si="18"/>
        <v>0</v>
      </c>
      <c r="BI13" s="3"/>
      <c r="BJ13" s="4">
        <f t="shared" si="19"/>
        <v>0</v>
      </c>
      <c r="BK13" s="173">
        <f t="shared" si="20"/>
        <v>-0.31999999983236194</v>
      </c>
      <c r="BL13" s="173"/>
      <c r="BM13" s="173">
        <f t="shared" si="21"/>
        <v>0</v>
      </c>
      <c r="BN13" s="173"/>
      <c r="BO13" s="173"/>
      <c r="BP13" s="173"/>
    </row>
    <row r="14" spans="1:68" s="5" customFormat="1" ht="30" customHeight="1">
      <c r="A14" s="31">
        <v>9</v>
      </c>
      <c r="B14" s="31">
        <v>2089</v>
      </c>
      <c r="C14" s="3" t="s">
        <v>429</v>
      </c>
      <c r="D14" s="4">
        <v>350000</v>
      </c>
      <c r="E14" s="4">
        <v>350000</v>
      </c>
      <c r="F14" s="4">
        <f>D14-E14</f>
        <v>0</v>
      </c>
      <c r="G14" s="4">
        <v>350000</v>
      </c>
      <c r="H14" s="4">
        <v>309208</v>
      </c>
      <c r="I14" s="4"/>
      <c r="J14" s="4">
        <v>18486</v>
      </c>
      <c r="K14" s="4">
        <f>I14+J14</f>
        <v>18486</v>
      </c>
      <c r="L14" s="4">
        <f>H14+K14</f>
        <v>327694</v>
      </c>
      <c r="M14" s="4">
        <f>Q14+T14</f>
        <v>22306</v>
      </c>
      <c r="N14" s="4"/>
      <c r="O14" s="4">
        <f t="shared" si="7"/>
        <v>0</v>
      </c>
      <c r="P14" s="4">
        <f t="shared" si="8"/>
        <v>0</v>
      </c>
      <c r="Q14" s="4">
        <f>G14-L14</f>
        <v>22306</v>
      </c>
      <c r="R14" s="4"/>
      <c r="S14" s="4"/>
      <c r="T14" s="4">
        <f>SUM(R14:S14)</f>
        <v>0</v>
      </c>
      <c r="U14" s="4">
        <f>Q14-M14+T14</f>
        <v>0</v>
      </c>
      <c r="V14" s="4">
        <f t="shared" si="4"/>
        <v>0</v>
      </c>
      <c r="W14" s="4"/>
      <c r="X14" s="4">
        <f>V14-W14-Z14-AA14</f>
        <v>0</v>
      </c>
      <c r="Y14" s="4"/>
      <c r="Z14" s="4"/>
      <c r="AA14" s="4"/>
      <c r="AB14" s="3" t="s">
        <v>619</v>
      </c>
      <c r="AC14" s="3">
        <v>826000</v>
      </c>
      <c r="AD14" s="498"/>
      <c r="AE14" s="4"/>
      <c r="AF14" s="4"/>
      <c r="AG14" s="4"/>
      <c r="AH14" s="4">
        <f t="shared" si="10"/>
        <v>0</v>
      </c>
      <c r="AI14" s="4">
        <f t="shared" si="11"/>
        <v>0</v>
      </c>
      <c r="AJ14" s="4"/>
      <c r="AK14" s="4">
        <f t="shared" si="12"/>
        <v>0</v>
      </c>
      <c r="AL14" s="3"/>
      <c r="AM14" s="3"/>
      <c r="AN14" s="3"/>
      <c r="AO14" s="172"/>
      <c r="AP14" s="172"/>
      <c r="AQ14" s="184"/>
      <c r="AR14" s="184"/>
      <c r="AS14" s="173">
        <v>22306</v>
      </c>
      <c r="AT14" s="173">
        <f t="shared" si="13"/>
        <v>22306</v>
      </c>
      <c r="AU14" s="173">
        <f t="shared" si="14"/>
        <v>0</v>
      </c>
      <c r="AV14" s="173">
        <f t="shared" si="22"/>
        <v>0</v>
      </c>
      <c r="AW14" s="184"/>
      <c r="AX14" s="173">
        <f t="shared" si="15"/>
        <v>0</v>
      </c>
      <c r="AY14" s="184"/>
      <c r="AZ14" s="184"/>
      <c r="BA14" s="184"/>
      <c r="BB14" s="173">
        <f t="shared" si="16"/>
        <v>0</v>
      </c>
      <c r="BC14" s="4">
        <f t="shared" si="17"/>
        <v>0</v>
      </c>
      <c r="BD14" s="173"/>
      <c r="BE14" s="173"/>
      <c r="BF14" s="173"/>
      <c r="BG14" s="173"/>
      <c r="BH14" s="173">
        <f t="shared" si="18"/>
        <v>0</v>
      </c>
      <c r="BI14" s="3"/>
      <c r="BJ14" s="4">
        <f t="shared" si="19"/>
        <v>0</v>
      </c>
      <c r="BK14" s="173">
        <f t="shared" si="20"/>
        <v>0</v>
      </c>
      <c r="BL14" s="173"/>
      <c r="BM14" s="173">
        <f t="shared" si="21"/>
        <v>0</v>
      </c>
      <c r="BN14" s="173"/>
      <c r="BO14" s="173"/>
      <c r="BP14" s="173"/>
    </row>
    <row r="15" spans="1:68" s="5" customFormat="1" ht="30" customHeight="1">
      <c r="A15" s="31">
        <v>10</v>
      </c>
      <c r="B15" s="403">
        <v>2162</v>
      </c>
      <c r="C15" s="3" t="s">
        <v>744</v>
      </c>
      <c r="D15" s="4">
        <v>540000</v>
      </c>
      <c r="E15" s="4">
        <v>540000</v>
      </c>
      <c r="F15" s="4">
        <f>D15-E15</f>
        <v>0</v>
      </c>
      <c r="G15" s="4"/>
      <c r="H15" s="4"/>
      <c r="I15" s="4"/>
      <c r="J15" s="4"/>
      <c r="K15" s="4">
        <f>SUM(I15:J15)</f>
        <v>0</v>
      </c>
      <c r="L15" s="4">
        <f>H15+K15</f>
        <v>0</v>
      </c>
      <c r="M15" s="4">
        <f>Q15+T15</f>
        <v>0</v>
      </c>
      <c r="N15" s="4">
        <f>540000-100000</f>
        <v>440000</v>
      </c>
      <c r="O15" s="4">
        <f t="shared" si="7"/>
        <v>440000</v>
      </c>
      <c r="P15" s="4">
        <f t="shared" si="8"/>
        <v>100000</v>
      </c>
      <c r="Q15" s="4">
        <f>G15-L15</f>
        <v>0</v>
      </c>
      <c r="R15" s="4"/>
      <c r="S15" s="4"/>
      <c r="T15" s="4">
        <f>SUM(R15:S15)</f>
        <v>0</v>
      </c>
      <c r="U15" s="4">
        <f>Q15-M15+T15</f>
        <v>0</v>
      </c>
      <c r="V15" s="4">
        <f t="shared" si="4"/>
        <v>440000</v>
      </c>
      <c r="W15" s="4">
        <f>V15-AA15-X15-Z15</f>
        <v>0</v>
      </c>
      <c r="X15" s="4">
        <v>440000</v>
      </c>
      <c r="Y15" s="4"/>
      <c r="Z15" s="4"/>
      <c r="AA15" s="4"/>
      <c r="AB15" s="3" t="s">
        <v>745</v>
      </c>
      <c r="AC15" s="3">
        <v>828000</v>
      </c>
      <c r="AD15" s="378"/>
      <c r="AE15" s="4"/>
      <c r="AF15" s="4"/>
      <c r="AG15" s="4"/>
      <c r="AH15" s="4">
        <f t="shared" si="10"/>
        <v>0</v>
      </c>
      <c r="AI15" s="4">
        <f t="shared" si="11"/>
        <v>440000</v>
      </c>
      <c r="AJ15" s="4"/>
      <c r="AK15" s="4">
        <f t="shared" si="12"/>
        <v>440000</v>
      </c>
      <c r="AL15" s="3"/>
      <c r="AM15" s="3"/>
      <c r="AN15" s="3"/>
      <c r="AO15" s="172"/>
      <c r="AP15" s="172"/>
      <c r="AQ15" s="184"/>
      <c r="AR15" s="184"/>
      <c r="AS15" s="173"/>
      <c r="AT15" s="173">
        <f t="shared" si="13"/>
        <v>0</v>
      </c>
      <c r="AU15" s="173">
        <f t="shared" si="14"/>
        <v>540000</v>
      </c>
      <c r="AV15" s="173">
        <f t="shared" si="22"/>
        <v>0</v>
      </c>
      <c r="AW15" s="184"/>
      <c r="AX15" s="173">
        <f t="shared" si="15"/>
        <v>0</v>
      </c>
      <c r="AY15" s="184"/>
      <c r="AZ15" s="184"/>
      <c r="BA15" s="184"/>
      <c r="BB15" s="173">
        <f t="shared" si="16"/>
        <v>0</v>
      </c>
      <c r="BC15" s="4">
        <f t="shared" si="17"/>
        <v>0</v>
      </c>
      <c r="BD15" s="173"/>
      <c r="BE15" s="173"/>
      <c r="BF15" s="173"/>
      <c r="BG15" s="173"/>
      <c r="BH15" s="173">
        <f t="shared" si="18"/>
        <v>0</v>
      </c>
      <c r="BI15" s="3"/>
      <c r="BJ15" s="4">
        <f t="shared" si="19"/>
        <v>0</v>
      </c>
      <c r="BK15" s="173">
        <f t="shared" si="20"/>
        <v>0</v>
      </c>
      <c r="BL15" s="173"/>
      <c r="BM15" s="173">
        <f t="shared" si="21"/>
        <v>0</v>
      </c>
      <c r="BN15" s="173"/>
      <c r="BO15" s="173"/>
      <c r="BP15" s="173"/>
    </row>
    <row r="16" spans="1:68" s="5" customFormat="1" ht="30" customHeight="1">
      <c r="A16" s="31">
        <v>11</v>
      </c>
      <c r="B16" s="403">
        <v>2163</v>
      </c>
      <c r="C16" s="3" t="s">
        <v>1581</v>
      </c>
      <c r="D16" s="4">
        <v>530000</v>
      </c>
      <c r="E16" s="4">
        <v>530000</v>
      </c>
      <c r="F16" s="4">
        <f>D16-E16</f>
        <v>0</v>
      </c>
      <c r="G16" s="4"/>
      <c r="H16" s="4"/>
      <c r="I16" s="4"/>
      <c r="J16" s="4"/>
      <c r="K16" s="4">
        <f>SUM(I16:J16)</f>
        <v>0</v>
      </c>
      <c r="L16" s="4">
        <f>H16+K16</f>
        <v>0</v>
      </c>
      <c r="M16" s="4">
        <f>Q16+T16</f>
        <v>0</v>
      </c>
      <c r="N16" s="4">
        <v>530000</v>
      </c>
      <c r="O16" s="4">
        <f t="shared" si="7"/>
        <v>530000</v>
      </c>
      <c r="P16" s="4">
        <f t="shared" si="8"/>
        <v>0</v>
      </c>
      <c r="Q16" s="4">
        <f>G16-L16</f>
        <v>0</v>
      </c>
      <c r="R16" s="4"/>
      <c r="S16" s="4"/>
      <c r="T16" s="4">
        <f>SUM(R16:S16)</f>
        <v>0</v>
      </c>
      <c r="U16" s="4">
        <f>Q16-M16+T16</f>
        <v>0</v>
      </c>
      <c r="V16" s="4">
        <f t="shared" si="4"/>
        <v>530000</v>
      </c>
      <c r="W16" s="4">
        <f>V16-AA16-X16-Z16</f>
        <v>0</v>
      </c>
      <c r="X16" s="4">
        <f>V16-AA16</f>
        <v>265000</v>
      </c>
      <c r="Y16" s="4"/>
      <c r="Z16" s="4"/>
      <c r="AA16" s="4">
        <f>V16/2</f>
        <v>265000</v>
      </c>
      <c r="AB16" s="3" t="s">
        <v>933</v>
      </c>
      <c r="AC16" s="3">
        <v>824000</v>
      </c>
      <c r="AD16" s="378"/>
      <c r="AE16" s="4"/>
      <c r="AF16" s="4"/>
      <c r="AG16" s="4"/>
      <c r="AH16" s="4">
        <f t="shared" si="10"/>
        <v>0</v>
      </c>
      <c r="AI16" s="4">
        <f t="shared" si="11"/>
        <v>530000</v>
      </c>
      <c r="AJ16" s="4"/>
      <c r="AK16" s="4">
        <f t="shared" si="12"/>
        <v>265000</v>
      </c>
      <c r="AL16" s="3"/>
      <c r="AM16" s="3"/>
      <c r="AN16" s="210">
        <v>265000</v>
      </c>
      <c r="AO16" s="172"/>
      <c r="AP16" s="172"/>
      <c r="AQ16" s="184"/>
      <c r="AR16" s="184"/>
      <c r="AS16" s="173"/>
      <c r="AT16" s="173">
        <f t="shared" si="13"/>
        <v>0</v>
      </c>
      <c r="AU16" s="173">
        <f t="shared" si="14"/>
        <v>530000</v>
      </c>
      <c r="AV16" s="173">
        <f t="shared" si="22"/>
        <v>0</v>
      </c>
      <c r="AW16" s="184"/>
      <c r="AX16" s="173">
        <f t="shared" si="15"/>
        <v>0</v>
      </c>
      <c r="AY16" s="184"/>
      <c r="AZ16" s="184"/>
      <c r="BA16" s="184"/>
      <c r="BB16" s="173">
        <f t="shared" si="16"/>
        <v>0</v>
      </c>
      <c r="BC16" s="4">
        <f t="shared" si="17"/>
        <v>0</v>
      </c>
      <c r="BD16" s="173"/>
      <c r="BE16" s="173"/>
      <c r="BF16" s="173"/>
      <c r="BG16" s="173"/>
      <c r="BH16" s="173">
        <f t="shared" si="18"/>
        <v>0</v>
      </c>
      <c r="BI16" s="3"/>
      <c r="BJ16" s="4">
        <f t="shared" si="19"/>
        <v>0</v>
      </c>
      <c r="BK16" s="173">
        <f t="shared" si="20"/>
        <v>0</v>
      </c>
      <c r="BL16" s="173"/>
      <c r="BM16" s="173">
        <f t="shared" si="21"/>
        <v>0</v>
      </c>
      <c r="BN16" s="173"/>
      <c r="BO16" s="173"/>
      <c r="BP16" s="173"/>
    </row>
    <row r="17" spans="1:68" s="70" customFormat="1" ht="30" customHeight="1">
      <c r="A17" s="33">
        <v>11</v>
      </c>
      <c r="B17" s="33"/>
      <c r="C17" s="178" t="s">
        <v>512</v>
      </c>
      <c r="D17" s="73">
        <f>SUBTOTAL(9,D6:D16)</f>
        <v>21059594</v>
      </c>
      <c r="E17" s="73">
        <f t="shared" ref="E17:BA17" si="23">SUBTOTAL(9,E6:E16)</f>
        <v>21059594</v>
      </c>
      <c r="F17" s="73">
        <f t="shared" si="23"/>
        <v>0</v>
      </c>
      <c r="G17" s="73">
        <f t="shared" si="23"/>
        <v>15935365</v>
      </c>
      <c r="H17" s="73">
        <f t="shared" si="23"/>
        <v>11922729.51</v>
      </c>
      <c r="I17" s="73">
        <f t="shared" si="23"/>
        <v>0</v>
      </c>
      <c r="J17" s="73">
        <f t="shared" si="23"/>
        <v>1220907.8799999999</v>
      </c>
      <c r="K17" s="73">
        <f t="shared" si="23"/>
        <v>1220907.8799999999</v>
      </c>
      <c r="L17" s="73">
        <f t="shared" si="23"/>
        <v>13143637.389999999</v>
      </c>
      <c r="M17" s="73">
        <f t="shared" si="23"/>
        <v>2791727.61</v>
      </c>
      <c r="N17" s="73">
        <f t="shared" si="23"/>
        <v>3940229</v>
      </c>
      <c r="O17" s="73">
        <f t="shared" si="23"/>
        <v>2754229</v>
      </c>
      <c r="P17" s="73">
        <f t="shared" si="23"/>
        <v>2370000</v>
      </c>
      <c r="Q17" s="73">
        <f t="shared" si="23"/>
        <v>2791727.61</v>
      </c>
      <c r="R17" s="73">
        <f t="shared" si="23"/>
        <v>0</v>
      </c>
      <c r="S17" s="73">
        <f t="shared" si="23"/>
        <v>0</v>
      </c>
      <c r="T17" s="73">
        <f t="shared" si="23"/>
        <v>0</v>
      </c>
      <c r="U17" s="73">
        <f t="shared" si="23"/>
        <v>0</v>
      </c>
      <c r="V17" s="73">
        <f t="shared" si="23"/>
        <v>3940229</v>
      </c>
      <c r="W17" s="73">
        <f t="shared" si="23"/>
        <v>0</v>
      </c>
      <c r="X17" s="73">
        <f t="shared" si="23"/>
        <v>3435000</v>
      </c>
      <c r="Y17" s="73">
        <f t="shared" si="23"/>
        <v>0</v>
      </c>
      <c r="Z17" s="73">
        <f t="shared" si="23"/>
        <v>0</v>
      </c>
      <c r="AA17" s="73">
        <f t="shared" si="23"/>
        <v>505229</v>
      </c>
      <c r="AB17" s="73">
        <f t="shared" si="23"/>
        <v>0</v>
      </c>
      <c r="AC17" s="73">
        <f t="shared" si="23"/>
        <v>9208000</v>
      </c>
      <c r="AD17" s="73">
        <f t="shared" si="23"/>
        <v>0</v>
      </c>
      <c r="AE17" s="73">
        <f t="shared" si="23"/>
        <v>1186000</v>
      </c>
      <c r="AF17" s="73">
        <f t="shared" si="23"/>
        <v>0</v>
      </c>
      <c r="AG17" s="73">
        <f t="shared" si="23"/>
        <v>0</v>
      </c>
      <c r="AH17" s="73">
        <f t="shared" si="23"/>
        <v>1186000</v>
      </c>
      <c r="AI17" s="73">
        <f t="shared" si="23"/>
        <v>2754229</v>
      </c>
      <c r="AJ17" s="73">
        <f t="shared" si="23"/>
        <v>0</v>
      </c>
      <c r="AK17" s="73">
        <f t="shared" si="23"/>
        <v>2309229</v>
      </c>
      <c r="AL17" s="73">
        <f t="shared" si="23"/>
        <v>0</v>
      </c>
      <c r="AM17" s="73">
        <f t="shared" si="23"/>
        <v>0</v>
      </c>
      <c r="AN17" s="73">
        <f t="shared" si="23"/>
        <v>445000</v>
      </c>
      <c r="AO17" s="73">
        <f t="shared" si="23"/>
        <v>0</v>
      </c>
      <c r="AP17" s="73">
        <f t="shared" si="23"/>
        <v>0</v>
      </c>
      <c r="AQ17" s="73">
        <f t="shared" si="23"/>
        <v>0</v>
      </c>
      <c r="AR17" s="73">
        <f t="shared" si="23"/>
        <v>70000</v>
      </c>
      <c r="AS17" s="73">
        <f t="shared" si="23"/>
        <v>1311727.21</v>
      </c>
      <c r="AT17" s="73">
        <f t="shared" si="23"/>
        <v>1381727.21</v>
      </c>
      <c r="AU17" s="73">
        <f t="shared" si="23"/>
        <v>6534229.4000000004</v>
      </c>
      <c r="AV17" s="73">
        <f t="shared" si="23"/>
        <v>-1410000.3999999997</v>
      </c>
      <c r="AW17" s="73">
        <f t="shared" si="23"/>
        <v>0</v>
      </c>
      <c r="AX17" s="73">
        <f t="shared" si="23"/>
        <v>-1410000.3999999997</v>
      </c>
      <c r="AY17" s="73">
        <f t="shared" si="23"/>
        <v>0</v>
      </c>
      <c r="AZ17" s="73">
        <f t="shared" si="23"/>
        <v>0</v>
      </c>
      <c r="BA17" s="73">
        <f t="shared" si="23"/>
        <v>0</v>
      </c>
      <c r="BB17" s="73">
        <f t="shared" ref="BB17:BP17" si="24">SUM(BB6:BB16)</f>
        <v>-1480000.3999999997</v>
      </c>
      <c r="BC17" s="73">
        <f t="shared" si="24"/>
        <v>70000</v>
      </c>
      <c r="BD17" s="73">
        <f t="shared" si="24"/>
        <v>-1410000</v>
      </c>
      <c r="BE17" s="73">
        <f>SUM(BE6:BE16)</f>
        <v>0</v>
      </c>
      <c r="BF17" s="73">
        <f>SUM(BF6:BF16)</f>
        <v>0</v>
      </c>
      <c r="BG17" s="73">
        <f>SUM(BG6:BG16)</f>
        <v>0</v>
      </c>
      <c r="BH17" s="73">
        <f t="shared" si="24"/>
        <v>-1410000</v>
      </c>
      <c r="BI17" s="73">
        <f t="shared" si="24"/>
        <v>0</v>
      </c>
      <c r="BJ17" s="73">
        <f t="shared" si="24"/>
        <v>-1410000</v>
      </c>
      <c r="BK17" s="73">
        <f t="shared" si="24"/>
        <v>-0.39999999964493327</v>
      </c>
      <c r="BL17" s="73">
        <f t="shared" si="24"/>
        <v>0</v>
      </c>
      <c r="BM17" s="73">
        <f t="shared" si="24"/>
        <v>-1410000</v>
      </c>
      <c r="BN17" s="73">
        <f t="shared" si="24"/>
        <v>0</v>
      </c>
      <c r="BO17" s="73">
        <f t="shared" si="24"/>
        <v>0</v>
      </c>
      <c r="BP17" s="73">
        <f t="shared" si="24"/>
        <v>0</v>
      </c>
    </row>
    <row r="18" spans="1:68" s="5" customFormat="1">
      <c r="A18" s="23"/>
      <c r="B18" s="12"/>
      <c r="C18" s="12"/>
      <c r="D18" s="14"/>
      <c r="E18" s="14"/>
      <c r="F18" s="14"/>
      <c r="G18" s="14"/>
      <c r="H18" s="14"/>
      <c r="I18" s="14"/>
      <c r="J18" s="14"/>
      <c r="K18" s="14"/>
      <c r="L18" s="14">
        <f>K17+H17</f>
        <v>13143637.390000001</v>
      </c>
      <c r="M18" s="14"/>
      <c r="N18" s="14"/>
      <c r="O18" s="14"/>
      <c r="P18" s="14">
        <f>L17+M17+O17+P17</f>
        <v>21059594</v>
      </c>
      <c r="Q18" s="14">
        <f>G17-L18</f>
        <v>2791727.6099999994</v>
      </c>
      <c r="R18" s="14"/>
      <c r="S18" s="14"/>
      <c r="T18" s="14"/>
      <c r="U18" s="14">
        <f>Q18+T17-M17</f>
        <v>0</v>
      </c>
      <c r="V18" s="14">
        <f>N17-U17</f>
        <v>3940229</v>
      </c>
      <c r="W18" s="12"/>
      <c r="X18" s="12"/>
      <c r="Y18" s="12"/>
      <c r="Z18" s="12"/>
      <c r="AA18" s="12"/>
      <c r="AB18" s="12"/>
      <c r="AC18" s="12"/>
      <c r="AD18" s="496"/>
      <c r="AE18" s="496"/>
      <c r="AF18" s="496"/>
      <c r="AG18" s="496"/>
      <c r="AH18" s="496"/>
      <c r="AI18" s="496"/>
      <c r="AO18" s="435"/>
      <c r="AP18" s="43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D18" s="166"/>
      <c r="BE18" s="166"/>
      <c r="BF18" s="166"/>
      <c r="BG18" s="166"/>
      <c r="BH18" s="166"/>
      <c r="BK18" s="166"/>
    </row>
    <row r="19" spans="1:68">
      <c r="AO19" s="294"/>
      <c r="AP19" s="294"/>
    </row>
    <row r="20" spans="1:68">
      <c r="AO20" s="294"/>
      <c r="AP20" s="294"/>
    </row>
    <row r="21" spans="1:68">
      <c r="AO21" s="294"/>
      <c r="AP21" s="294"/>
    </row>
    <row r="22" spans="1:68">
      <c r="AO22" s="294"/>
      <c r="AP22" s="294"/>
    </row>
    <row r="23" spans="1:68">
      <c r="AO23" s="294"/>
      <c r="AP23" s="294"/>
    </row>
    <row r="24" spans="1:68">
      <c r="AO24" s="294"/>
      <c r="AP24" s="294"/>
    </row>
    <row r="25" spans="1:68">
      <c r="AO25" s="294"/>
      <c r="AP25" s="294"/>
    </row>
    <row r="26" spans="1:68">
      <c r="AO26" s="294"/>
      <c r="AP26" s="294"/>
    </row>
    <row r="27" spans="1:68">
      <c r="AO27" s="294"/>
      <c r="AP27" s="294"/>
    </row>
    <row r="28" spans="1:68">
      <c r="AO28" s="294"/>
      <c r="AP28" s="294"/>
    </row>
    <row r="29" spans="1:68">
      <c r="AO29" s="294"/>
      <c r="AP29" s="294"/>
    </row>
    <row r="30" spans="1:68">
      <c r="AO30" s="294"/>
      <c r="AP30" s="294"/>
    </row>
    <row r="31" spans="1:68">
      <c r="AO31" s="294"/>
      <c r="AP31" s="294"/>
    </row>
    <row r="32" spans="1:68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17"/>
      <c r="AP79" s="17"/>
    </row>
    <row r="80" spans="41:42">
      <c r="AO80" s="17"/>
      <c r="AP80" s="17"/>
    </row>
    <row r="81" spans="41:42">
      <c r="AO81" s="17"/>
      <c r="AP81" s="17"/>
    </row>
    <row r="82" spans="41:42">
      <c r="AO82" s="17"/>
      <c r="AP82" s="17"/>
    </row>
    <row r="83" spans="41:42">
      <c r="AO83" s="17"/>
      <c r="AP83" s="17"/>
    </row>
    <row r="84" spans="41:42">
      <c r="AO84" s="17"/>
      <c r="AP84" s="17"/>
    </row>
    <row r="85" spans="41:42">
      <c r="AO85" s="17"/>
      <c r="AP85" s="17"/>
    </row>
    <row r="86" spans="41:42">
      <c r="AO86" s="17"/>
      <c r="AP86" s="17"/>
    </row>
    <row r="87" spans="41:42">
      <c r="AO87" s="17"/>
      <c r="AP87" s="17"/>
    </row>
    <row r="88" spans="41:42">
      <c r="AO88" s="17"/>
      <c r="AP88" s="17"/>
    </row>
    <row r="89" spans="41:42">
      <c r="AO89" s="17"/>
      <c r="AP89" s="17"/>
    </row>
    <row r="90" spans="41:42">
      <c r="AO90" s="17"/>
      <c r="AP90" s="17"/>
    </row>
    <row r="91" spans="41:42">
      <c r="AO91" s="17"/>
      <c r="AP91" s="17"/>
    </row>
    <row r="92" spans="41:42">
      <c r="AO92" s="17"/>
      <c r="AP92" s="17"/>
    </row>
    <row r="93" spans="41:42">
      <c r="AO93" s="17"/>
      <c r="AP93" s="17"/>
    </row>
    <row r="94" spans="41:42">
      <c r="AO94" s="17"/>
      <c r="AP94" s="17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1:A3 AD1:AD3 AH5:AI5 AG1:AN3 BB1:BC3 BL1:XFD3 AD5:AD16 AD18:AI1048576">
    <cfRule type="cellIs" dxfId="135" priority="23" operator="equal">
      <formula>0</formula>
    </cfRule>
  </conditionalFormatting>
  <conditionalFormatting sqref="AE1:AE3 AE5">
    <cfRule type="cellIs" dxfId="134" priority="22" operator="equal">
      <formula>0</formula>
    </cfRule>
  </conditionalFormatting>
  <conditionalFormatting sqref="AF1:AF3 AF5">
    <cfRule type="cellIs" dxfId="133" priority="21" operator="equal">
      <formula>0</formula>
    </cfRule>
  </conditionalFormatting>
  <conditionalFormatting sqref="AO1:AP3">
    <cfRule type="cellIs" dxfId="132" priority="20" operator="equal">
      <formula>0</formula>
    </cfRule>
  </conditionalFormatting>
  <conditionalFormatting sqref="AR1:BA3">
    <cfRule type="cellIs" dxfId="131" priority="19" operator="equal">
      <formula>0</formula>
    </cfRule>
  </conditionalFormatting>
  <conditionalFormatting sqref="AR18:BA18">
    <cfRule type="cellIs" dxfId="130" priority="18" operator="equal">
      <formula>0</formula>
    </cfRule>
  </conditionalFormatting>
  <conditionalFormatting sqref="AR12:AR14 AW12:AW14">
    <cfRule type="cellIs" dxfId="129" priority="17" operator="equal">
      <formula>0</formula>
    </cfRule>
  </conditionalFormatting>
  <conditionalFormatting sqref="AQ1:AQ3">
    <cfRule type="cellIs" dxfId="128" priority="16" operator="equal">
      <formula>0</formula>
    </cfRule>
  </conditionalFormatting>
  <conditionalFormatting sqref="AQ18">
    <cfRule type="cellIs" dxfId="127" priority="15" operator="equal">
      <formula>0</formula>
    </cfRule>
  </conditionalFormatting>
  <conditionalFormatting sqref="AQ13:AQ14">
    <cfRule type="cellIs" dxfId="126" priority="14" operator="equal">
      <formula>0</formula>
    </cfRule>
  </conditionalFormatting>
  <conditionalFormatting sqref="BD1:BD3">
    <cfRule type="cellIs" dxfId="125" priority="13" operator="equal">
      <formula>0</formula>
    </cfRule>
  </conditionalFormatting>
  <conditionalFormatting sqref="BD18">
    <cfRule type="cellIs" dxfId="124" priority="12" operator="equal">
      <formula>0</formula>
    </cfRule>
  </conditionalFormatting>
  <conditionalFormatting sqref="BK1:BK3">
    <cfRule type="cellIs" dxfId="123" priority="11" operator="equal">
      <formula>0</formula>
    </cfRule>
  </conditionalFormatting>
  <conditionalFormatting sqref="BK18">
    <cfRule type="cellIs" dxfId="122" priority="10" operator="equal">
      <formula>0</formula>
    </cfRule>
  </conditionalFormatting>
  <conditionalFormatting sqref="BH1:BH3">
    <cfRule type="cellIs" dxfId="121" priority="9" operator="equal">
      <formula>0</formula>
    </cfRule>
  </conditionalFormatting>
  <conditionalFormatting sqref="BH18">
    <cfRule type="cellIs" dxfId="120" priority="8" operator="equal">
      <formula>0</formula>
    </cfRule>
  </conditionalFormatting>
  <conditionalFormatting sqref="BF1:BF3">
    <cfRule type="cellIs" dxfId="119" priority="7" operator="equal">
      <formula>0</formula>
    </cfRule>
  </conditionalFormatting>
  <conditionalFormatting sqref="BF18">
    <cfRule type="cellIs" dxfId="118" priority="6" operator="equal">
      <formula>0</formula>
    </cfRule>
  </conditionalFormatting>
  <conditionalFormatting sqref="BE1:BE3">
    <cfRule type="cellIs" dxfId="117" priority="5" operator="equal">
      <formula>0</formula>
    </cfRule>
  </conditionalFormatting>
  <conditionalFormatting sqref="BE18">
    <cfRule type="cellIs" dxfId="116" priority="4" operator="equal">
      <formula>0</formula>
    </cfRule>
  </conditionalFormatting>
  <conditionalFormatting sqref="BG1:BG3">
    <cfRule type="cellIs" dxfId="115" priority="3" operator="equal">
      <formula>0</formula>
    </cfRule>
  </conditionalFormatting>
  <conditionalFormatting sqref="BG18">
    <cfRule type="cellIs" dxfId="114" priority="2" operator="equal">
      <formula>0</formula>
    </cfRule>
  </conditionalFormatting>
  <conditionalFormatting sqref="BI1:BJ3">
    <cfRule type="cellIs" dxfId="11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7"/>
  <sheetViews>
    <sheetView showZeros="0" rightToLeft="1" topLeftCell="A3" workbookViewId="0">
      <selection activeCell="U40" sqref="U40"/>
    </sheetView>
  </sheetViews>
  <sheetFormatPr defaultColWidth="9.08984375" defaultRowHeight="14"/>
  <cols>
    <col min="1" max="3" width="4.08984375" style="96" customWidth="1"/>
    <col min="4" max="4" width="33" style="96" customWidth="1"/>
    <col min="5" max="8" width="12.08984375" style="96" customWidth="1"/>
    <col min="9" max="9" width="7.90625" style="96" customWidth="1"/>
    <col min="10" max="10" width="9.08984375" style="96" hidden="1" customWidth="1"/>
    <col min="11" max="16384" width="9.08984375" style="96"/>
  </cols>
  <sheetData>
    <row r="5" spans="1:16" ht="15.5">
      <c r="A5" s="98">
        <v>3.4</v>
      </c>
      <c r="C5" s="98" t="s">
        <v>1245</v>
      </c>
    </row>
    <row r="6" spans="1:16" ht="16" thickBot="1">
      <c r="A6" s="98"/>
      <c r="H6" s="98"/>
      <c r="I6" s="98"/>
      <c r="J6" s="98"/>
      <c r="K6" s="98"/>
      <c r="N6" s="98"/>
      <c r="O6" s="98"/>
      <c r="P6" s="98"/>
    </row>
    <row r="7" spans="1:16" ht="20.149999999999999" customHeight="1">
      <c r="A7" s="98"/>
      <c r="C7" s="119" t="s">
        <v>1246</v>
      </c>
      <c r="D7" s="120"/>
      <c r="E7" s="121"/>
      <c r="F7" s="122" t="s">
        <v>1244</v>
      </c>
      <c r="G7" s="123" t="s">
        <v>626</v>
      </c>
      <c r="N7" s="98"/>
      <c r="O7" s="98"/>
      <c r="P7" s="98"/>
    </row>
    <row r="8" spans="1:16" ht="20.149999999999999" customHeight="1">
      <c r="A8" s="98"/>
      <c r="C8" s="124" t="s">
        <v>501</v>
      </c>
      <c r="D8" s="125"/>
      <c r="E8" s="126"/>
      <c r="F8" s="127">
        <f>'ריכוז אגפים'!$S7/1000</f>
        <v>18930</v>
      </c>
      <c r="G8" s="128">
        <v>32558.338</v>
      </c>
      <c r="J8" s="273">
        <f t="shared" ref="J8:J20" si="0">F8/$F$21</f>
        <v>4.1523532312528144E-2</v>
      </c>
      <c r="N8" s="98"/>
      <c r="O8" s="98"/>
      <c r="P8" s="98"/>
    </row>
    <row r="9" spans="1:16" ht="20.149999999999999" customHeight="1">
      <c r="A9" s="98"/>
      <c r="C9" s="124" t="s">
        <v>242</v>
      </c>
      <c r="D9" s="130"/>
      <c r="E9" s="126"/>
      <c r="F9" s="127">
        <f>'ריכוז אגפים'!$S8/1000</f>
        <v>316092.03899999999</v>
      </c>
      <c r="G9" s="128">
        <v>337850.033</v>
      </c>
      <c r="J9" s="273">
        <f t="shared" si="0"/>
        <v>0.69335752747751744</v>
      </c>
      <c r="N9" s="98"/>
      <c r="O9" s="98"/>
      <c r="P9" s="98"/>
    </row>
    <row r="10" spans="1:16" ht="20.149999999999999" customHeight="1">
      <c r="A10" s="98"/>
      <c r="C10" s="124" t="s">
        <v>101</v>
      </c>
      <c r="D10" s="125"/>
      <c r="E10" s="126"/>
      <c r="F10" s="127">
        <f>'ריכוז אגפים'!$S9/1000</f>
        <v>67581.3</v>
      </c>
      <c r="G10" s="128">
        <v>54061.3</v>
      </c>
      <c r="J10" s="273">
        <f t="shared" si="0"/>
        <v>0.14824164259232217</v>
      </c>
      <c r="N10" s="98"/>
      <c r="O10" s="98"/>
      <c r="P10" s="98"/>
    </row>
    <row r="11" spans="1:16" ht="20.149999999999999" customHeight="1">
      <c r="A11" s="98"/>
      <c r="C11" s="124" t="s">
        <v>243</v>
      </c>
      <c r="D11" s="125"/>
      <c r="E11" s="126"/>
      <c r="F11" s="127">
        <f>'ריכוז אגפים'!$S10/1000</f>
        <v>0</v>
      </c>
      <c r="G11" s="128">
        <v>500</v>
      </c>
      <c r="J11" s="273">
        <f t="shared" si="0"/>
        <v>0</v>
      </c>
      <c r="N11" s="98"/>
      <c r="O11" s="98"/>
      <c r="P11" s="98"/>
    </row>
    <row r="12" spans="1:16" ht="20.149999999999999" customHeight="1">
      <c r="A12" s="98"/>
      <c r="C12" s="124" t="s">
        <v>197</v>
      </c>
      <c r="D12" s="130"/>
      <c r="E12" s="126"/>
      <c r="F12" s="127">
        <f>'ריכוז אגפים'!$S11/1000</f>
        <v>6320</v>
      </c>
      <c r="G12" s="128">
        <v>4995</v>
      </c>
      <c r="J12" s="273">
        <f t="shared" si="0"/>
        <v>1.3863112742481663E-2</v>
      </c>
      <c r="N12" s="98"/>
      <c r="O12" s="98"/>
      <c r="P12" s="98"/>
    </row>
    <row r="13" spans="1:16" ht="20.149999999999999" customHeight="1">
      <c r="A13" s="98"/>
      <c r="C13" s="124" t="s">
        <v>457</v>
      </c>
      <c r="D13" s="130"/>
      <c r="E13" s="126"/>
      <c r="F13" s="127">
        <f>'ריכוז אגפים'!$S12/1000</f>
        <v>2570</v>
      </c>
      <c r="G13" s="128">
        <v>3940.2289999999998</v>
      </c>
      <c r="J13" s="273">
        <f t="shared" si="0"/>
        <v>5.6373733778762461E-3</v>
      </c>
      <c r="N13" s="98"/>
      <c r="O13" s="98"/>
      <c r="P13" s="98"/>
    </row>
    <row r="14" spans="1:16" ht="20.149999999999999" customHeight="1">
      <c r="A14" s="98"/>
      <c r="C14" s="131" t="s">
        <v>102</v>
      </c>
      <c r="D14" s="132"/>
      <c r="E14" s="133"/>
      <c r="F14" s="127">
        <f>'ריכוז אגפים'!$S13/1000</f>
        <v>27235</v>
      </c>
      <c r="G14" s="128">
        <v>33192</v>
      </c>
      <c r="J14" s="273">
        <f t="shared" si="0"/>
        <v>5.9740803092007612E-2</v>
      </c>
      <c r="N14" s="98"/>
      <c r="O14" s="98"/>
      <c r="P14" s="98"/>
    </row>
    <row r="15" spans="1:16" ht="20.149999999999999" customHeight="1">
      <c r="A15" s="98"/>
      <c r="C15" s="124" t="s">
        <v>193</v>
      </c>
      <c r="D15" s="130"/>
      <c r="E15" s="126"/>
      <c r="F15" s="127">
        <f>'ריכוז אגפים'!$S14/1000</f>
        <v>1776.2750000000001</v>
      </c>
      <c r="G15" s="128">
        <v>1934.971</v>
      </c>
      <c r="J15" s="273">
        <f t="shared" si="0"/>
        <v>3.8963133839638635E-3</v>
      </c>
      <c r="N15" s="98"/>
      <c r="O15" s="98"/>
      <c r="P15" s="98"/>
    </row>
    <row r="16" spans="1:16" ht="20.149999999999999" hidden="1" customHeight="1">
      <c r="A16" s="98"/>
      <c r="C16" s="124" t="s">
        <v>103</v>
      </c>
      <c r="D16" s="130"/>
      <c r="E16" s="126"/>
      <c r="F16" s="127"/>
      <c r="G16" s="134"/>
      <c r="J16" s="273">
        <f t="shared" si="0"/>
        <v>0</v>
      </c>
      <c r="N16" s="98"/>
      <c r="O16" s="98"/>
      <c r="P16" s="98"/>
    </row>
    <row r="17" spans="1:16" ht="20.149999999999999" customHeight="1">
      <c r="A17" s="98"/>
      <c r="C17" s="124" t="s">
        <v>104</v>
      </c>
      <c r="D17" s="125"/>
      <c r="E17" s="126"/>
      <c r="F17" s="127">
        <f>'ריכוז אגפים'!$S15/1000</f>
        <v>1000</v>
      </c>
      <c r="G17" s="128">
        <v>2015</v>
      </c>
      <c r="J17" s="273">
        <f t="shared" si="0"/>
        <v>2.1935304972281111E-3</v>
      </c>
      <c r="N17" s="98"/>
      <c r="O17" s="98"/>
      <c r="P17" s="98"/>
    </row>
    <row r="18" spans="1:16" ht="20.149999999999999" customHeight="1">
      <c r="A18" s="98"/>
      <c r="C18" s="131" t="s">
        <v>328</v>
      </c>
      <c r="D18" s="132"/>
      <c r="E18" s="133"/>
      <c r="F18" s="127">
        <f>'ריכוז אגפים'!$S16/1000</f>
        <v>8450</v>
      </c>
      <c r="G18" s="128">
        <v>13930</v>
      </c>
      <c r="J18" s="273">
        <f t="shared" si="0"/>
        <v>1.8535332701577541E-2</v>
      </c>
      <c r="M18" s="135"/>
      <c r="N18" s="98"/>
      <c r="O18" s="98"/>
      <c r="P18" s="98"/>
    </row>
    <row r="19" spans="1:16" ht="20.149999999999999" customHeight="1">
      <c r="A19" s="98"/>
      <c r="C19" s="124" t="s">
        <v>474</v>
      </c>
      <c r="D19" s="125"/>
      <c r="E19" s="126"/>
      <c r="F19" s="127">
        <f>'ריכוז אגפים'!$S17/1000</f>
        <v>2040</v>
      </c>
      <c r="G19" s="128">
        <v>8924.2999999999993</v>
      </c>
      <c r="J19" s="273">
        <f t="shared" si="0"/>
        <v>4.474802214345347E-3</v>
      </c>
      <c r="N19" s="98"/>
      <c r="O19" s="98"/>
      <c r="P19" s="98"/>
    </row>
    <row r="20" spans="1:16" ht="20.149999999999999" customHeight="1">
      <c r="A20" s="98"/>
      <c r="C20" s="124" t="s">
        <v>116</v>
      </c>
      <c r="D20" s="125"/>
      <c r="E20" s="126"/>
      <c r="F20" s="127">
        <f>'ריכוז אגפים'!$S18/1000</f>
        <v>3891.4569999999999</v>
      </c>
      <c r="G20" s="128">
        <v>8924.9549999999999</v>
      </c>
      <c r="J20" s="273">
        <f t="shared" si="0"/>
        <v>8.5360296081518142E-3</v>
      </c>
      <c r="N20" s="98"/>
      <c r="O20" s="98"/>
      <c r="P20" s="98"/>
    </row>
    <row r="21" spans="1:16" ht="20.149999999999999" customHeight="1" thickBot="1">
      <c r="A21" s="98"/>
      <c r="C21" s="136" t="s">
        <v>105</v>
      </c>
      <c r="D21" s="137"/>
      <c r="E21" s="138"/>
      <c r="F21" s="201">
        <f>SUM(F8:F20)</f>
        <v>455886.071</v>
      </c>
      <c r="G21" s="202">
        <f>SUM(G8:G20)</f>
        <v>502826.12599999999</v>
      </c>
      <c r="J21" s="140">
        <f>SUM(J8:J20)</f>
        <v>1.0000000000000002</v>
      </c>
      <c r="N21" s="98"/>
      <c r="O21" s="98"/>
      <c r="P21" s="98"/>
    </row>
    <row r="22" spans="1:16" ht="17">
      <c r="A22" s="98"/>
      <c r="C22" s="99"/>
      <c r="D22" s="98"/>
      <c r="F22" s="111"/>
      <c r="G22" s="111"/>
      <c r="N22" s="98"/>
      <c r="O22" s="98"/>
      <c r="P22" s="98"/>
    </row>
    <row r="23" spans="1:16" s="373" customFormat="1" ht="15.5">
      <c r="A23" s="372"/>
      <c r="D23" s="372"/>
      <c r="E23" s="372"/>
      <c r="F23" s="372"/>
      <c r="M23" s="372"/>
      <c r="N23" s="372"/>
      <c r="O23" s="372"/>
      <c r="P23" s="372"/>
    </row>
    <row r="24" spans="1:16" ht="15.5">
      <c r="A24" s="98"/>
      <c r="B24" s="105"/>
      <c r="C24" s="105"/>
      <c r="D24" s="105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16" ht="15.5">
      <c r="A25" s="105"/>
      <c r="B25" s="105"/>
      <c r="C25" s="105"/>
      <c r="D25" s="105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5.5"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ht="15.5"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47"/>
  <sheetViews>
    <sheetView showZeros="0" rightToLeft="1" zoomScale="93" zoomScaleNormal="93" workbookViewId="0">
      <pane xSplit="3" ySplit="5" topLeftCell="AV31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3.36328125" style="29" customWidth="1"/>
    <col min="2" max="2" width="4.6328125" style="12" customWidth="1"/>
    <col min="3" max="3" width="27.08984375" style="12" customWidth="1"/>
    <col min="4" max="5" width="10.6328125" style="14" hidden="1" customWidth="1"/>
    <col min="6" max="6" width="9" style="14" hidden="1" customWidth="1"/>
    <col min="7" max="7" width="11.08984375" style="14" hidden="1" customWidth="1"/>
    <col min="8" max="10" width="12.6328125" style="14" hidden="1" customWidth="1"/>
    <col min="11" max="11" width="11.36328125" style="14" hidden="1" customWidth="1"/>
    <col min="12" max="15" width="10.6328125" style="14" hidden="1" customWidth="1"/>
    <col min="16" max="16" width="10.36328125" style="14" hidden="1" customWidth="1"/>
    <col min="17" max="21" width="10.6328125" style="14" hidden="1" customWidth="1"/>
    <col min="22" max="27" width="10.6328125" style="12" hidden="1" customWidth="1"/>
    <col min="28" max="28" width="31.90625" style="18" hidden="1" customWidth="1"/>
    <col min="29" max="29" width="7.90625" style="12" hidden="1" customWidth="1"/>
    <col min="30" max="30" width="10.6328125" style="183" hidden="1" customWidth="1"/>
    <col min="31" max="35" width="10.6328125" style="283" hidden="1" customWidth="1"/>
    <col min="36" max="36" width="10.6328125" style="286" hidden="1" customWidth="1"/>
    <col min="37" max="37" width="10.6328125" style="17" hidden="1" customWidth="1"/>
    <col min="38" max="38" width="10.6328125" style="166" hidden="1" customWidth="1"/>
    <col min="39" max="40" width="10.6328125" style="17" hidden="1" customWidth="1"/>
    <col min="41" max="41" width="16.54296875" style="12" hidden="1" customWidth="1"/>
    <col min="42" max="42" width="16.36328125" style="12" hidden="1" customWidth="1"/>
    <col min="43" max="43" width="21.36328125" style="166" hidden="1" customWidth="1"/>
    <col min="44" max="44" width="10" style="166" hidden="1" customWidth="1"/>
    <col min="45" max="45" width="9.08984375" style="166" hidden="1" customWidth="1"/>
    <col min="46" max="46" width="9.90625" style="166" hidden="1" customWidth="1"/>
    <col min="47" max="47" width="10.179687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2" customWidth="1"/>
    <col min="56" max="60" width="11.81640625" style="166" hidden="1" customWidth="1"/>
    <col min="61" max="61" width="11.81640625" style="12" hidden="1" customWidth="1"/>
    <col min="62" max="62" width="11.81640625" style="12" customWidth="1"/>
    <col min="63" max="63" width="11.81640625" style="166" customWidth="1"/>
    <col min="64" max="65" width="11.81640625" style="12" customWidth="1"/>
    <col min="66" max="67" width="11.81640625" style="12" hidden="1" customWidth="1"/>
    <col min="68" max="68" width="11.81640625" style="12" customWidth="1"/>
    <col min="69" max="16384" width="9.08984375" style="12"/>
  </cols>
  <sheetData>
    <row r="1" spans="1:68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488"/>
      <c r="AD1" s="183"/>
      <c r="AE1" s="283"/>
      <c r="AF1" s="283"/>
      <c r="AG1" s="283"/>
      <c r="AH1" s="283"/>
      <c r="AI1" s="283"/>
      <c r="AJ1" s="286"/>
      <c r="AL1" s="166"/>
      <c r="AO1" s="28"/>
      <c r="AP1" s="28"/>
      <c r="AQ1" s="166"/>
      <c r="AR1" s="166"/>
      <c r="BD1" s="166"/>
      <c r="BE1" s="166"/>
      <c r="BF1" s="166"/>
      <c r="BG1" s="166"/>
      <c r="BH1" s="166"/>
      <c r="BK1" s="166"/>
    </row>
    <row r="2" spans="1:68" s="166" customFormat="1">
      <c r="A2" s="282" t="s">
        <v>1569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183"/>
      <c r="AD2" s="183"/>
      <c r="AE2" s="283"/>
      <c r="AF2" s="283"/>
      <c r="AG2" s="283"/>
      <c r="AH2" s="283"/>
      <c r="AI2" s="283"/>
      <c r="AJ2" s="286"/>
      <c r="AO2" s="12"/>
      <c r="AP2" s="12"/>
    </row>
    <row r="3" spans="1:68" s="166" customForma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183"/>
      <c r="AD3" s="183"/>
      <c r="AE3" s="283"/>
      <c r="AF3" s="283"/>
      <c r="AG3" s="283"/>
      <c r="AH3" s="283"/>
      <c r="AI3" s="283"/>
      <c r="AJ3" s="286"/>
      <c r="AO3" s="12"/>
      <c r="AP3" s="12"/>
    </row>
    <row r="4" spans="1:68" ht="24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24" customFormat="1" ht="70">
      <c r="A5" s="433" t="s">
        <v>0</v>
      </c>
      <c r="B5" s="433" t="s">
        <v>1</v>
      </c>
      <c r="C5" s="433" t="s">
        <v>2</v>
      </c>
      <c r="D5" s="433" t="s">
        <v>3</v>
      </c>
      <c r="E5" s="433" t="s">
        <v>4</v>
      </c>
      <c r="F5" s="433" t="s">
        <v>5</v>
      </c>
      <c r="G5" s="433" t="s">
        <v>6</v>
      </c>
      <c r="H5" s="433" t="s">
        <v>7</v>
      </c>
      <c r="I5" s="433" t="s">
        <v>9</v>
      </c>
      <c r="J5" s="433" t="s">
        <v>178</v>
      </c>
      <c r="K5" s="433" t="s">
        <v>10</v>
      </c>
      <c r="L5" s="433" t="s">
        <v>11</v>
      </c>
      <c r="M5" s="432" t="s">
        <v>970</v>
      </c>
      <c r="N5" s="433" t="s">
        <v>971</v>
      </c>
      <c r="O5" s="433" t="s">
        <v>972</v>
      </c>
      <c r="P5" s="433" t="s">
        <v>628</v>
      </c>
      <c r="Q5" s="433" t="s">
        <v>12</v>
      </c>
      <c r="R5" s="433" t="s">
        <v>630</v>
      </c>
      <c r="S5" s="433" t="s">
        <v>631</v>
      </c>
      <c r="T5" s="433" t="s">
        <v>632</v>
      </c>
      <c r="U5" s="433" t="s">
        <v>629</v>
      </c>
      <c r="V5" s="446" t="s">
        <v>973</v>
      </c>
      <c r="W5" s="433" t="s">
        <v>13</v>
      </c>
      <c r="X5" s="433" t="s">
        <v>14</v>
      </c>
      <c r="Y5" s="433" t="s">
        <v>15</v>
      </c>
      <c r="Z5" s="433" t="s">
        <v>301</v>
      </c>
      <c r="AA5" s="433" t="s">
        <v>91</v>
      </c>
      <c r="AB5" s="433" t="s">
        <v>344</v>
      </c>
      <c r="AC5" s="433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">
        <v>1</v>
      </c>
      <c r="B6" s="3">
        <v>135</v>
      </c>
      <c r="C6" s="3" t="s">
        <v>1020</v>
      </c>
      <c r="D6" s="4">
        <v>1233000</v>
      </c>
      <c r="E6" s="4">
        <v>1233000</v>
      </c>
      <c r="F6" s="4">
        <f t="shared" ref="F6:F37" si="0">D6-E6</f>
        <v>0</v>
      </c>
      <c r="G6" s="4">
        <v>1183000</v>
      </c>
      <c r="H6" s="4">
        <v>1149152.1299999999</v>
      </c>
      <c r="I6" s="4"/>
      <c r="J6" s="4"/>
      <c r="K6" s="4">
        <f>I6+J6</f>
        <v>0</v>
      </c>
      <c r="L6" s="4">
        <f>H6+K6</f>
        <v>1149152.1299999999</v>
      </c>
      <c r="M6" s="4">
        <f t="shared" ref="M6:M45" si="1">Q6+T6</f>
        <v>33847.870000000112</v>
      </c>
      <c r="N6" s="4">
        <v>-50000</v>
      </c>
      <c r="O6" s="4">
        <f>N6-AH6</f>
        <v>0</v>
      </c>
      <c r="P6" s="4">
        <f>D6-L6-M6-O6</f>
        <v>50000</v>
      </c>
      <c r="Q6" s="4">
        <f t="shared" ref="Q6:Q45" si="2">G6-L6</f>
        <v>33847.870000000112</v>
      </c>
      <c r="R6" s="4"/>
      <c r="S6" s="4"/>
      <c r="T6" s="4">
        <f>SUM(R6:S6)</f>
        <v>0</v>
      </c>
      <c r="U6" s="4">
        <f t="shared" ref="U6:U45" si="3">Q6-M6+T6</f>
        <v>0</v>
      </c>
      <c r="V6" s="4">
        <f t="shared" ref="V6:V45" si="4">N6-U6</f>
        <v>-50000</v>
      </c>
      <c r="W6" s="4">
        <v>-50000</v>
      </c>
      <c r="X6" s="4">
        <f>V6-W6-Z6-AA6</f>
        <v>0</v>
      </c>
      <c r="Y6" s="4"/>
      <c r="Z6" s="4"/>
      <c r="AA6" s="3"/>
      <c r="AB6" s="3"/>
      <c r="AC6" s="3">
        <v>747000</v>
      </c>
      <c r="AD6" s="309"/>
      <c r="AE6" s="489"/>
      <c r="AF6" s="4">
        <v>-50000</v>
      </c>
      <c r="AG6" s="4"/>
      <c r="AH6" s="4">
        <f>SUM(AD6:AG6)</f>
        <v>-50000</v>
      </c>
      <c r="AI6" s="4">
        <f>V6-AH6</f>
        <v>0</v>
      </c>
      <c r="AJ6" s="4">
        <f>AI6</f>
        <v>0</v>
      </c>
      <c r="AK6" s="19"/>
      <c r="AL6" s="4"/>
      <c r="AM6" s="3"/>
      <c r="AN6" s="3"/>
      <c r="AO6" s="3">
        <v>0</v>
      </c>
      <c r="AP6" s="4">
        <v>33848</v>
      </c>
      <c r="AQ6" s="173"/>
      <c r="AR6" s="173"/>
      <c r="AS6" s="173">
        <f>M6</f>
        <v>33847.870000000112</v>
      </c>
      <c r="AT6" s="173">
        <f>SUM(AR6:AS6)</f>
        <v>33847.870000000112</v>
      </c>
      <c r="AU6" s="173">
        <f>D6-L6-AT6</f>
        <v>50000</v>
      </c>
      <c r="AV6" s="173">
        <f>AR6+AS6-M6</f>
        <v>0</v>
      </c>
      <c r="AW6" s="192"/>
      <c r="AX6" s="173">
        <f>AR6+AS6-M6-AW6-BA6</f>
        <v>0</v>
      </c>
      <c r="AY6" s="172"/>
      <c r="AZ6" s="172"/>
      <c r="BA6" s="172"/>
      <c r="BB6" s="173">
        <f>AS6-M6</f>
        <v>0</v>
      </c>
      <c r="BC6" s="4">
        <f>AR6</f>
        <v>0</v>
      </c>
      <c r="BD6" s="4"/>
      <c r="BE6" s="4"/>
      <c r="BF6" s="4"/>
      <c r="BG6" s="4"/>
      <c r="BH6" s="173">
        <f>SUM(BD6:BG6)</f>
        <v>0</v>
      </c>
      <c r="BI6" s="3"/>
      <c r="BJ6" s="4">
        <f>BH6+BI6</f>
        <v>0</v>
      </c>
      <c r="BK6" s="173">
        <f>AV6-BJ6</f>
        <v>0</v>
      </c>
      <c r="BL6" s="3"/>
      <c r="BM6" s="4">
        <f>BJ6-BL6-BP6</f>
        <v>0</v>
      </c>
      <c r="BN6" s="3"/>
      <c r="BO6" s="3"/>
      <c r="BP6" s="3"/>
    </row>
    <row r="7" spans="1:68" s="5" customFormat="1" ht="30" customHeight="1">
      <c r="A7" s="3">
        <v>2</v>
      </c>
      <c r="B7" s="3">
        <v>1134</v>
      </c>
      <c r="C7" s="3" t="s">
        <v>64</v>
      </c>
      <c r="D7" s="4">
        <v>2795000</v>
      </c>
      <c r="E7" s="4">
        <v>2795000</v>
      </c>
      <c r="F7" s="4">
        <f t="shared" si="0"/>
        <v>0</v>
      </c>
      <c r="G7" s="4">
        <v>2705000</v>
      </c>
      <c r="H7" s="4">
        <v>2486940.7400000002</v>
      </c>
      <c r="I7" s="4"/>
      <c r="J7" s="4">
        <v>38894</v>
      </c>
      <c r="K7" s="4">
        <f t="shared" ref="K7:K39" si="5">I7+J7</f>
        <v>38894</v>
      </c>
      <c r="L7" s="4">
        <f t="shared" ref="L7:L45" si="6">H7+K7</f>
        <v>2525834.7400000002</v>
      </c>
      <c r="M7" s="4">
        <f t="shared" si="1"/>
        <v>179165.25999999978</v>
      </c>
      <c r="N7" s="4">
        <v>200000</v>
      </c>
      <c r="O7" s="4">
        <f t="shared" ref="O7:O43" si="7">N7-AH7</f>
        <v>90000</v>
      </c>
      <c r="P7" s="4">
        <f t="shared" ref="P7:P43" si="8">D7-L7-M7-O7</f>
        <v>0</v>
      </c>
      <c r="Q7" s="4">
        <f t="shared" si="2"/>
        <v>179165.25999999978</v>
      </c>
      <c r="R7" s="4"/>
      <c r="S7" s="4"/>
      <c r="T7" s="4">
        <f t="shared" ref="T7:T39" si="9">SUM(R7:S7)</f>
        <v>0</v>
      </c>
      <c r="U7" s="4">
        <f t="shared" si="3"/>
        <v>0</v>
      </c>
      <c r="V7" s="4">
        <f t="shared" si="4"/>
        <v>200000</v>
      </c>
      <c r="W7" s="4">
        <f>V7-X7-Y7-Z7-AA7</f>
        <v>0</v>
      </c>
      <c r="X7" s="4">
        <v>200000</v>
      </c>
      <c r="Y7" s="4"/>
      <c r="Z7" s="4"/>
      <c r="AA7" s="3"/>
      <c r="AB7" s="3" t="s">
        <v>844</v>
      </c>
      <c r="AC7" s="3">
        <v>746000</v>
      </c>
      <c r="AD7" s="309"/>
      <c r="AE7" s="489"/>
      <c r="AF7" s="4">
        <v>110000</v>
      </c>
      <c r="AG7" s="4"/>
      <c r="AH7" s="4">
        <f t="shared" ref="AH7:AH45" si="10">SUM(AD7:AG7)</f>
        <v>110000</v>
      </c>
      <c r="AI7" s="4">
        <f t="shared" ref="AI7:AI45" si="11">V7-AH7</f>
        <v>90000</v>
      </c>
      <c r="AJ7" s="40"/>
      <c r="AK7" s="4">
        <f>AI7</f>
        <v>90000</v>
      </c>
      <c r="AL7" s="4"/>
      <c r="AM7" s="3"/>
      <c r="AN7" s="3"/>
      <c r="AO7" s="3">
        <v>0</v>
      </c>
      <c r="AP7" s="4">
        <f>M7</f>
        <v>179165.25999999978</v>
      </c>
      <c r="AQ7" s="184"/>
      <c r="AR7" s="184"/>
      <c r="AS7" s="173">
        <f>M7</f>
        <v>179165.25999999978</v>
      </c>
      <c r="AT7" s="173">
        <f t="shared" ref="AT7:AT45" si="12">SUM(AR7:AS7)</f>
        <v>179165.25999999978</v>
      </c>
      <c r="AU7" s="173">
        <f t="shared" ref="AU7:AU45" si="13">D7-L7-AT7</f>
        <v>90000</v>
      </c>
      <c r="AV7" s="173">
        <f t="shared" ref="AV7:AV45" si="14">AR7+AS7-M7</f>
        <v>0</v>
      </c>
      <c r="AW7" s="309"/>
      <c r="AX7" s="173">
        <f t="shared" ref="AX7:AX45" si="15">AR7+AS7-M7-AW7-BA7</f>
        <v>0</v>
      </c>
      <c r="AY7" s="172"/>
      <c r="AZ7" s="172"/>
      <c r="BA7" s="172"/>
      <c r="BB7" s="173">
        <f t="shared" ref="BB7:BB45" si="16">AS7-M7</f>
        <v>0</v>
      </c>
      <c r="BC7" s="4">
        <f t="shared" ref="BC7:BC45" si="17">AR7</f>
        <v>0</v>
      </c>
      <c r="BD7" s="4"/>
      <c r="BE7" s="4"/>
      <c r="BF7" s="4"/>
      <c r="BG7" s="4"/>
      <c r="BH7" s="173">
        <f t="shared" ref="BH7:BH45" si="18">SUM(BD7:BG7)</f>
        <v>0</v>
      </c>
      <c r="BI7" s="3"/>
      <c r="BJ7" s="4">
        <f t="shared" ref="BJ7:BJ45" si="19">BH7+BI7</f>
        <v>0</v>
      </c>
      <c r="BK7" s="173">
        <f t="shared" ref="BK7:BK45" si="20">AV7-BJ7</f>
        <v>0</v>
      </c>
      <c r="BL7" s="3"/>
      <c r="BM7" s="4">
        <f t="shared" ref="BM7:BM45" si="21">BJ7-BL7-BP7</f>
        <v>0</v>
      </c>
      <c r="BN7" s="3"/>
      <c r="BO7" s="3"/>
      <c r="BP7" s="3"/>
    </row>
    <row r="8" spans="1:68" s="5" customFormat="1" ht="30" customHeight="1">
      <c r="A8" s="3">
        <v>3</v>
      </c>
      <c r="B8" s="3">
        <v>1165</v>
      </c>
      <c r="C8" s="3" t="s">
        <v>93</v>
      </c>
      <c r="D8" s="4">
        <v>12050000</v>
      </c>
      <c r="E8" s="4">
        <v>12050000</v>
      </c>
      <c r="F8" s="4">
        <f t="shared" si="0"/>
        <v>0</v>
      </c>
      <c r="G8" s="4">
        <v>12050000</v>
      </c>
      <c r="H8" s="4">
        <v>11892807.189999999</v>
      </c>
      <c r="I8" s="4"/>
      <c r="J8" s="4">
        <v>154309.74</v>
      </c>
      <c r="K8" s="4">
        <f t="shared" si="5"/>
        <v>154309.74</v>
      </c>
      <c r="L8" s="4">
        <f t="shared" si="6"/>
        <v>12047116.93</v>
      </c>
      <c r="M8" s="4">
        <f t="shared" si="1"/>
        <v>2883.070000000298</v>
      </c>
      <c r="N8" s="4"/>
      <c r="O8" s="4">
        <f t="shared" si="7"/>
        <v>0</v>
      </c>
      <c r="P8" s="4">
        <f t="shared" si="8"/>
        <v>0</v>
      </c>
      <c r="Q8" s="4">
        <f t="shared" si="2"/>
        <v>2883.070000000298</v>
      </c>
      <c r="R8" s="4"/>
      <c r="S8" s="4"/>
      <c r="T8" s="4">
        <f t="shared" si="9"/>
        <v>0</v>
      </c>
      <c r="U8" s="4">
        <f t="shared" si="3"/>
        <v>0</v>
      </c>
      <c r="V8" s="4">
        <f t="shared" si="4"/>
        <v>0</v>
      </c>
      <c r="W8" s="4"/>
      <c r="X8" s="4">
        <f>V8-W8-Z8-AA8</f>
        <v>0</v>
      </c>
      <c r="Y8" s="4"/>
      <c r="Z8" s="4"/>
      <c r="AA8" s="3"/>
      <c r="AB8" s="3" t="s">
        <v>911</v>
      </c>
      <c r="AC8" s="3">
        <v>746000</v>
      </c>
      <c r="AD8" s="309"/>
      <c r="AE8" s="489"/>
      <c r="AF8" s="4"/>
      <c r="AG8" s="4"/>
      <c r="AH8" s="4">
        <f t="shared" si="10"/>
        <v>0</v>
      </c>
      <c r="AI8" s="4">
        <f t="shared" si="11"/>
        <v>0</v>
      </c>
      <c r="AJ8" s="19"/>
      <c r="AK8" s="4">
        <f>AI8</f>
        <v>0</v>
      </c>
      <c r="AL8" s="184"/>
      <c r="AM8" s="4"/>
      <c r="AN8" s="4"/>
      <c r="AO8" s="3">
        <v>0</v>
      </c>
      <c r="AP8" s="4">
        <f>M8</f>
        <v>2883.070000000298</v>
      </c>
      <c r="AQ8" s="184"/>
      <c r="AR8" s="184"/>
      <c r="AS8" s="173">
        <f>M8</f>
        <v>2883.070000000298</v>
      </c>
      <c r="AT8" s="173">
        <f t="shared" si="12"/>
        <v>2883.070000000298</v>
      </c>
      <c r="AU8" s="173">
        <f t="shared" si="13"/>
        <v>0</v>
      </c>
      <c r="AV8" s="173">
        <f t="shared" si="14"/>
        <v>0</v>
      </c>
      <c r="AW8" s="172"/>
      <c r="AX8" s="173">
        <f t="shared" si="15"/>
        <v>0</v>
      </c>
      <c r="AY8" s="172"/>
      <c r="AZ8" s="172"/>
      <c r="BA8" s="172"/>
      <c r="BB8" s="173">
        <f t="shared" si="16"/>
        <v>0</v>
      </c>
      <c r="BC8" s="4">
        <f t="shared" si="17"/>
        <v>0</v>
      </c>
      <c r="BD8" s="4"/>
      <c r="BE8" s="4"/>
      <c r="BF8" s="4"/>
      <c r="BG8" s="4"/>
      <c r="BH8" s="173">
        <f t="shared" si="18"/>
        <v>0</v>
      </c>
      <c r="BI8" s="3"/>
      <c r="BJ8" s="4">
        <f t="shared" si="19"/>
        <v>0</v>
      </c>
      <c r="BK8" s="173">
        <f t="shared" si="20"/>
        <v>0</v>
      </c>
      <c r="BL8" s="3"/>
      <c r="BM8" s="4">
        <f t="shared" si="21"/>
        <v>0</v>
      </c>
      <c r="BN8" s="3"/>
      <c r="BO8" s="3"/>
      <c r="BP8" s="3"/>
    </row>
    <row r="9" spans="1:68" s="5" customFormat="1" ht="30" customHeight="1">
      <c r="A9" s="3">
        <v>4</v>
      </c>
      <c r="B9" s="3">
        <v>1166</v>
      </c>
      <c r="C9" s="3" t="s">
        <v>1021</v>
      </c>
      <c r="D9" s="4">
        <v>9115000</v>
      </c>
      <c r="E9" s="4">
        <v>9115000</v>
      </c>
      <c r="F9" s="4">
        <f t="shared" si="0"/>
        <v>0</v>
      </c>
      <c r="G9" s="4">
        <v>9115000</v>
      </c>
      <c r="H9" s="4">
        <v>9091729.4399999995</v>
      </c>
      <c r="I9" s="4"/>
      <c r="J9" s="4"/>
      <c r="K9" s="4">
        <f t="shared" si="5"/>
        <v>0</v>
      </c>
      <c r="L9" s="4">
        <f t="shared" si="6"/>
        <v>9091729.4399999995</v>
      </c>
      <c r="M9" s="4">
        <f t="shared" si="1"/>
        <v>23270.560000000522</v>
      </c>
      <c r="N9" s="4"/>
      <c r="O9" s="4">
        <f t="shared" si="7"/>
        <v>0</v>
      </c>
      <c r="P9" s="4">
        <f t="shared" si="8"/>
        <v>0</v>
      </c>
      <c r="Q9" s="4">
        <f t="shared" si="2"/>
        <v>23270.560000000522</v>
      </c>
      <c r="R9" s="4"/>
      <c r="S9" s="4"/>
      <c r="T9" s="4">
        <f t="shared" si="9"/>
        <v>0</v>
      </c>
      <c r="U9" s="4">
        <f t="shared" si="3"/>
        <v>0</v>
      </c>
      <c r="V9" s="4">
        <f t="shared" si="4"/>
        <v>0</v>
      </c>
      <c r="W9" s="4"/>
      <c r="X9" s="4">
        <f>V9-W9-Z9-AA9</f>
        <v>0</v>
      </c>
      <c r="Y9" s="4"/>
      <c r="Z9" s="4"/>
      <c r="AA9" s="3"/>
      <c r="AB9" s="3" t="s">
        <v>1022</v>
      </c>
      <c r="AC9" s="3">
        <v>746000</v>
      </c>
      <c r="AD9" s="309"/>
      <c r="AE9" s="489"/>
      <c r="AF9" s="4"/>
      <c r="AG9" s="4"/>
      <c r="AH9" s="4">
        <f t="shared" si="10"/>
        <v>0</v>
      </c>
      <c r="AI9" s="4">
        <f t="shared" si="11"/>
        <v>0</v>
      </c>
      <c r="AJ9" s="19"/>
      <c r="AK9" s="4">
        <f>AI9</f>
        <v>0</v>
      </c>
      <c r="AL9" s="184"/>
      <c r="AM9" s="4"/>
      <c r="AN9" s="4"/>
      <c r="AO9" s="3">
        <v>0</v>
      </c>
      <c r="AP9" s="4">
        <f>M9</f>
        <v>23270.560000000522</v>
      </c>
      <c r="AQ9" s="180">
        <f t="shared" ref="AQ9:BA9" si="22">SUM(AQ6:AQ8)</f>
        <v>0</v>
      </c>
      <c r="AR9" s="180">
        <f t="shared" si="22"/>
        <v>0</v>
      </c>
      <c r="AS9" s="173">
        <f>M9</f>
        <v>23270.560000000522</v>
      </c>
      <c r="AT9" s="173">
        <f t="shared" si="12"/>
        <v>23270.560000000522</v>
      </c>
      <c r="AU9" s="173">
        <f t="shared" si="13"/>
        <v>0</v>
      </c>
      <c r="AV9" s="173">
        <f t="shared" si="14"/>
        <v>0</v>
      </c>
      <c r="AW9" s="180"/>
      <c r="AX9" s="173">
        <f t="shared" si="15"/>
        <v>0</v>
      </c>
      <c r="AY9" s="180">
        <f t="shared" si="22"/>
        <v>0</v>
      </c>
      <c r="AZ9" s="180">
        <f t="shared" si="22"/>
        <v>0</v>
      </c>
      <c r="BA9" s="180">
        <f t="shared" si="22"/>
        <v>0</v>
      </c>
      <c r="BB9" s="173">
        <f t="shared" si="16"/>
        <v>0</v>
      </c>
      <c r="BC9" s="4">
        <f t="shared" si="17"/>
        <v>0</v>
      </c>
      <c r="BD9" s="4"/>
      <c r="BE9" s="4"/>
      <c r="BF9" s="4"/>
      <c r="BG9" s="4"/>
      <c r="BH9" s="173">
        <f t="shared" si="18"/>
        <v>0</v>
      </c>
      <c r="BI9" s="3"/>
      <c r="BJ9" s="4">
        <f t="shared" si="19"/>
        <v>0</v>
      </c>
      <c r="BK9" s="173">
        <f t="shared" si="20"/>
        <v>0</v>
      </c>
      <c r="BL9" s="3"/>
      <c r="BM9" s="4">
        <f t="shared" si="21"/>
        <v>0</v>
      </c>
      <c r="BN9" s="3"/>
      <c r="BO9" s="3"/>
      <c r="BP9" s="3"/>
    </row>
    <row r="10" spans="1:68" s="5" customFormat="1" ht="30" customHeight="1">
      <c r="A10" s="3">
        <v>5</v>
      </c>
      <c r="B10" s="3">
        <v>1210</v>
      </c>
      <c r="C10" s="3" t="s">
        <v>68</v>
      </c>
      <c r="D10" s="4">
        <v>89650000</v>
      </c>
      <c r="E10" s="4">
        <v>89650000</v>
      </c>
      <c r="F10" s="4">
        <f t="shared" si="0"/>
        <v>0</v>
      </c>
      <c r="G10" s="4">
        <v>75250000</v>
      </c>
      <c r="H10" s="4">
        <v>74289412</v>
      </c>
      <c r="I10" s="4"/>
      <c r="J10" s="4">
        <v>169523</v>
      </c>
      <c r="K10" s="4">
        <f t="shared" si="5"/>
        <v>169523</v>
      </c>
      <c r="L10" s="4">
        <f t="shared" si="6"/>
        <v>74458935</v>
      </c>
      <c r="M10" s="4">
        <f t="shared" si="1"/>
        <v>791065</v>
      </c>
      <c r="N10" s="4">
        <v>17500000</v>
      </c>
      <c r="O10" s="4">
        <f t="shared" si="7"/>
        <v>14400000</v>
      </c>
      <c r="P10" s="4">
        <f t="shared" si="8"/>
        <v>0</v>
      </c>
      <c r="Q10" s="4">
        <f t="shared" si="2"/>
        <v>791065</v>
      </c>
      <c r="R10" s="4"/>
      <c r="S10" s="4"/>
      <c r="T10" s="4">
        <f t="shared" si="9"/>
        <v>0</v>
      </c>
      <c r="U10" s="4">
        <f t="shared" si="3"/>
        <v>0</v>
      </c>
      <c r="V10" s="4">
        <f t="shared" si="4"/>
        <v>17500000</v>
      </c>
      <c r="W10" s="4"/>
      <c r="X10" s="4"/>
      <c r="Y10" s="4"/>
      <c r="Z10" s="4"/>
      <c r="AA10" s="4">
        <f>V10</f>
        <v>17500000</v>
      </c>
      <c r="AB10" s="3" t="s">
        <v>838</v>
      </c>
      <c r="AC10" s="3">
        <v>764000</v>
      </c>
      <c r="AD10" s="309"/>
      <c r="AE10" s="4">
        <v>1500000</v>
      </c>
      <c r="AF10" s="4">
        <v>1600000</v>
      </c>
      <c r="AG10" s="4"/>
      <c r="AH10" s="4">
        <f t="shared" si="10"/>
        <v>3100000</v>
      </c>
      <c r="AI10" s="4">
        <f t="shared" si="11"/>
        <v>14400000</v>
      </c>
      <c r="AJ10" s="40"/>
      <c r="AK10" s="40"/>
      <c r="AL10" s="184"/>
      <c r="AM10" s="3"/>
      <c r="AN10" s="4">
        <f>AI10</f>
        <v>14400000</v>
      </c>
      <c r="AO10" s="4">
        <v>10000000</v>
      </c>
      <c r="AP10" s="4">
        <v>791065</v>
      </c>
      <c r="AQ10" s="309" t="s">
        <v>1023</v>
      </c>
      <c r="AR10" s="173">
        <v>10000000</v>
      </c>
      <c r="AS10" s="173">
        <f>M10</f>
        <v>791065</v>
      </c>
      <c r="AT10" s="173">
        <f t="shared" si="12"/>
        <v>10791065</v>
      </c>
      <c r="AU10" s="173">
        <f t="shared" si="13"/>
        <v>4400000</v>
      </c>
      <c r="AV10" s="173">
        <f t="shared" si="14"/>
        <v>10000000</v>
      </c>
      <c r="AW10" s="173"/>
      <c r="AX10" s="173">
        <f t="shared" si="15"/>
        <v>0</v>
      </c>
      <c r="AY10" s="173"/>
      <c r="AZ10" s="173"/>
      <c r="BA10" s="173">
        <v>10000000</v>
      </c>
      <c r="BB10" s="173">
        <f t="shared" si="16"/>
        <v>0</v>
      </c>
      <c r="BC10" s="4">
        <f t="shared" si="17"/>
        <v>10000000</v>
      </c>
      <c r="BD10" s="4">
        <f>1000000+2000000</f>
        <v>3000000</v>
      </c>
      <c r="BE10" s="4"/>
      <c r="BF10" s="4">
        <v>2000000</v>
      </c>
      <c r="BG10" s="4">
        <v>5000000</v>
      </c>
      <c r="BH10" s="173">
        <f t="shared" si="18"/>
        <v>10000000</v>
      </c>
      <c r="BI10" s="3"/>
      <c r="BJ10" s="4">
        <f t="shared" si="19"/>
        <v>10000000</v>
      </c>
      <c r="BK10" s="173">
        <f t="shared" si="20"/>
        <v>0</v>
      </c>
      <c r="BL10" s="3"/>
      <c r="BM10" s="4">
        <f t="shared" si="21"/>
        <v>0</v>
      </c>
      <c r="BN10" s="3"/>
      <c r="BO10" s="3"/>
      <c r="BP10" s="173">
        <f>BJ10</f>
        <v>10000000</v>
      </c>
    </row>
    <row r="11" spans="1:68" s="5" customFormat="1" ht="30" customHeight="1">
      <c r="A11" s="3">
        <v>6</v>
      </c>
      <c r="B11" s="3">
        <v>1254</v>
      </c>
      <c r="C11" s="3" t="s">
        <v>430</v>
      </c>
      <c r="D11" s="4">
        <v>45990000</v>
      </c>
      <c r="E11" s="4">
        <v>45990000</v>
      </c>
      <c r="F11" s="4">
        <f t="shared" si="0"/>
        <v>0</v>
      </c>
      <c r="G11" s="4">
        <v>40990000</v>
      </c>
      <c r="H11" s="4">
        <v>36149811.039999999</v>
      </c>
      <c r="I11" s="4"/>
      <c r="J11" s="4">
        <v>1433776.33</v>
      </c>
      <c r="K11" s="4">
        <f t="shared" si="5"/>
        <v>1433776.33</v>
      </c>
      <c r="L11" s="4">
        <f t="shared" si="6"/>
        <v>37583587.369999997</v>
      </c>
      <c r="M11" s="4">
        <f t="shared" si="1"/>
        <v>3406412.6300000027</v>
      </c>
      <c r="N11" s="4">
        <f>8000000-1000000-500000</f>
        <v>6500000</v>
      </c>
      <c r="O11" s="4">
        <f t="shared" si="7"/>
        <v>3500000</v>
      </c>
      <c r="P11" s="4">
        <f t="shared" si="8"/>
        <v>1500000</v>
      </c>
      <c r="Q11" s="4">
        <f t="shared" si="2"/>
        <v>3406412.6300000027</v>
      </c>
      <c r="R11" s="4"/>
      <c r="S11" s="4"/>
      <c r="T11" s="4">
        <f t="shared" si="9"/>
        <v>0</v>
      </c>
      <c r="U11" s="4">
        <f t="shared" si="3"/>
        <v>0</v>
      </c>
      <c r="V11" s="4">
        <f t="shared" si="4"/>
        <v>6500000</v>
      </c>
      <c r="W11" s="4">
        <f>V11*0.5-1500000-750000</f>
        <v>1000000</v>
      </c>
      <c r="X11" s="4">
        <f t="shared" ref="X11:X37" si="23">V11-W11-Z11-AA11</f>
        <v>5500000</v>
      </c>
      <c r="Y11" s="4"/>
      <c r="Z11" s="4"/>
      <c r="AA11" s="3"/>
      <c r="AB11" s="3" t="s">
        <v>839</v>
      </c>
      <c r="AC11" s="3">
        <v>746000</v>
      </c>
      <c r="AD11" s="309"/>
      <c r="AE11" s="489"/>
      <c r="AF11" s="4">
        <v>3000000</v>
      </c>
      <c r="AG11" s="4"/>
      <c r="AH11" s="4">
        <f t="shared" si="10"/>
        <v>3000000</v>
      </c>
      <c r="AI11" s="4">
        <f t="shared" si="11"/>
        <v>3500000</v>
      </c>
      <c r="AJ11" s="4"/>
      <c r="AK11" s="4">
        <f t="shared" ref="AK11:AK16" si="24">AI11-AJ11</f>
        <v>3500000</v>
      </c>
      <c r="AL11" s="184"/>
      <c r="AM11" s="4"/>
      <c r="AN11" s="4"/>
      <c r="AO11" s="172">
        <v>0</v>
      </c>
      <c r="AP11" s="173">
        <v>2000000</v>
      </c>
      <c r="AQ11" s="172" t="s">
        <v>1024</v>
      </c>
      <c r="AR11" s="184"/>
      <c r="AS11" s="173">
        <f>M11-1400000</f>
        <v>2006412.6300000027</v>
      </c>
      <c r="AT11" s="173">
        <f t="shared" si="12"/>
        <v>2006412.6300000027</v>
      </c>
      <c r="AU11" s="173">
        <f t="shared" si="13"/>
        <v>6400000</v>
      </c>
      <c r="AV11" s="173">
        <f t="shared" si="14"/>
        <v>-1400000</v>
      </c>
      <c r="AW11" s="173">
        <v>-1000000</v>
      </c>
      <c r="AX11" s="173">
        <f t="shared" si="15"/>
        <v>-400000</v>
      </c>
      <c r="AY11" s="184"/>
      <c r="AZ11" s="184"/>
      <c r="BA11" s="184"/>
      <c r="BB11" s="173">
        <f t="shared" si="16"/>
        <v>-1400000</v>
      </c>
      <c r="BC11" s="4">
        <f t="shared" si="17"/>
        <v>0</v>
      </c>
      <c r="BD11" s="4">
        <v>-1400000</v>
      </c>
      <c r="BE11" s="4"/>
      <c r="BF11" s="4"/>
      <c r="BG11" s="4"/>
      <c r="BH11" s="173">
        <f t="shared" si="18"/>
        <v>-1400000</v>
      </c>
      <c r="BI11" s="3"/>
      <c r="BJ11" s="4">
        <f t="shared" si="19"/>
        <v>-1400000</v>
      </c>
      <c r="BK11" s="173">
        <f t="shared" si="20"/>
        <v>0</v>
      </c>
      <c r="BL11" s="173">
        <v>-1000000</v>
      </c>
      <c r="BM11" s="4">
        <f t="shared" si="21"/>
        <v>-400000</v>
      </c>
      <c r="BN11" s="3"/>
      <c r="BO11" s="3"/>
      <c r="BP11" s="3"/>
    </row>
    <row r="12" spans="1:68" s="5" customFormat="1" ht="30" customHeight="1">
      <c r="A12" s="3">
        <v>7</v>
      </c>
      <c r="B12" s="3">
        <v>1342</v>
      </c>
      <c r="C12" s="3" t="s">
        <v>1025</v>
      </c>
      <c r="D12" s="4">
        <v>4000000</v>
      </c>
      <c r="E12" s="4">
        <v>4000000</v>
      </c>
      <c r="F12" s="4">
        <f t="shared" si="0"/>
        <v>0</v>
      </c>
      <c r="G12" s="4">
        <v>3450000</v>
      </c>
      <c r="H12" s="4">
        <v>2295079.09</v>
      </c>
      <c r="I12" s="4"/>
      <c r="J12" s="4">
        <v>292151.67</v>
      </c>
      <c r="K12" s="4">
        <f t="shared" si="5"/>
        <v>292151.67</v>
      </c>
      <c r="L12" s="4">
        <f t="shared" si="6"/>
        <v>2587230.7599999998</v>
      </c>
      <c r="M12" s="4">
        <f t="shared" si="1"/>
        <v>862769.24000000022</v>
      </c>
      <c r="N12" s="4"/>
      <c r="O12" s="4">
        <f t="shared" si="7"/>
        <v>0</v>
      </c>
      <c r="P12" s="4">
        <f t="shared" si="8"/>
        <v>550000</v>
      </c>
      <c r="Q12" s="4">
        <f t="shared" si="2"/>
        <v>862769.24000000022</v>
      </c>
      <c r="R12" s="4"/>
      <c r="S12" s="4"/>
      <c r="T12" s="4">
        <f t="shared" si="9"/>
        <v>0</v>
      </c>
      <c r="U12" s="4">
        <f t="shared" si="3"/>
        <v>0</v>
      </c>
      <c r="V12" s="4">
        <f t="shared" si="4"/>
        <v>0</v>
      </c>
      <c r="W12" s="4">
        <f>V12-X12-Y12-Z12-AA12</f>
        <v>0</v>
      </c>
      <c r="X12" s="4"/>
      <c r="Y12" s="4"/>
      <c r="Z12" s="4"/>
      <c r="AA12" s="3"/>
      <c r="AB12" s="3" t="s">
        <v>848</v>
      </c>
      <c r="AC12" s="3">
        <v>746000</v>
      </c>
      <c r="AD12" s="309"/>
      <c r="AE12" s="489"/>
      <c r="AF12" s="4"/>
      <c r="AG12" s="4"/>
      <c r="AH12" s="4">
        <f t="shared" si="10"/>
        <v>0</v>
      </c>
      <c r="AI12" s="4">
        <f t="shared" si="11"/>
        <v>0</v>
      </c>
      <c r="AJ12" s="19"/>
      <c r="AK12" s="4">
        <f t="shared" si="24"/>
        <v>0</v>
      </c>
      <c r="AL12" s="184"/>
      <c r="AM12" s="4"/>
      <c r="AN12" s="4"/>
      <c r="AO12" s="172">
        <v>0</v>
      </c>
      <c r="AP12" s="173">
        <v>300000</v>
      </c>
      <c r="AQ12" s="309" t="s">
        <v>1026</v>
      </c>
      <c r="AR12" s="184"/>
      <c r="AS12" s="173">
        <f>M12-560000</f>
        <v>302769.24000000022</v>
      </c>
      <c r="AT12" s="173">
        <f t="shared" si="12"/>
        <v>302769.24000000022</v>
      </c>
      <c r="AU12" s="173">
        <f t="shared" si="13"/>
        <v>1110000</v>
      </c>
      <c r="AV12" s="173">
        <f t="shared" si="14"/>
        <v>-560000</v>
      </c>
      <c r="AW12" s="173"/>
      <c r="AX12" s="173">
        <f t="shared" si="15"/>
        <v>-560000</v>
      </c>
      <c r="AY12" s="173"/>
      <c r="AZ12" s="173"/>
      <c r="BA12" s="173"/>
      <c r="BB12" s="173">
        <f t="shared" si="16"/>
        <v>-560000</v>
      </c>
      <c r="BC12" s="4">
        <f t="shared" si="17"/>
        <v>0</v>
      </c>
      <c r="BD12" s="4">
        <v>-560000</v>
      </c>
      <c r="BE12" s="4"/>
      <c r="BF12" s="4"/>
      <c r="BG12" s="4"/>
      <c r="BH12" s="173">
        <f t="shared" si="18"/>
        <v>-560000</v>
      </c>
      <c r="BI12" s="3"/>
      <c r="BJ12" s="4">
        <f t="shared" si="19"/>
        <v>-560000</v>
      </c>
      <c r="BK12" s="173">
        <f t="shared" si="20"/>
        <v>0</v>
      </c>
      <c r="BL12" s="3"/>
      <c r="BM12" s="4">
        <f t="shared" si="21"/>
        <v>-560000</v>
      </c>
      <c r="BN12" s="3"/>
      <c r="BO12" s="3"/>
      <c r="BP12" s="3"/>
    </row>
    <row r="13" spans="1:68" s="5" customFormat="1" ht="30" customHeight="1">
      <c r="A13" s="3">
        <v>8</v>
      </c>
      <c r="B13" s="3">
        <v>1343</v>
      </c>
      <c r="C13" s="3" t="s">
        <v>78</v>
      </c>
      <c r="D13" s="4">
        <v>8320000</v>
      </c>
      <c r="E13" s="4">
        <v>8320000</v>
      </c>
      <c r="F13" s="4">
        <f t="shared" si="0"/>
        <v>0</v>
      </c>
      <c r="G13" s="4">
        <v>7020000</v>
      </c>
      <c r="H13" s="4">
        <v>5737668.6100000003</v>
      </c>
      <c r="I13" s="4"/>
      <c r="J13" s="4">
        <v>731867.75</v>
      </c>
      <c r="K13" s="4">
        <f t="shared" si="5"/>
        <v>731867.75</v>
      </c>
      <c r="L13" s="4">
        <f t="shared" si="6"/>
        <v>6469536.3600000003</v>
      </c>
      <c r="M13" s="4">
        <f t="shared" si="1"/>
        <v>550463.63999999966</v>
      </c>
      <c r="N13" s="4">
        <f>500000-100000</f>
        <v>400000</v>
      </c>
      <c r="O13" s="4">
        <f t="shared" si="7"/>
        <v>400000</v>
      </c>
      <c r="P13" s="4">
        <f t="shared" si="8"/>
        <v>900000</v>
      </c>
      <c r="Q13" s="4">
        <f t="shared" si="2"/>
        <v>550463.63999999966</v>
      </c>
      <c r="R13" s="4"/>
      <c r="S13" s="4"/>
      <c r="T13" s="4">
        <f t="shared" si="9"/>
        <v>0</v>
      </c>
      <c r="U13" s="4">
        <f t="shared" si="3"/>
        <v>0</v>
      </c>
      <c r="V13" s="4">
        <f t="shared" si="4"/>
        <v>400000</v>
      </c>
      <c r="W13" s="4">
        <f>V13-X13-Y13-Z13-AA13</f>
        <v>0</v>
      </c>
      <c r="X13" s="4">
        <v>400000</v>
      </c>
      <c r="Y13" s="4"/>
      <c r="Z13" s="4"/>
      <c r="AA13" s="3"/>
      <c r="AB13" s="3" t="s">
        <v>746</v>
      </c>
      <c r="AC13" s="3">
        <v>746000</v>
      </c>
      <c r="AD13" s="309"/>
      <c r="AE13" s="489"/>
      <c r="AF13" s="4"/>
      <c r="AG13" s="4"/>
      <c r="AH13" s="4">
        <f t="shared" si="10"/>
        <v>0</v>
      </c>
      <c r="AI13" s="4">
        <f t="shared" si="11"/>
        <v>400000</v>
      </c>
      <c r="AJ13" s="40"/>
      <c r="AK13" s="4">
        <f t="shared" si="24"/>
        <v>400000</v>
      </c>
      <c r="AL13" s="184"/>
      <c r="AM13" s="4"/>
      <c r="AN13" s="4"/>
      <c r="AO13" s="172">
        <v>0</v>
      </c>
      <c r="AP13" s="173">
        <v>550464</v>
      </c>
      <c r="AQ13" s="172" t="s">
        <v>1027</v>
      </c>
      <c r="AR13" s="184"/>
      <c r="AS13" s="173">
        <f>M13</f>
        <v>550463.63999999966</v>
      </c>
      <c r="AT13" s="173">
        <f t="shared" si="12"/>
        <v>550463.63999999966</v>
      </c>
      <c r="AU13" s="173">
        <f t="shared" si="13"/>
        <v>1300000</v>
      </c>
      <c r="AV13" s="173">
        <f t="shared" si="14"/>
        <v>0</v>
      </c>
      <c r="AW13" s="173"/>
      <c r="AX13" s="173">
        <f t="shared" si="15"/>
        <v>0</v>
      </c>
      <c r="AY13" s="173"/>
      <c r="AZ13" s="173"/>
      <c r="BA13" s="173"/>
      <c r="BB13" s="173">
        <f t="shared" si="16"/>
        <v>0</v>
      </c>
      <c r="BC13" s="4">
        <f t="shared" si="17"/>
        <v>0</v>
      </c>
      <c r="BD13" s="4"/>
      <c r="BE13" s="4"/>
      <c r="BF13" s="4"/>
      <c r="BG13" s="4"/>
      <c r="BH13" s="173">
        <f t="shared" si="18"/>
        <v>0</v>
      </c>
      <c r="BI13" s="3"/>
      <c r="BJ13" s="4">
        <f t="shared" si="19"/>
        <v>0</v>
      </c>
      <c r="BK13" s="173">
        <f t="shared" si="20"/>
        <v>0</v>
      </c>
      <c r="BL13" s="3"/>
      <c r="BM13" s="4">
        <f t="shared" si="21"/>
        <v>0</v>
      </c>
      <c r="BN13" s="3"/>
      <c r="BO13" s="3"/>
      <c r="BP13" s="3"/>
    </row>
    <row r="14" spans="1:68" s="5" customFormat="1" ht="30" customHeight="1">
      <c r="A14" s="3">
        <v>9</v>
      </c>
      <c r="B14" s="3">
        <v>1345</v>
      </c>
      <c r="C14" s="3" t="s">
        <v>560</v>
      </c>
      <c r="D14" s="4">
        <v>1739000</v>
      </c>
      <c r="E14" s="4">
        <v>1739000</v>
      </c>
      <c r="F14" s="4">
        <f t="shared" si="0"/>
        <v>0</v>
      </c>
      <c r="G14" s="4">
        <v>935000</v>
      </c>
      <c r="H14" s="4">
        <v>825750.94</v>
      </c>
      <c r="I14" s="4"/>
      <c r="J14" s="4">
        <v>16631.55</v>
      </c>
      <c r="K14" s="4">
        <f t="shared" si="5"/>
        <v>16631.55</v>
      </c>
      <c r="L14" s="4">
        <f t="shared" si="6"/>
        <v>842382.49</v>
      </c>
      <c r="M14" s="4">
        <f t="shared" si="1"/>
        <v>92617.510000000009</v>
      </c>
      <c r="N14" s="4">
        <v>80000</v>
      </c>
      <c r="O14" s="4">
        <f t="shared" si="7"/>
        <v>60000</v>
      </c>
      <c r="P14" s="4">
        <f t="shared" si="8"/>
        <v>744000</v>
      </c>
      <c r="Q14" s="4">
        <f t="shared" si="2"/>
        <v>92617.510000000009</v>
      </c>
      <c r="R14" s="4"/>
      <c r="S14" s="4"/>
      <c r="T14" s="4">
        <f t="shared" si="9"/>
        <v>0</v>
      </c>
      <c r="U14" s="4">
        <f t="shared" si="3"/>
        <v>0</v>
      </c>
      <c r="V14" s="4">
        <f t="shared" si="4"/>
        <v>80000</v>
      </c>
      <c r="W14" s="4"/>
      <c r="X14" s="4">
        <f t="shared" si="23"/>
        <v>80000</v>
      </c>
      <c r="Y14" s="4"/>
      <c r="Z14" s="4"/>
      <c r="AA14" s="3"/>
      <c r="AB14" s="3" t="s">
        <v>747</v>
      </c>
      <c r="AC14" s="3">
        <v>870000</v>
      </c>
      <c r="AD14" s="309"/>
      <c r="AE14" s="489"/>
      <c r="AF14" s="4">
        <v>20000</v>
      </c>
      <c r="AG14" s="4"/>
      <c r="AH14" s="4">
        <f t="shared" si="10"/>
        <v>20000</v>
      </c>
      <c r="AI14" s="4">
        <f t="shared" si="11"/>
        <v>60000</v>
      </c>
      <c r="AJ14" s="40"/>
      <c r="AK14" s="4">
        <f t="shared" si="24"/>
        <v>60000</v>
      </c>
      <c r="AL14" s="4"/>
      <c r="AM14" s="3"/>
      <c r="AN14" s="3"/>
      <c r="AO14" s="172">
        <v>0</v>
      </c>
      <c r="AP14" s="173">
        <v>40000</v>
      </c>
      <c r="AQ14" s="172" t="s">
        <v>1028</v>
      </c>
      <c r="AR14" s="184"/>
      <c r="AS14" s="173">
        <f>M14-52000</f>
        <v>40617.510000000009</v>
      </c>
      <c r="AT14" s="173">
        <f t="shared" si="12"/>
        <v>40617.510000000009</v>
      </c>
      <c r="AU14" s="173">
        <f t="shared" si="13"/>
        <v>856000</v>
      </c>
      <c r="AV14" s="173">
        <f t="shared" si="14"/>
        <v>-52000</v>
      </c>
      <c r="AW14" s="173"/>
      <c r="AX14" s="173">
        <f t="shared" si="15"/>
        <v>-52000</v>
      </c>
      <c r="AY14" s="173"/>
      <c r="AZ14" s="173"/>
      <c r="BA14" s="173"/>
      <c r="BB14" s="173">
        <f t="shared" si="16"/>
        <v>-52000</v>
      </c>
      <c r="BC14" s="4">
        <f t="shared" si="17"/>
        <v>0</v>
      </c>
      <c r="BD14" s="4">
        <v>-52000</v>
      </c>
      <c r="BE14" s="4"/>
      <c r="BF14" s="4"/>
      <c r="BG14" s="4"/>
      <c r="BH14" s="173">
        <f t="shared" si="18"/>
        <v>-52000</v>
      </c>
      <c r="BI14" s="3"/>
      <c r="BJ14" s="4">
        <f t="shared" si="19"/>
        <v>-52000</v>
      </c>
      <c r="BK14" s="173">
        <f t="shared" si="20"/>
        <v>0</v>
      </c>
      <c r="BL14" s="3"/>
      <c r="BM14" s="4">
        <f t="shared" si="21"/>
        <v>-52000</v>
      </c>
      <c r="BN14" s="3"/>
      <c r="BO14" s="3"/>
      <c r="BP14" s="3"/>
    </row>
    <row r="15" spans="1:68" s="5" customFormat="1" ht="30" customHeight="1">
      <c r="A15" s="3">
        <v>10</v>
      </c>
      <c r="B15" s="3">
        <v>1435</v>
      </c>
      <c r="C15" s="31" t="s">
        <v>748</v>
      </c>
      <c r="D15" s="4">
        <v>31274320</v>
      </c>
      <c r="E15" s="4">
        <v>31274320</v>
      </c>
      <c r="F15" s="4">
        <f t="shared" si="0"/>
        <v>0</v>
      </c>
      <c r="G15" s="4">
        <v>27024320</v>
      </c>
      <c r="H15" s="4">
        <v>24716603.82</v>
      </c>
      <c r="I15" s="4"/>
      <c r="J15" s="4">
        <v>1888281.65</v>
      </c>
      <c r="K15" s="4">
        <f t="shared" si="5"/>
        <v>1888281.65</v>
      </c>
      <c r="L15" s="4">
        <f t="shared" si="6"/>
        <v>26604885.469999999</v>
      </c>
      <c r="M15" s="4">
        <f t="shared" si="1"/>
        <v>419434.53000000119</v>
      </c>
      <c r="N15" s="4">
        <f>3500000+1500000-2000000-200000</f>
        <v>2800000</v>
      </c>
      <c r="O15" s="4">
        <f t="shared" si="7"/>
        <v>2050000</v>
      </c>
      <c r="P15" s="4">
        <f t="shared" si="8"/>
        <v>2200000</v>
      </c>
      <c r="Q15" s="4">
        <f t="shared" si="2"/>
        <v>419434.53000000119</v>
      </c>
      <c r="R15" s="4"/>
      <c r="S15" s="4"/>
      <c r="T15" s="4">
        <f t="shared" si="9"/>
        <v>0</v>
      </c>
      <c r="U15" s="4">
        <f t="shared" si="3"/>
        <v>0</v>
      </c>
      <c r="V15" s="4">
        <f t="shared" si="4"/>
        <v>2800000</v>
      </c>
      <c r="W15" s="4">
        <f>3000000-3000000</f>
        <v>0</v>
      </c>
      <c r="X15" s="4">
        <f t="shared" si="23"/>
        <v>2800000</v>
      </c>
      <c r="Y15" s="4"/>
      <c r="Z15" s="4"/>
      <c r="AA15" s="3"/>
      <c r="AB15" s="72" t="s">
        <v>842</v>
      </c>
      <c r="AC15" s="3">
        <v>848500</v>
      </c>
      <c r="AD15" s="309"/>
      <c r="AE15" s="489"/>
      <c r="AF15" s="4">
        <v>750000</v>
      </c>
      <c r="AG15" s="4"/>
      <c r="AH15" s="4">
        <f t="shared" si="10"/>
        <v>750000</v>
      </c>
      <c r="AI15" s="4">
        <f t="shared" si="11"/>
        <v>2050000</v>
      </c>
      <c r="AJ15" s="40"/>
      <c r="AK15" s="4">
        <f t="shared" si="24"/>
        <v>2050000</v>
      </c>
      <c r="AL15" s="184"/>
      <c r="AM15" s="4"/>
      <c r="AN15" s="4"/>
      <c r="AO15" s="173">
        <v>2050000</v>
      </c>
      <c r="AP15" s="173">
        <f>M15</f>
        <v>419434.53000000119</v>
      </c>
      <c r="AQ15" s="172"/>
      <c r="AR15" s="173">
        <v>2050000</v>
      </c>
      <c r="AS15" s="173">
        <f t="shared" ref="AS15:AS20" si="25">M15</f>
        <v>419434.53000000119</v>
      </c>
      <c r="AT15" s="173">
        <f t="shared" si="12"/>
        <v>2469434.5300000012</v>
      </c>
      <c r="AU15" s="173">
        <f t="shared" si="13"/>
        <v>2200000</v>
      </c>
      <c r="AV15" s="173">
        <f t="shared" si="14"/>
        <v>2050000</v>
      </c>
      <c r="AW15" s="173"/>
      <c r="AX15" s="173">
        <f t="shared" si="15"/>
        <v>2050000</v>
      </c>
      <c r="AY15" s="173"/>
      <c r="AZ15" s="173"/>
      <c r="BA15" s="173"/>
      <c r="BB15" s="173">
        <f t="shared" si="16"/>
        <v>0</v>
      </c>
      <c r="BC15" s="4">
        <f t="shared" si="17"/>
        <v>2050000</v>
      </c>
      <c r="BD15" s="4">
        <v>2050000</v>
      </c>
      <c r="BE15" s="4"/>
      <c r="BF15" s="4"/>
      <c r="BG15" s="4"/>
      <c r="BH15" s="173">
        <f t="shared" si="18"/>
        <v>2050000</v>
      </c>
      <c r="BI15" s="3"/>
      <c r="BJ15" s="4">
        <f t="shared" si="19"/>
        <v>2050000</v>
      </c>
      <c r="BK15" s="173">
        <f t="shared" si="20"/>
        <v>0</v>
      </c>
      <c r="BL15" s="3"/>
      <c r="BM15" s="4">
        <f t="shared" si="21"/>
        <v>2050000</v>
      </c>
      <c r="BN15" s="3"/>
      <c r="BO15" s="3"/>
      <c r="BP15" s="3"/>
    </row>
    <row r="16" spans="1:68" s="5" customFormat="1" ht="30" customHeight="1">
      <c r="A16" s="3">
        <v>11</v>
      </c>
      <c r="B16" s="3">
        <v>1491</v>
      </c>
      <c r="C16" s="3" t="s">
        <v>79</v>
      </c>
      <c r="D16" s="4">
        <v>6870000</v>
      </c>
      <c r="E16" s="4">
        <v>6870000</v>
      </c>
      <c r="F16" s="4">
        <f t="shared" si="0"/>
        <v>0</v>
      </c>
      <c r="G16" s="4">
        <v>6870000</v>
      </c>
      <c r="H16" s="4">
        <v>6396807.6100000003</v>
      </c>
      <c r="I16" s="4"/>
      <c r="J16" s="4">
        <v>425233.53</v>
      </c>
      <c r="K16" s="4">
        <f t="shared" si="5"/>
        <v>425233.53</v>
      </c>
      <c r="L16" s="4">
        <f t="shared" si="6"/>
        <v>6822041.1400000006</v>
      </c>
      <c r="M16" s="4">
        <f t="shared" si="1"/>
        <v>47958.859999999404</v>
      </c>
      <c r="N16" s="4"/>
      <c r="O16" s="4">
        <f t="shared" si="7"/>
        <v>0</v>
      </c>
      <c r="P16" s="4">
        <f t="shared" si="8"/>
        <v>0</v>
      </c>
      <c r="Q16" s="4">
        <f t="shared" si="2"/>
        <v>47958.859999999404</v>
      </c>
      <c r="R16" s="4"/>
      <c r="S16" s="4"/>
      <c r="T16" s="4">
        <f t="shared" si="9"/>
        <v>0</v>
      </c>
      <c r="U16" s="4">
        <f t="shared" si="3"/>
        <v>0</v>
      </c>
      <c r="V16" s="4">
        <f t="shared" si="4"/>
        <v>0</v>
      </c>
      <c r="W16" s="4"/>
      <c r="X16" s="4">
        <f t="shared" si="23"/>
        <v>0</v>
      </c>
      <c r="Y16" s="4"/>
      <c r="Z16" s="4"/>
      <c r="AA16" s="3"/>
      <c r="AB16" s="72" t="s">
        <v>912</v>
      </c>
      <c r="AC16" s="3">
        <v>746000</v>
      </c>
      <c r="AD16" s="309"/>
      <c r="AE16" s="489"/>
      <c r="AF16" s="4"/>
      <c r="AG16" s="4"/>
      <c r="AH16" s="4">
        <f t="shared" si="10"/>
        <v>0</v>
      </c>
      <c r="AI16" s="4">
        <f t="shared" si="11"/>
        <v>0</v>
      </c>
      <c r="AJ16" s="19"/>
      <c r="AK16" s="4">
        <f t="shared" si="24"/>
        <v>0</v>
      </c>
      <c r="AL16" s="184"/>
      <c r="AM16" s="4"/>
      <c r="AN16" s="4"/>
      <c r="AO16" s="172">
        <v>0</v>
      </c>
      <c r="AP16" s="173">
        <v>47959</v>
      </c>
      <c r="AQ16" s="172" t="s">
        <v>1029</v>
      </c>
      <c r="AR16" s="184"/>
      <c r="AS16" s="173">
        <f t="shared" si="25"/>
        <v>47958.859999999404</v>
      </c>
      <c r="AT16" s="173">
        <f t="shared" si="12"/>
        <v>47958.859999999404</v>
      </c>
      <c r="AU16" s="173">
        <f t="shared" si="13"/>
        <v>0</v>
      </c>
      <c r="AV16" s="173">
        <f t="shared" si="14"/>
        <v>0</v>
      </c>
      <c r="AW16" s="173"/>
      <c r="AX16" s="173">
        <f t="shared" si="15"/>
        <v>0</v>
      </c>
      <c r="AY16" s="173"/>
      <c r="AZ16" s="173"/>
      <c r="BA16" s="173"/>
      <c r="BB16" s="173">
        <f t="shared" si="16"/>
        <v>0</v>
      </c>
      <c r="BC16" s="4">
        <f t="shared" si="17"/>
        <v>0</v>
      </c>
      <c r="BD16" s="4"/>
      <c r="BE16" s="4"/>
      <c r="BF16" s="4"/>
      <c r="BG16" s="4"/>
      <c r="BH16" s="173">
        <f t="shared" si="18"/>
        <v>0</v>
      </c>
      <c r="BI16" s="3"/>
      <c r="BJ16" s="4">
        <f t="shared" si="19"/>
        <v>0</v>
      </c>
      <c r="BK16" s="173">
        <f t="shared" si="20"/>
        <v>0</v>
      </c>
      <c r="BL16" s="3"/>
      <c r="BM16" s="4">
        <f t="shared" si="21"/>
        <v>0</v>
      </c>
      <c r="BN16" s="3"/>
      <c r="BO16" s="3"/>
      <c r="BP16" s="3"/>
    </row>
    <row r="17" spans="1:68" s="5" customFormat="1" ht="30" customHeight="1">
      <c r="A17" s="3">
        <v>12</v>
      </c>
      <c r="B17" s="3">
        <v>1504</v>
      </c>
      <c r="C17" s="3" t="s">
        <v>80</v>
      </c>
      <c r="D17" s="4">
        <v>2000000</v>
      </c>
      <c r="E17" s="4">
        <v>2000000</v>
      </c>
      <c r="F17" s="4">
        <f t="shared" si="0"/>
        <v>0</v>
      </c>
      <c r="G17" s="4">
        <v>1500000</v>
      </c>
      <c r="H17" s="4">
        <v>1449679.63</v>
      </c>
      <c r="I17" s="4"/>
      <c r="J17" s="4"/>
      <c r="K17" s="4">
        <f t="shared" si="5"/>
        <v>0</v>
      </c>
      <c r="L17" s="4">
        <f t="shared" si="6"/>
        <v>1449679.63</v>
      </c>
      <c r="M17" s="4">
        <f t="shared" si="1"/>
        <v>50320.370000000112</v>
      </c>
      <c r="N17" s="4">
        <f>500000-100000</f>
        <v>400000</v>
      </c>
      <c r="O17" s="4">
        <f t="shared" si="7"/>
        <v>400000</v>
      </c>
      <c r="P17" s="4">
        <f t="shared" si="8"/>
        <v>100000</v>
      </c>
      <c r="Q17" s="4">
        <f t="shared" si="2"/>
        <v>50320.370000000112</v>
      </c>
      <c r="R17" s="4"/>
      <c r="S17" s="4"/>
      <c r="T17" s="4">
        <f t="shared" si="9"/>
        <v>0</v>
      </c>
      <c r="U17" s="4">
        <f t="shared" si="3"/>
        <v>0</v>
      </c>
      <c r="V17" s="4">
        <f t="shared" si="4"/>
        <v>400000</v>
      </c>
      <c r="W17" s="4">
        <f>V17-X17-Y17-Z17-AA17</f>
        <v>400000</v>
      </c>
      <c r="X17" s="4"/>
      <c r="Y17" s="4"/>
      <c r="Z17" s="4"/>
      <c r="AA17" s="3"/>
      <c r="AB17" s="3" t="s">
        <v>749</v>
      </c>
      <c r="AC17" s="3">
        <v>746000</v>
      </c>
      <c r="AD17" s="309"/>
      <c r="AE17" s="489"/>
      <c r="AF17" s="4"/>
      <c r="AG17" s="4"/>
      <c r="AH17" s="4">
        <f t="shared" si="10"/>
        <v>0</v>
      </c>
      <c r="AI17" s="4">
        <f t="shared" si="11"/>
        <v>400000</v>
      </c>
      <c r="AJ17" s="314">
        <f>AI17</f>
        <v>400000</v>
      </c>
      <c r="AK17" s="4"/>
      <c r="AL17" s="184"/>
      <c r="AM17" s="4"/>
      <c r="AN17" s="4"/>
      <c r="AO17" s="172">
        <v>0</v>
      </c>
      <c r="AP17" s="173">
        <v>50320</v>
      </c>
      <c r="AQ17" s="172"/>
      <c r="AR17" s="184"/>
      <c r="AS17" s="173">
        <f t="shared" si="25"/>
        <v>50320.370000000112</v>
      </c>
      <c r="AT17" s="173">
        <f t="shared" si="12"/>
        <v>50320.370000000112</v>
      </c>
      <c r="AU17" s="173">
        <f t="shared" si="13"/>
        <v>500000</v>
      </c>
      <c r="AV17" s="173">
        <f t="shared" si="14"/>
        <v>0</v>
      </c>
      <c r="AW17" s="173"/>
      <c r="AX17" s="173">
        <f t="shared" si="15"/>
        <v>0</v>
      </c>
      <c r="AY17" s="173"/>
      <c r="AZ17" s="173"/>
      <c r="BA17" s="173"/>
      <c r="BB17" s="173">
        <f t="shared" si="16"/>
        <v>0</v>
      </c>
      <c r="BC17" s="4">
        <f t="shared" si="17"/>
        <v>0</v>
      </c>
      <c r="BD17" s="4"/>
      <c r="BE17" s="4"/>
      <c r="BF17" s="4"/>
      <c r="BG17" s="4"/>
      <c r="BH17" s="173">
        <f t="shared" si="18"/>
        <v>0</v>
      </c>
      <c r="BI17" s="3"/>
      <c r="BJ17" s="4">
        <f t="shared" si="19"/>
        <v>0</v>
      </c>
      <c r="BK17" s="173">
        <f t="shared" si="20"/>
        <v>0</v>
      </c>
      <c r="BL17" s="3"/>
      <c r="BM17" s="4">
        <f t="shared" si="21"/>
        <v>0</v>
      </c>
      <c r="BN17" s="3"/>
      <c r="BO17" s="3"/>
      <c r="BP17" s="3"/>
    </row>
    <row r="18" spans="1:68" s="5" customFormat="1" ht="30" customHeight="1">
      <c r="A18" s="3">
        <v>13</v>
      </c>
      <c r="B18" s="3">
        <v>1579</v>
      </c>
      <c r="C18" s="3" t="s">
        <v>470</v>
      </c>
      <c r="D18" s="4">
        <v>170000</v>
      </c>
      <c r="E18" s="4">
        <v>170000</v>
      </c>
      <c r="F18" s="4">
        <f t="shared" si="0"/>
        <v>0</v>
      </c>
      <c r="G18" s="4">
        <v>170000</v>
      </c>
      <c r="H18" s="4">
        <v>155741.28</v>
      </c>
      <c r="I18" s="4"/>
      <c r="J18" s="4">
        <v>5137.18</v>
      </c>
      <c r="K18" s="4">
        <f t="shared" si="5"/>
        <v>5137.18</v>
      </c>
      <c r="L18" s="4">
        <f t="shared" si="6"/>
        <v>160878.46</v>
      </c>
      <c r="M18" s="4">
        <f t="shared" si="1"/>
        <v>9121.5400000000081</v>
      </c>
      <c r="N18" s="4"/>
      <c r="O18" s="4">
        <f t="shared" si="7"/>
        <v>0</v>
      </c>
      <c r="P18" s="4">
        <f t="shared" si="8"/>
        <v>0</v>
      </c>
      <c r="Q18" s="4">
        <f t="shared" si="2"/>
        <v>9121.5400000000081</v>
      </c>
      <c r="R18" s="4"/>
      <c r="S18" s="4"/>
      <c r="T18" s="4">
        <f t="shared" si="9"/>
        <v>0</v>
      </c>
      <c r="U18" s="4">
        <f t="shared" si="3"/>
        <v>0</v>
      </c>
      <c r="V18" s="4">
        <f t="shared" si="4"/>
        <v>0</v>
      </c>
      <c r="W18" s="4"/>
      <c r="X18" s="4">
        <f t="shared" si="23"/>
        <v>0</v>
      </c>
      <c r="Y18" s="4"/>
      <c r="Z18" s="4"/>
      <c r="AA18" s="3"/>
      <c r="AB18" s="3"/>
      <c r="AC18" s="3">
        <v>870000</v>
      </c>
      <c r="AD18" s="309"/>
      <c r="AE18" s="489"/>
      <c r="AF18" s="4"/>
      <c r="AG18" s="4"/>
      <c r="AH18" s="4">
        <f t="shared" si="10"/>
        <v>0</v>
      </c>
      <c r="AI18" s="4">
        <f t="shared" si="11"/>
        <v>0</v>
      </c>
      <c r="AJ18" s="19"/>
      <c r="AK18" s="4">
        <f>AI18-AJ18</f>
        <v>0</v>
      </c>
      <c r="AL18" s="4"/>
      <c r="AM18" s="3"/>
      <c r="AN18" s="3"/>
      <c r="AO18" s="172">
        <v>0</v>
      </c>
      <c r="AP18" s="173">
        <v>9122</v>
      </c>
      <c r="AQ18" s="172"/>
      <c r="AR18" s="184"/>
      <c r="AS18" s="173">
        <f t="shared" si="25"/>
        <v>9121.5400000000081</v>
      </c>
      <c r="AT18" s="173">
        <f t="shared" si="12"/>
        <v>9121.5400000000081</v>
      </c>
      <c r="AU18" s="173">
        <f t="shared" si="13"/>
        <v>0</v>
      </c>
      <c r="AV18" s="173">
        <f t="shared" si="14"/>
        <v>0</v>
      </c>
      <c r="AW18" s="173"/>
      <c r="AX18" s="173">
        <f t="shared" si="15"/>
        <v>0</v>
      </c>
      <c r="AY18" s="173"/>
      <c r="AZ18" s="173"/>
      <c r="BA18" s="173"/>
      <c r="BB18" s="173">
        <f t="shared" si="16"/>
        <v>0</v>
      </c>
      <c r="BC18" s="4">
        <f t="shared" si="17"/>
        <v>0</v>
      </c>
      <c r="BD18" s="4"/>
      <c r="BE18" s="4"/>
      <c r="BF18" s="4"/>
      <c r="BG18" s="4"/>
      <c r="BH18" s="173">
        <f t="shared" si="18"/>
        <v>0</v>
      </c>
      <c r="BI18" s="3"/>
      <c r="BJ18" s="4">
        <f t="shared" si="19"/>
        <v>0</v>
      </c>
      <c r="BK18" s="173">
        <f t="shared" si="20"/>
        <v>0</v>
      </c>
      <c r="BL18" s="3"/>
      <c r="BM18" s="4">
        <f t="shared" si="21"/>
        <v>0</v>
      </c>
      <c r="BN18" s="3"/>
      <c r="BO18" s="3"/>
      <c r="BP18" s="3"/>
    </row>
    <row r="19" spans="1:68" s="5" customFormat="1" ht="30" customHeight="1">
      <c r="A19" s="3">
        <v>14</v>
      </c>
      <c r="B19" s="3">
        <v>1598</v>
      </c>
      <c r="C19" s="3" t="s">
        <v>1030</v>
      </c>
      <c r="D19" s="4">
        <v>724500</v>
      </c>
      <c r="E19" s="4">
        <v>724500</v>
      </c>
      <c r="F19" s="4">
        <f t="shared" si="0"/>
        <v>0</v>
      </c>
      <c r="G19" s="4">
        <v>616500</v>
      </c>
      <c r="H19" s="4">
        <v>416147.69</v>
      </c>
      <c r="I19" s="4"/>
      <c r="J19" s="4">
        <v>1304.55</v>
      </c>
      <c r="K19" s="4">
        <f t="shared" si="5"/>
        <v>1304.55</v>
      </c>
      <c r="L19" s="4">
        <f t="shared" si="6"/>
        <v>417452.24</v>
      </c>
      <c r="M19" s="4">
        <f t="shared" si="1"/>
        <v>199047.76</v>
      </c>
      <c r="N19" s="4">
        <v>135000</v>
      </c>
      <c r="O19" s="4">
        <f t="shared" si="7"/>
        <v>108000</v>
      </c>
      <c r="P19" s="4">
        <f t="shared" si="8"/>
        <v>0</v>
      </c>
      <c r="Q19" s="4">
        <f t="shared" si="2"/>
        <v>199047.76</v>
      </c>
      <c r="R19" s="4"/>
      <c r="S19" s="4"/>
      <c r="T19" s="4">
        <f t="shared" si="9"/>
        <v>0</v>
      </c>
      <c r="U19" s="4">
        <f t="shared" si="3"/>
        <v>0</v>
      </c>
      <c r="V19" s="4">
        <f t="shared" si="4"/>
        <v>135000</v>
      </c>
      <c r="W19" s="4"/>
      <c r="X19" s="4">
        <f t="shared" si="23"/>
        <v>27000</v>
      </c>
      <c r="Y19" s="4"/>
      <c r="Z19" s="4"/>
      <c r="AA19" s="4">
        <v>108000</v>
      </c>
      <c r="AB19" s="3" t="s">
        <v>840</v>
      </c>
      <c r="AC19" s="3">
        <v>870000</v>
      </c>
      <c r="AD19" s="309"/>
      <c r="AE19" s="489"/>
      <c r="AF19" s="4">
        <v>27000</v>
      </c>
      <c r="AG19" s="4"/>
      <c r="AH19" s="4">
        <f t="shared" si="10"/>
        <v>27000</v>
      </c>
      <c r="AI19" s="4">
        <f t="shared" si="11"/>
        <v>108000</v>
      </c>
      <c r="AJ19" s="40"/>
      <c r="AK19" s="4">
        <f>AI19-AN19</f>
        <v>0</v>
      </c>
      <c r="AL19" s="4"/>
      <c r="AM19" s="3"/>
      <c r="AN19" s="210">
        <v>108000</v>
      </c>
      <c r="AO19" s="19">
        <v>0</v>
      </c>
      <c r="AP19" s="173">
        <v>50000</v>
      </c>
      <c r="AQ19" s="172" t="s">
        <v>1031</v>
      </c>
      <c r="AR19" s="184"/>
      <c r="AS19" s="173">
        <f>M19-149000</f>
        <v>50047.760000000009</v>
      </c>
      <c r="AT19" s="173">
        <f t="shared" si="12"/>
        <v>50047.760000000009</v>
      </c>
      <c r="AU19" s="173">
        <f t="shared" si="13"/>
        <v>257000</v>
      </c>
      <c r="AV19" s="173">
        <f t="shared" si="14"/>
        <v>-149000</v>
      </c>
      <c r="AW19" s="173"/>
      <c r="AX19" s="173">
        <f t="shared" si="15"/>
        <v>-149000</v>
      </c>
      <c r="AY19" s="173"/>
      <c r="AZ19" s="173"/>
      <c r="BA19" s="173"/>
      <c r="BB19" s="173">
        <f t="shared" si="16"/>
        <v>-149000</v>
      </c>
      <c r="BC19" s="4">
        <f t="shared" si="17"/>
        <v>0</v>
      </c>
      <c r="BD19" s="4">
        <f>-149000--149000</f>
        <v>0</v>
      </c>
      <c r="BE19" s="4"/>
      <c r="BF19" s="4"/>
      <c r="BG19" s="4"/>
      <c r="BH19" s="173">
        <f t="shared" si="18"/>
        <v>0</v>
      </c>
      <c r="BI19" s="3"/>
      <c r="BJ19" s="4">
        <f t="shared" si="19"/>
        <v>0</v>
      </c>
      <c r="BK19" s="173">
        <f t="shared" si="20"/>
        <v>-149000</v>
      </c>
      <c r="BL19" s="3"/>
      <c r="BM19" s="4">
        <f t="shared" si="21"/>
        <v>0</v>
      </c>
      <c r="BN19" s="3"/>
      <c r="BO19" s="3"/>
      <c r="BP19" s="3"/>
    </row>
    <row r="20" spans="1:68" s="5" customFormat="1" ht="30" customHeight="1">
      <c r="A20" s="3">
        <v>15</v>
      </c>
      <c r="B20" s="3">
        <v>1680</v>
      </c>
      <c r="C20" s="3" t="s">
        <v>81</v>
      </c>
      <c r="D20" s="4">
        <v>950000</v>
      </c>
      <c r="E20" s="4">
        <v>950000</v>
      </c>
      <c r="F20" s="4">
        <f t="shared" si="0"/>
        <v>0</v>
      </c>
      <c r="G20" s="4">
        <v>500000</v>
      </c>
      <c r="H20" s="4">
        <v>427578.13</v>
      </c>
      <c r="I20" s="4"/>
      <c r="J20" s="4"/>
      <c r="K20" s="4">
        <f t="shared" si="5"/>
        <v>0</v>
      </c>
      <c r="L20" s="4">
        <f t="shared" si="6"/>
        <v>427578.13</v>
      </c>
      <c r="M20" s="4">
        <f t="shared" si="1"/>
        <v>72421.87</v>
      </c>
      <c r="N20" s="4">
        <v>450000</v>
      </c>
      <c r="O20" s="4">
        <f t="shared" si="7"/>
        <v>450000</v>
      </c>
      <c r="P20" s="4">
        <f t="shared" si="8"/>
        <v>0</v>
      </c>
      <c r="Q20" s="4">
        <f t="shared" si="2"/>
        <v>72421.87</v>
      </c>
      <c r="R20" s="4"/>
      <c r="S20" s="4"/>
      <c r="T20" s="4">
        <f t="shared" si="9"/>
        <v>0</v>
      </c>
      <c r="U20" s="4">
        <f t="shared" si="3"/>
        <v>0</v>
      </c>
      <c r="V20" s="4">
        <f t="shared" si="4"/>
        <v>450000</v>
      </c>
      <c r="W20" s="4"/>
      <c r="X20" s="4">
        <f t="shared" si="23"/>
        <v>450000</v>
      </c>
      <c r="Y20" s="4"/>
      <c r="Z20" s="4"/>
      <c r="AA20" s="3"/>
      <c r="AB20" s="3" t="s">
        <v>843</v>
      </c>
      <c r="AC20" s="3">
        <v>746000</v>
      </c>
      <c r="AD20" s="309"/>
      <c r="AE20" s="489"/>
      <c r="AF20" s="4"/>
      <c r="AG20" s="4"/>
      <c r="AH20" s="4">
        <f t="shared" si="10"/>
        <v>0</v>
      </c>
      <c r="AI20" s="4">
        <f t="shared" si="11"/>
        <v>450000</v>
      </c>
      <c r="AJ20" s="40"/>
      <c r="AK20" s="4">
        <f t="shared" ref="AK20:AK30" si="26">AI20-AJ20</f>
        <v>450000</v>
      </c>
      <c r="AL20" s="184"/>
      <c r="AM20" s="4"/>
      <c r="AN20" s="3"/>
      <c r="AO20" s="40">
        <v>0</v>
      </c>
      <c r="AP20" s="173">
        <v>72422</v>
      </c>
      <c r="AQ20" s="172" t="s">
        <v>1032</v>
      </c>
      <c r="AR20" s="184"/>
      <c r="AS20" s="173">
        <f t="shared" si="25"/>
        <v>72421.87</v>
      </c>
      <c r="AT20" s="173">
        <f t="shared" si="12"/>
        <v>72421.87</v>
      </c>
      <c r="AU20" s="173">
        <f t="shared" si="13"/>
        <v>450000</v>
      </c>
      <c r="AV20" s="173">
        <f t="shared" si="14"/>
        <v>0</v>
      </c>
      <c r="AW20" s="173"/>
      <c r="AX20" s="173">
        <f t="shared" si="15"/>
        <v>0</v>
      </c>
      <c r="AY20" s="173"/>
      <c r="AZ20" s="173"/>
      <c r="BA20" s="173"/>
      <c r="BB20" s="173">
        <f t="shared" si="16"/>
        <v>0</v>
      </c>
      <c r="BC20" s="4">
        <f t="shared" si="17"/>
        <v>0</v>
      </c>
      <c r="BD20" s="4"/>
      <c r="BE20" s="4"/>
      <c r="BF20" s="4"/>
      <c r="BG20" s="4"/>
      <c r="BH20" s="173">
        <f t="shared" si="18"/>
        <v>0</v>
      </c>
      <c r="BI20" s="3"/>
      <c r="BJ20" s="4">
        <f t="shared" si="19"/>
        <v>0</v>
      </c>
      <c r="BK20" s="173">
        <f t="shared" si="20"/>
        <v>0</v>
      </c>
      <c r="BL20" s="3"/>
      <c r="BM20" s="4">
        <f t="shared" si="21"/>
        <v>0</v>
      </c>
      <c r="BN20" s="3"/>
      <c r="BO20" s="3"/>
      <c r="BP20" s="3"/>
    </row>
    <row r="21" spans="1:68" s="5" customFormat="1" ht="30" customHeight="1">
      <c r="A21" s="3">
        <v>16</v>
      </c>
      <c r="B21" s="3">
        <v>1817</v>
      </c>
      <c r="C21" s="3" t="s">
        <v>1033</v>
      </c>
      <c r="D21" s="4">
        <v>872000</v>
      </c>
      <c r="E21" s="4">
        <v>872000</v>
      </c>
      <c r="F21" s="4">
        <f>D21-E21</f>
        <v>0</v>
      </c>
      <c r="G21" s="4">
        <v>790000</v>
      </c>
      <c r="H21" s="4">
        <v>619032.05000000005</v>
      </c>
      <c r="I21" s="4"/>
      <c r="J21" s="4">
        <v>48431.65</v>
      </c>
      <c r="K21" s="4">
        <f t="shared" si="5"/>
        <v>48431.65</v>
      </c>
      <c r="L21" s="4">
        <f t="shared" si="6"/>
        <v>667463.70000000007</v>
      </c>
      <c r="M21" s="4">
        <f t="shared" si="1"/>
        <v>122536.29999999993</v>
      </c>
      <c r="N21" s="4">
        <v>132000</v>
      </c>
      <c r="O21" s="4">
        <f t="shared" si="7"/>
        <v>82000</v>
      </c>
      <c r="P21" s="4">
        <f t="shared" si="8"/>
        <v>0</v>
      </c>
      <c r="Q21" s="4">
        <f t="shared" si="2"/>
        <v>122536.29999999993</v>
      </c>
      <c r="R21" s="4"/>
      <c r="S21" s="4"/>
      <c r="T21" s="4">
        <f t="shared" si="9"/>
        <v>0</v>
      </c>
      <c r="U21" s="4">
        <f t="shared" si="3"/>
        <v>0</v>
      </c>
      <c r="V21" s="4">
        <f t="shared" si="4"/>
        <v>132000</v>
      </c>
      <c r="W21" s="4"/>
      <c r="X21" s="4">
        <f>V21-W21-Z21-AA21</f>
        <v>0</v>
      </c>
      <c r="Y21" s="4"/>
      <c r="Z21" s="4"/>
      <c r="AA21" s="4">
        <v>132000</v>
      </c>
      <c r="AB21" s="3" t="s">
        <v>750</v>
      </c>
      <c r="AC21" s="3">
        <v>810000</v>
      </c>
      <c r="AD21" s="309"/>
      <c r="AE21" s="489"/>
      <c r="AF21" s="4">
        <v>50000</v>
      </c>
      <c r="AG21" s="4"/>
      <c r="AH21" s="4">
        <f t="shared" si="10"/>
        <v>50000</v>
      </c>
      <c r="AI21" s="4">
        <f t="shared" si="11"/>
        <v>82000</v>
      </c>
      <c r="AJ21" s="40"/>
      <c r="AK21" s="4"/>
      <c r="AL21" s="4"/>
      <c r="AM21" s="3"/>
      <c r="AN21" s="4">
        <f>AI21</f>
        <v>82000</v>
      </c>
      <c r="AO21" s="40">
        <v>0</v>
      </c>
      <c r="AP21" s="173">
        <v>122536</v>
      </c>
      <c r="AQ21" s="172" t="s">
        <v>1034</v>
      </c>
      <c r="AR21" s="184"/>
      <c r="AS21" s="173">
        <f>M21</f>
        <v>122536.29999999993</v>
      </c>
      <c r="AT21" s="173">
        <f t="shared" si="12"/>
        <v>122536.29999999993</v>
      </c>
      <c r="AU21" s="173">
        <f t="shared" si="13"/>
        <v>82000</v>
      </c>
      <c r="AV21" s="173">
        <f t="shared" si="14"/>
        <v>0</v>
      </c>
      <c r="AW21" s="173"/>
      <c r="AX21" s="173">
        <f t="shared" si="15"/>
        <v>0</v>
      </c>
      <c r="AY21" s="173"/>
      <c r="AZ21" s="173"/>
      <c r="BA21" s="173"/>
      <c r="BB21" s="173">
        <f t="shared" si="16"/>
        <v>0</v>
      </c>
      <c r="BC21" s="4">
        <f t="shared" si="17"/>
        <v>0</v>
      </c>
      <c r="BD21" s="4"/>
      <c r="BE21" s="4"/>
      <c r="BF21" s="4"/>
      <c r="BG21" s="4"/>
      <c r="BH21" s="173">
        <f t="shared" si="18"/>
        <v>0</v>
      </c>
      <c r="BI21" s="3"/>
      <c r="BJ21" s="4">
        <f t="shared" si="19"/>
        <v>0</v>
      </c>
      <c r="BK21" s="173">
        <f t="shared" si="20"/>
        <v>0</v>
      </c>
      <c r="BL21" s="3"/>
      <c r="BM21" s="4">
        <f t="shared" si="21"/>
        <v>0</v>
      </c>
      <c r="BN21" s="3"/>
      <c r="BO21" s="3"/>
      <c r="BP21" s="3"/>
    </row>
    <row r="22" spans="1:68" s="5" customFormat="1" ht="30" customHeight="1">
      <c r="A22" s="3">
        <v>17</v>
      </c>
      <c r="B22" s="3">
        <v>1831</v>
      </c>
      <c r="C22" s="3" t="s">
        <v>1035</v>
      </c>
      <c r="D22" s="4">
        <v>146059</v>
      </c>
      <c r="E22" s="4">
        <v>146059</v>
      </c>
      <c r="F22" s="4">
        <f t="shared" si="0"/>
        <v>0</v>
      </c>
      <c r="G22" s="4">
        <v>146059</v>
      </c>
      <c r="H22" s="4">
        <v>38025</v>
      </c>
      <c r="I22" s="4"/>
      <c r="J22" s="4"/>
      <c r="K22" s="4">
        <f t="shared" si="5"/>
        <v>0</v>
      </c>
      <c r="L22" s="4">
        <f t="shared" si="6"/>
        <v>38025</v>
      </c>
      <c r="M22" s="4">
        <f t="shared" si="1"/>
        <v>108034</v>
      </c>
      <c r="N22" s="4"/>
      <c r="O22" s="4">
        <f t="shared" si="7"/>
        <v>0</v>
      </c>
      <c r="P22" s="4">
        <f t="shared" si="8"/>
        <v>0</v>
      </c>
      <c r="Q22" s="4">
        <f t="shared" si="2"/>
        <v>108034</v>
      </c>
      <c r="R22" s="4"/>
      <c r="S22" s="4"/>
      <c r="T22" s="4">
        <f t="shared" si="9"/>
        <v>0</v>
      </c>
      <c r="U22" s="4">
        <f t="shared" si="3"/>
        <v>0</v>
      </c>
      <c r="V22" s="4">
        <f t="shared" si="4"/>
        <v>0</v>
      </c>
      <c r="W22" s="4"/>
      <c r="X22" s="4">
        <f t="shared" si="23"/>
        <v>0</v>
      </c>
      <c r="Y22" s="4"/>
      <c r="Z22" s="4"/>
      <c r="AA22" s="3"/>
      <c r="AB22" s="72" t="s">
        <v>828</v>
      </c>
      <c r="AC22" s="3">
        <v>870000</v>
      </c>
      <c r="AD22" s="309"/>
      <c r="AE22" s="489"/>
      <c r="AF22" s="4"/>
      <c r="AG22" s="4"/>
      <c r="AH22" s="4">
        <f t="shared" si="10"/>
        <v>0</v>
      </c>
      <c r="AI22" s="4">
        <f t="shared" si="11"/>
        <v>0</v>
      </c>
      <c r="AJ22" s="19"/>
      <c r="AK22" s="4">
        <f t="shared" si="26"/>
        <v>0</v>
      </c>
      <c r="AL22" s="4"/>
      <c r="AM22" s="3"/>
      <c r="AN22" s="3"/>
      <c r="AO22" s="40">
        <v>0</v>
      </c>
      <c r="AP22" s="173">
        <v>108034</v>
      </c>
      <c r="AQ22" s="172" t="s">
        <v>1036</v>
      </c>
      <c r="AR22" s="184"/>
      <c r="AS22" s="173">
        <f>M22</f>
        <v>108034</v>
      </c>
      <c r="AT22" s="173">
        <f t="shared" si="12"/>
        <v>108034</v>
      </c>
      <c r="AU22" s="173">
        <f t="shared" si="13"/>
        <v>0</v>
      </c>
      <c r="AV22" s="173">
        <f t="shared" si="14"/>
        <v>0</v>
      </c>
      <c r="AW22" s="173"/>
      <c r="AX22" s="173">
        <f t="shared" si="15"/>
        <v>0</v>
      </c>
      <c r="AY22" s="173"/>
      <c r="AZ22" s="173"/>
      <c r="BA22" s="173"/>
      <c r="BB22" s="173">
        <f t="shared" si="16"/>
        <v>0</v>
      </c>
      <c r="BC22" s="4">
        <f t="shared" si="17"/>
        <v>0</v>
      </c>
      <c r="BD22" s="4"/>
      <c r="BE22" s="4"/>
      <c r="BF22" s="4"/>
      <c r="BG22" s="4"/>
      <c r="BH22" s="173">
        <f t="shared" si="18"/>
        <v>0</v>
      </c>
      <c r="BI22" s="3"/>
      <c r="BJ22" s="4">
        <f t="shared" si="19"/>
        <v>0</v>
      </c>
      <c r="BK22" s="173">
        <f t="shared" si="20"/>
        <v>0</v>
      </c>
      <c r="BL22" s="3"/>
      <c r="BM22" s="4">
        <f t="shared" si="21"/>
        <v>0</v>
      </c>
      <c r="BN22" s="3"/>
      <c r="BO22" s="3"/>
      <c r="BP22" s="3"/>
    </row>
    <row r="23" spans="1:68" s="5" customFormat="1" ht="30" customHeight="1">
      <c r="A23" s="3">
        <v>18</v>
      </c>
      <c r="B23" s="3">
        <v>1866</v>
      </c>
      <c r="C23" s="3" t="s">
        <v>150</v>
      </c>
      <c r="D23" s="4">
        <v>300000</v>
      </c>
      <c r="E23" s="4">
        <v>300000</v>
      </c>
      <c r="F23" s="4">
        <f t="shared" si="0"/>
        <v>0</v>
      </c>
      <c r="G23" s="4">
        <v>265000</v>
      </c>
      <c r="H23" s="4">
        <v>184402.4</v>
      </c>
      <c r="I23" s="4"/>
      <c r="J23" s="4">
        <v>20007</v>
      </c>
      <c r="K23" s="4">
        <f t="shared" si="5"/>
        <v>20007</v>
      </c>
      <c r="L23" s="4">
        <f t="shared" si="6"/>
        <v>204409.4</v>
      </c>
      <c r="M23" s="4">
        <f t="shared" si="1"/>
        <v>60590.600000000006</v>
      </c>
      <c r="N23" s="4">
        <v>75000</v>
      </c>
      <c r="O23" s="4">
        <f t="shared" si="7"/>
        <v>35000</v>
      </c>
      <c r="P23" s="4">
        <f t="shared" si="8"/>
        <v>0</v>
      </c>
      <c r="Q23" s="4">
        <f t="shared" si="2"/>
        <v>60590.600000000006</v>
      </c>
      <c r="R23" s="4"/>
      <c r="S23" s="4"/>
      <c r="T23" s="4">
        <f t="shared" si="9"/>
        <v>0</v>
      </c>
      <c r="U23" s="4">
        <f t="shared" si="3"/>
        <v>0</v>
      </c>
      <c r="V23" s="4">
        <f t="shared" si="4"/>
        <v>75000</v>
      </c>
      <c r="W23" s="4"/>
      <c r="X23" s="4">
        <f t="shared" si="23"/>
        <v>75000</v>
      </c>
      <c r="Y23" s="4"/>
      <c r="Z23" s="4"/>
      <c r="AA23" s="3"/>
      <c r="AB23" s="72" t="s">
        <v>431</v>
      </c>
      <c r="AC23" s="3">
        <v>870000</v>
      </c>
      <c r="AD23" s="309"/>
      <c r="AE23" s="489"/>
      <c r="AF23" s="4">
        <v>40000</v>
      </c>
      <c r="AG23" s="4"/>
      <c r="AH23" s="4">
        <f t="shared" si="10"/>
        <v>40000</v>
      </c>
      <c r="AI23" s="4">
        <f t="shared" si="11"/>
        <v>35000</v>
      </c>
      <c r="AJ23" s="40"/>
      <c r="AK23" s="4">
        <f t="shared" si="26"/>
        <v>35000</v>
      </c>
      <c r="AL23" s="4"/>
      <c r="AM23" s="3"/>
      <c r="AN23" s="3"/>
      <c r="AO23" s="40">
        <v>0</v>
      </c>
      <c r="AP23" s="173">
        <v>0</v>
      </c>
      <c r="AQ23" s="172"/>
      <c r="AR23" s="184"/>
      <c r="AS23" s="173">
        <f>M23-60000</f>
        <v>590.60000000000582</v>
      </c>
      <c r="AT23" s="173">
        <f t="shared" si="12"/>
        <v>590.60000000000582</v>
      </c>
      <c r="AU23" s="173">
        <f t="shared" si="13"/>
        <v>95000</v>
      </c>
      <c r="AV23" s="173">
        <f t="shared" si="14"/>
        <v>-60000</v>
      </c>
      <c r="AW23" s="173"/>
      <c r="AX23" s="173">
        <f t="shared" si="15"/>
        <v>-60000</v>
      </c>
      <c r="AY23" s="173"/>
      <c r="AZ23" s="173"/>
      <c r="BA23" s="173"/>
      <c r="BB23" s="173">
        <f t="shared" si="16"/>
        <v>-60000</v>
      </c>
      <c r="BC23" s="4">
        <f t="shared" si="17"/>
        <v>0</v>
      </c>
      <c r="BD23" s="4">
        <v>-60000</v>
      </c>
      <c r="BE23" s="4"/>
      <c r="BF23" s="4"/>
      <c r="BG23" s="4"/>
      <c r="BH23" s="173">
        <f t="shared" si="18"/>
        <v>-60000</v>
      </c>
      <c r="BI23" s="3"/>
      <c r="BJ23" s="4">
        <f t="shared" si="19"/>
        <v>-60000</v>
      </c>
      <c r="BK23" s="173">
        <f t="shared" si="20"/>
        <v>0</v>
      </c>
      <c r="BL23" s="3"/>
      <c r="BM23" s="4">
        <f t="shared" si="21"/>
        <v>-60000</v>
      </c>
      <c r="BN23" s="3"/>
      <c r="BO23" s="3"/>
      <c r="BP23" s="3"/>
    </row>
    <row r="24" spans="1:68" s="5" customFormat="1" ht="30" customHeight="1">
      <c r="A24" s="3">
        <v>19</v>
      </c>
      <c r="B24" s="3">
        <v>1899</v>
      </c>
      <c r="C24" s="3" t="s">
        <v>163</v>
      </c>
      <c r="D24" s="4">
        <v>770000</v>
      </c>
      <c r="E24" s="4">
        <v>770000</v>
      </c>
      <c r="F24" s="4">
        <f t="shared" si="0"/>
        <v>0</v>
      </c>
      <c r="G24" s="4">
        <v>470000</v>
      </c>
      <c r="H24" s="4">
        <v>206952.95</v>
      </c>
      <c r="I24" s="4"/>
      <c r="J24" s="4">
        <v>15678</v>
      </c>
      <c r="K24" s="4">
        <f t="shared" si="5"/>
        <v>15678</v>
      </c>
      <c r="L24" s="4">
        <f t="shared" si="6"/>
        <v>222630.95</v>
      </c>
      <c r="M24" s="4">
        <f t="shared" si="1"/>
        <v>247369.05</v>
      </c>
      <c r="N24" s="4">
        <f>300000-100000</f>
        <v>200000</v>
      </c>
      <c r="O24" s="4">
        <f t="shared" si="7"/>
        <v>200000</v>
      </c>
      <c r="P24" s="4">
        <f t="shared" si="8"/>
        <v>100000.00000000006</v>
      </c>
      <c r="Q24" s="4">
        <f t="shared" si="2"/>
        <v>247369.05</v>
      </c>
      <c r="R24" s="4"/>
      <c r="S24" s="4"/>
      <c r="T24" s="4">
        <f t="shared" si="9"/>
        <v>0</v>
      </c>
      <c r="U24" s="4">
        <f t="shared" si="3"/>
        <v>0</v>
      </c>
      <c r="V24" s="4">
        <f t="shared" si="4"/>
        <v>200000</v>
      </c>
      <c r="W24" s="4"/>
      <c r="X24" s="4">
        <f t="shared" si="23"/>
        <v>200000</v>
      </c>
      <c r="Y24" s="4"/>
      <c r="Z24" s="4"/>
      <c r="AA24" s="3"/>
      <c r="AB24" s="3" t="s">
        <v>432</v>
      </c>
      <c r="AC24" s="3">
        <v>870000</v>
      </c>
      <c r="AD24" s="309"/>
      <c r="AE24" s="489"/>
      <c r="AF24" s="4"/>
      <c r="AG24" s="4"/>
      <c r="AH24" s="4">
        <f t="shared" si="10"/>
        <v>0</v>
      </c>
      <c r="AI24" s="4">
        <f t="shared" si="11"/>
        <v>200000</v>
      </c>
      <c r="AJ24" s="40"/>
      <c r="AK24" s="4">
        <f>AI24-AJ24</f>
        <v>200000</v>
      </c>
      <c r="AL24" s="184"/>
      <c r="AM24" s="4"/>
      <c r="AN24" s="3"/>
      <c r="AO24" s="40">
        <v>0</v>
      </c>
      <c r="AP24" s="173">
        <v>247369</v>
      </c>
      <c r="AQ24" s="309" t="s">
        <v>1037</v>
      </c>
      <c r="AR24" s="184"/>
      <c r="AS24" s="173">
        <f>M24</f>
        <v>247369.05</v>
      </c>
      <c r="AT24" s="173">
        <f t="shared" si="12"/>
        <v>247369.05</v>
      </c>
      <c r="AU24" s="173">
        <f t="shared" si="13"/>
        <v>300000.00000000006</v>
      </c>
      <c r="AV24" s="173">
        <f t="shared" si="14"/>
        <v>0</v>
      </c>
      <c r="AW24" s="173"/>
      <c r="AX24" s="173">
        <f t="shared" si="15"/>
        <v>0</v>
      </c>
      <c r="AY24" s="173"/>
      <c r="AZ24" s="173"/>
      <c r="BA24" s="173"/>
      <c r="BB24" s="173">
        <f t="shared" si="16"/>
        <v>0</v>
      </c>
      <c r="BC24" s="4">
        <f t="shared" si="17"/>
        <v>0</v>
      </c>
      <c r="BD24" s="4"/>
      <c r="BE24" s="4"/>
      <c r="BF24" s="4"/>
      <c r="BG24" s="4"/>
      <c r="BH24" s="173">
        <f t="shared" si="18"/>
        <v>0</v>
      </c>
      <c r="BI24" s="3"/>
      <c r="BJ24" s="4">
        <f t="shared" si="19"/>
        <v>0</v>
      </c>
      <c r="BK24" s="173">
        <f t="shared" si="20"/>
        <v>0</v>
      </c>
      <c r="BL24" s="3"/>
      <c r="BM24" s="4">
        <f t="shared" si="21"/>
        <v>0</v>
      </c>
      <c r="BN24" s="3"/>
      <c r="BO24" s="3"/>
      <c r="BP24" s="3"/>
    </row>
    <row r="25" spans="1:68" s="5" customFormat="1" ht="30" customHeight="1">
      <c r="A25" s="3">
        <v>20</v>
      </c>
      <c r="B25" s="3">
        <v>1922</v>
      </c>
      <c r="C25" s="3" t="s">
        <v>148</v>
      </c>
      <c r="D25" s="4">
        <v>330000</v>
      </c>
      <c r="E25" s="4">
        <v>330000</v>
      </c>
      <c r="F25" s="4">
        <f t="shared" si="0"/>
        <v>0</v>
      </c>
      <c r="G25" s="4">
        <v>200000</v>
      </c>
      <c r="H25" s="4">
        <v>54652.19</v>
      </c>
      <c r="I25" s="4"/>
      <c r="J25" s="4">
        <v>3744</v>
      </c>
      <c r="K25" s="4">
        <f t="shared" si="5"/>
        <v>3744</v>
      </c>
      <c r="L25" s="4">
        <f t="shared" si="6"/>
        <v>58396.19</v>
      </c>
      <c r="M25" s="4">
        <f t="shared" si="1"/>
        <v>141603.81</v>
      </c>
      <c r="N25" s="4"/>
      <c r="O25" s="4">
        <f t="shared" si="7"/>
        <v>0</v>
      </c>
      <c r="P25" s="4">
        <f t="shared" si="8"/>
        <v>130000</v>
      </c>
      <c r="Q25" s="4">
        <f t="shared" si="2"/>
        <v>141603.81</v>
      </c>
      <c r="R25" s="4"/>
      <c r="S25" s="4"/>
      <c r="T25" s="4">
        <f t="shared" si="9"/>
        <v>0</v>
      </c>
      <c r="U25" s="4">
        <f t="shared" si="3"/>
        <v>0</v>
      </c>
      <c r="V25" s="4">
        <f t="shared" si="4"/>
        <v>0</v>
      </c>
      <c r="W25" s="4"/>
      <c r="X25" s="4">
        <f t="shared" si="23"/>
        <v>0</v>
      </c>
      <c r="Y25" s="4"/>
      <c r="Z25" s="4"/>
      <c r="AA25" s="3"/>
      <c r="AB25" s="4"/>
      <c r="AC25" s="3">
        <v>870000</v>
      </c>
      <c r="AD25" s="309"/>
      <c r="AE25" s="489"/>
      <c r="AF25" s="4"/>
      <c r="AG25" s="4"/>
      <c r="AH25" s="4">
        <f t="shared" si="10"/>
        <v>0</v>
      </c>
      <c r="AI25" s="4">
        <f t="shared" si="11"/>
        <v>0</v>
      </c>
      <c r="AJ25" s="19"/>
      <c r="AK25" s="4">
        <f t="shared" si="26"/>
        <v>0</v>
      </c>
      <c r="AL25" s="4"/>
      <c r="AM25" s="3"/>
      <c r="AN25" s="3"/>
      <c r="AO25" s="40">
        <v>0</v>
      </c>
      <c r="AP25" s="173">
        <v>141604</v>
      </c>
      <c r="AQ25" s="184"/>
      <c r="AR25" s="184"/>
      <c r="AS25" s="173">
        <f>M25</f>
        <v>141603.81</v>
      </c>
      <c r="AT25" s="173">
        <f t="shared" si="12"/>
        <v>141603.81</v>
      </c>
      <c r="AU25" s="173">
        <f t="shared" si="13"/>
        <v>130000</v>
      </c>
      <c r="AV25" s="173">
        <f t="shared" si="14"/>
        <v>0</v>
      </c>
      <c r="AW25" s="173"/>
      <c r="AX25" s="173">
        <f t="shared" si="15"/>
        <v>0</v>
      </c>
      <c r="AY25" s="173"/>
      <c r="AZ25" s="173"/>
      <c r="BA25" s="173"/>
      <c r="BB25" s="173">
        <f t="shared" si="16"/>
        <v>0</v>
      </c>
      <c r="BC25" s="4">
        <f t="shared" si="17"/>
        <v>0</v>
      </c>
      <c r="BD25" s="4"/>
      <c r="BE25" s="4"/>
      <c r="BF25" s="4"/>
      <c r="BG25" s="4"/>
      <c r="BH25" s="173">
        <f t="shared" si="18"/>
        <v>0</v>
      </c>
      <c r="BI25" s="3"/>
      <c r="BJ25" s="4">
        <f t="shared" si="19"/>
        <v>0</v>
      </c>
      <c r="BK25" s="173">
        <f t="shared" si="20"/>
        <v>0</v>
      </c>
      <c r="BL25" s="3"/>
      <c r="BM25" s="4">
        <f t="shared" si="21"/>
        <v>0</v>
      </c>
      <c r="BN25" s="3"/>
      <c r="BO25" s="3"/>
      <c r="BP25" s="3"/>
    </row>
    <row r="26" spans="1:68" s="5" customFormat="1" ht="30" customHeight="1">
      <c r="A26" s="3">
        <v>21</v>
      </c>
      <c r="B26" s="3">
        <v>1971</v>
      </c>
      <c r="C26" s="3" t="s">
        <v>1578</v>
      </c>
      <c r="D26" s="4">
        <v>500000</v>
      </c>
      <c r="E26" s="4">
        <v>500000</v>
      </c>
      <c r="F26" s="4">
        <f t="shared" si="0"/>
        <v>0</v>
      </c>
      <c r="G26" s="4">
        <v>500000</v>
      </c>
      <c r="H26" s="4">
        <v>373405.17</v>
      </c>
      <c r="I26" s="4"/>
      <c r="J26" s="4">
        <v>112430.44</v>
      </c>
      <c r="K26" s="4">
        <f t="shared" si="5"/>
        <v>112430.44</v>
      </c>
      <c r="L26" s="4">
        <f t="shared" si="6"/>
        <v>485835.61</v>
      </c>
      <c r="M26" s="4">
        <f t="shared" si="1"/>
        <v>14164.390000000014</v>
      </c>
      <c r="N26" s="4"/>
      <c r="O26" s="4">
        <f t="shared" si="7"/>
        <v>0</v>
      </c>
      <c r="P26" s="4">
        <f t="shared" si="8"/>
        <v>0</v>
      </c>
      <c r="Q26" s="4">
        <f t="shared" si="2"/>
        <v>14164.390000000014</v>
      </c>
      <c r="R26" s="4"/>
      <c r="S26" s="4"/>
      <c r="T26" s="4">
        <f t="shared" si="9"/>
        <v>0</v>
      </c>
      <c r="U26" s="4">
        <f t="shared" si="3"/>
        <v>0</v>
      </c>
      <c r="V26" s="4">
        <f t="shared" si="4"/>
        <v>0</v>
      </c>
      <c r="W26" s="4"/>
      <c r="X26" s="4">
        <f t="shared" si="23"/>
        <v>0</v>
      </c>
      <c r="Y26" s="4"/>
      <c r="Z26" s="4"/>
      <c r="AA26" s="3"/>
      <c r="AB26" s="281" t="s">
        <v>751</v>
      </c>
      <c r="AC26" s="3">
        <v>746000</v>
      </c>
      <c r="AD26" s="309"/>
      <c r="AE26" s="489"/>
      <c r="AF26" s="4"/>
      <c r="AG26" s="4"/>
      <c r="AH26" s="4">
        <f t="shared" si="10"/>
        <v>0</v>
      </c>
      <c r="AI26" s="4">
        <f t="shared" si="11"/>
        <v>0</v>
      </c>
      <c r="AJ26" s="19"/>
      <c r="AK26" s="4">
        <f t="shared" si="26"/>
        <v>0</v>
      </c>
      <c r="AL26" s="184"/>
      <c r="AM26" s="4"/>
      <c r="AN26" s="3"/>
      <c r="AO26" s="40">
        <v>0</v>
      </c>
      <c r="AP26" s="173">
        <v>14164</v>
      </c>
      <c r="AQ26" s="184"/>
      <c r="AR26" s="184"/>
      <c r="AS26" s="173">
        <f>M26</f>
        <v>14164.390000000014</v>
      </c>
      <c r="AT26" s="173">
        <f t="shared" si="12"/>
        <v>14164.390000000014</v>
      </c>
      <c r="AU26" s="173">
        <f t="shared" si="13"/>
        <v>0</v>
      </c>
      <c r="AV26" s="173">
        <f t="shared" si="14"/>
        <v>0</v>
      </c>
      <c r="AW26" s="173"/>
      <c r="AX26" s="173">
        <f t="shared" si="15"/>
        <v>0</v>
      </c>
      <c r="AY26" s="173"/>
      <c r="AZ26" s="173"/>
      <c r="BA26" s="173"/>
      <c r="BB26" s="173">
        <f t="shared" si="16"/>
        <v>0</v>
      </c>
      <c r="BC26" s="4">
        <f t="shared" si="17"/>
        <v>0</v>
      </c>
      <c r="BD26" s="4"/>
      <c r="BE26" s="4"/>
      <c r="BF26" s="4"/>
      <c r="BG26" s="4"/>
      <c r="BH26" s="173">
        <f t="shared" si="18"/>
        <v>0</v>
      </c>
      <c r="BI26" s="3"/>
      <c r="BJ26" s="4">
        <f t="shared" si="19"/>
        <v>0</v>
      </c>
      <c r="BK26" s="173">
        <f t="shared" si="20"/>
        <v>0</v>
      </c>
      <c r="BL26" s="3"/>
      <c r="BM26" s="4">
        <f t="shared" si="21"/>
        <v>0</v>
      </c>
      <c r="BN26" s="3"/>
      <c r="BO26" s="3"/>
      <c r="BP26" s="3"/>
    </row>
    <row r="27" spans="1:68" s="5" customFormat="1" ht="30" customHeight="1">
      <c r="A27" s="3">
        <v>22</v>
      </c>
      <c r="B27" s="3">
        <v>1973</v>
      </c>
      <c r="C27" s="3" t="s">
        <v>164</v>
      </c>
      <c r="D27" s="4">
        <v>1800000</v>
      </c>
      <c r="E27" s="4">
        <v>1800000</v>
      </c>
      <c r="F27" s="4">
        <f t="shared" si="0"/>
        <v>0</v>
      </c>
      <c r="G27" s="4">
        <v>900000</v>
      </c>
      <c r="H27" s="4">
        <v>555941.91</v>
      </c>
      <c r="I27" s="4"/>
      <c r="J27" s="4">
        <v>33462</v>
      </c>
      <c r="K27" s="4">
        <f t="shared" si="5"/>
        <v>33462</v>
      </c>
      <c r="L27" s="4">
        <f t="shared" si="6"/>
        <v>589403.91</v>
      </c>
      <c r="M27" s="4">
        <f t="shared" si="1"/>
        <v>310596.08999999997</v>
      </c>
      <c r="N27" s="4">
        <f>200000-100000</f>
        <v>100000</v>
      </c>
      <c r="O27" s="4">
        <f t="shared" si="7"/>
        <v>100000</v>
      </c>
      <c r="P27" s="4">
        <f t="shared" si="8"/>
        <v>799999.99999999988</v>
      </c>
      <c r="Q27" s="4">
        <f t="shared" si="2"/>
        <v>310596.08999999997</v>
      </c>
      <c r="R27" s="4"/>
      <c r="S27" s="4"/>
      <c r="T27" s="4">
        <f t="shared" si="9"/>
        <v>0</v>
      </c>
      <c r="U27" s="4">
        <f t="shared" si="3"/>
        <v>0</v>
      </c>
      <c r="V27" s="4">
        <f t="shared" si="4"/>
        <v>100000</v>
      </c>
      <c r="W27" s="4"/>
      <c r="X27" s="4">
        <f t="shared" si="23"/>
        <v>100000</v>
      </c>
      <c r="Y27" s="4"/>
      <c r="Z27" s="4"/>
      <c r="AA27" s="3"/>
      <c r="AB27" s="3" t="s">
        <v>564</v>
      </c>
      <c r="AC27" s="3">
        <v>742000</v>
      </c>
      <c r="AD27" s="309"/>
      <c r="AE27" s="489"/>
      <c r="AF27" s="4"/>
      <c r="AG27" s="4"/>
      <c r="AH27" s="4">
        <f t="shared" si="10"/>
        <v>0</v>
      </c>
      <c r="AI27" s="4">
        <f t="shared" si="11"/>
        <v>100000</v>
      </c>
      <c r="AJ27" s="40"/>
      <c r="AK27" s="4">
        <f t="shared" si="26"/>
        <v>100000</v>
      </c>
      <c r="AL27" s="184"/>
      <c r="AM27" s="4"/>
      <c r="AN27" s="3"/>
      <c r="AO27" s="40">
        <v>0</v>
      </c>
      <c r="AP27" s="173">
        <v>310596</v>
      </c>
      <c r="AQ27" s="184"/>
      <c r="AR27" s="184"/>
      <c r="AS27" s="173">
        <f>M27</f>
        <v>310596.08999999997</v>
      </c>
      <c r="AT27" s="173">
        <f t="shared" si="12"/>
        <v>310596.08999999997</v>
      </c>
      <c r="AU27" s="173">
        <f t="shared" si="13"/>
        <v>899999.99999999988</v>
      </c>
      <c r="AV27" s="173">
        <f t="shared" si="14"/>
        <v>0</v>
      </c>
      <c r="AW27" s="173"/>
      <c r="AX27" s="173">
        <f t="shared" si="15"/>
        <v>0</v>
      </c>
      <c r="AY27" s="173"/>
      <c r="AZ27" s="173"/>
      <c r="BA27" s="173"/>
      <c r="BB27" s="173">
        <f t="shared" si="16"/>
        <v>0</v>
      </c>
      <c r="BC27" s="4">
        <f t="shared" si="17"/>
        <v>0</v>
      </c>
      <c r="BD27" s="4"/>
      <c r="BE27" s="4"/>
      <c r="BF27" s="4"/>
      <c r="BG27" s="4"/>
      <c r="BH27" s="173">
        <f t="shared" si="18"/>
        <v>0</v>
      </c>
      <c r="BI27" s="3"/>
      <c r="BJ27" s="4">
        <f t="shared" si="19"/>
        <v>0</v>
      </c>
      <c r="BK27" s="173">
        <f t="shared" si="20"/>
        <v>0</v>
      </c>
      <c r="BL27" s="3"/>
      <c r="BM27" s="4">
        <f t="shared" si="21"/>
        <v>0</v>
      </c>
      <c r="BN27" s="3"/>
      <c r="BO27" s="3"/>
      <c r="BP27" s="3"/>
    </row>
    <row r="28" spans="1:68" s="5" customFormat="1" ht="30" customHeight="1">
      <c r="A28" s="3">
        <v>23</v>
      </c>
      <c r="B28" s="3">
        <v>1989</v>
      </c>
      <c r="C28" s="3" t="s">
        <v>561</v>
      </c>
      <c r="D28" s="4">
        <v>860000</v>
      </c>
      <c r="E28" s="4">
        <v>860000</v>
      </c>
      <c r="F28" s="4">
        <f t="shared" si="0"/>
        <v>0</v>
      </c>
      <c r="G28" s="4">
        <v>860000</v>
      </c>
      <c r="H28" s="4">
        <v>542461.30000000005</v>
      </c>
      <c r="I28" s="4"/>
      <c r="J28" s="4">
        <v>26085.74</v>
      </c>
      <c r="K28" s="4">
        <f t="shared" si="5"/>
        <v>26085.74</v>
      </c>
      <c r="L28" s="4">
        <f t="shared" si="6"/>
        <v>568547.04</v>
      </c>
      <c r="M28" s="4">
        <f t="shared" si="1"/>
        <v>291452.95999999996</v>
      </c>
      <c r="N28" s="4"/>
      <c r="O28" s="4">
        <f t="shared" si="7"/>
        <v>0</v>
      </c>
      <c r="P28" s="4">
        <f t="shared" si="8"/>
        <v>0</v>
      </c>
      <c r="Q28" s="4">
        <f t="shared" si="2"/>
        <v>291452.95999999996</v>
      </c>
      <c r="R28" s="4"/>
      <c r="S28" s="4"/>
      <c r="T28" s="4">
        <f t="shared" si="9"/>
        <v>0</v>
      </c>
      <c r="U28" s="4">
        <f t="shared" si="3"/>
        <v>0</v>
      </c>
      <c r="V28" s="4">
        <f t="shared" si="4"/>
        <v>0</v>
      </c>
      <c r="W28" s="4">
        <f>V28-X28-Y28-Z28-AA28</f>
        <v>0</v>
      </c>
      <c r="X28" s="4"/>
      <c r="Y28" s="4"/>
      <c r="Z28" s="4"/>
      <c r="AA28" s="3"/>
      <c r="AB28" s="72" t="s">
        <v>752</v>
      </c>
      <c r="AC28" s="3">
        <v>746000</v>
      </c>
      <c r="AD28" s="309"/>
      <c r="AE28" s="489"/>
      <c r="AF28" s="4"/>
      <c r="AG28" s="4"/>
      <c r="AH28" s="4">
        <f t="shared" si="10"/>
        <v>0</v>
      </c>
      <c r="AI28" s="4">
        <f t="shared" si="11"/>
        <v>0</v>
      </c>
      <c r="AJ28" s="19"/>
      <c r="AK28" s="4">
        <f>AI28-AJ28</f>
        <v>0</v>
      </c>
      <c r="AL28" s="184"/>
      <c r="AM28" s="4"/>
      <c r="AN28" s="3"/>
      <c r="AO28" s="172">
        <v>0</v>
      </c>
      <c r="AP28" s="173">
        <v>0</v>
      </c>
      <c r="AQ28" s="184"/>
      <c r="AR28" s="184"/>
      <c r="AS28" s="173">
        <f>M28-290000</f>
        <v>1452.9599999999627</v>
      </c>
      <c r="AT28" s="173">
        <f t="shared" si="12"/>
        <v>1452.9599999999627</v>
      </c>
      <c r="AU28" s="173">
        <f t="shared" si="13"/>
        <v>290000</v>
      </c>
      <c r="AV28" s="173">
        <f t="shared" si="14"/>
        <v>-290000</v>
      </c>
      <c r="AW28" s="173">
        <v>-290000</v>
      </c>
      <c r="AX28" s="173">
        <f t="shared" si="15"/>
        <v>0</v>
      </c>
      <c r="AY28" s="173"/>
      <c r="AZ28" s="173"/>
      <c r="BA28" s="173"/>
      <c r="BB28" s="173">
        <f t="shared" si="16"/>
        <v>-290000</v>
      </c>
      <c r="BC28" s="4">
        <f t="shared" si="17"/>
        <v>0</v>
      </c>
      <c r="BD28" s="4">
        <v>-290000</v>
      </c>
      <c r="BE28" s="4"/>
      <c r="BF28" s="4"/>
      <c r="BG28" s="4"/>
      <c r="BH28" s="173">
        <f t="shared" si="18"/>
        <v>-290000</v>
      </c>
      <c r="BI28" s="3"/>
      <c r="BJ28" s="4">
        <f t="shared" si="19"/>
        <v>-290000</v>
      </c>
      <c r="BK28" s="173">
        <f t="shared" si="20"/>
        <v>0</v>
      </c>
      <c r="BL28" s="4">
        <v>-290000</v>
      </c>
      <c r="BM28" s="4">
        <f t="shared" si="21"/>
        <v>0</v>
      </c>
      <c r="BN28" s="3"/>
      <c r="BO28" s="3"/>
      <c r="BP28" s="3"/>
    </row>
    <row r="29" spans="1:68" s="5" customFormat="1" ht="30" customHeight="1">
      <c r="A29" s="3">
        <v>24</v>
      </c>
      <c r="B29" s="3">
        <v>2035</v>
      </c>
      <c r="C29" s="3" t="s">
        <v>191</v>
      </c>
      <c r="D29" s="4">
        <v>953000</v>
      </c>
      <c r="E29" s="4">
        <v>953000</v>
      </c>
      <c r="F29" s="4">
        <f t="shared" si="0"/>
        <v>0</v>
      </c>
      <c r="G29" s="4">
        <v>953000</v>
      </c>
      <c r="H29" s="4">
        <v>738784.9</v>
      </c>
      <c r="I29" s="4"/>
      <c r="J29" s="4">
        <v>15714.31</v>
      </c>
      <c r="K29" s="4">
        <f t="shared" si="5"/>
        <v>15714.31</v>
      </c>
      <c r="L29" s="4">
        <f t="shared" si="6"/>
        <v>754499.21000000008</v>
      </c>
      <c r="M29" s="4">
        <f t="shared" si="1"/>
        <v>198500.78999999992</v>
      </c>
      <c r="N29" s="4"/>
      <c r="O29" s="4">
        <f t="shared" si="7"/>
        <v>0</v>
      </c>
      <c r="P29" s="4">
        <f t="shared" si="8"/>
        <v>0</v>
      </c>
      <c r="Q29" s="4">
        <f t="shared" si="2"/>
        <v>198500.78999999992</v>
      </c>
      <c r="R29" s="4"/>
      <c r="S29" s="4"/>
      <c r="T29" s="4">
        <f t="shared" si="9"/>
        <v>0</v>
      </c>
      <c r="U29" s="4">
        <f t="shared" si="3"/>
        <v>0</v>
      </c>
      <c r="V29" s="4">
        <f t="shared" si="4"/>
        <v>0</v>
      </c>
      <c r="W29" s="4"/>
      <c r="X29" s="4">
        <f t="shared" si="23"/>
        <v>0</v>
      </c>
      <c r="Y29" s="4"/>
      <c r="Z29" s="4"/>
      <c r="AA29" s="3"/>
      <c r="AB29" s="3"/>
      <c r="AC29" s="3">
        <v>746000</v>
      </c>
      <c r="AD29" s="309"/>
      <c r="AE29" s="489"/>
      <c r="AF29" s="4"/>
      <c r="AG29" s="4"/>
      <c r="AH29" s="4">
        <f t="shared" si="10"/>
        <v>0</v>
      </c>
      <c r="AI29" s="4">
        <f t="shared" si="11"/>
        <v>0</v>
      </c>
      <c r="AJ29" s="19"/>
      <c r="AK29" s="4">
        <f t="shared" si="26"/>
        <v>0</v>
      </c>
      <c r="AL29" s="184"/>
      <c r="AM29" s="4"/>
      <c r="AN29" s="4"/>
      <c r="AO29" s="172">
        <v>0</v>
      </c>
      <c r="AP29" s="173">
        <v>0</v>
      </c>
      <c r="AQ29" s="184"/>
      <c r="AR29" s="184"/>
      <c r="AS29" s="173">
        <f>M29-190000</f>
        <v>8500.7899999999208</v>
      </c>
      <c r="AT29" s="173">
        <f t="shared" si="12"/>
        <v>8500.7899999999208</v>
      </c>
      <c r="AU29" s="173">
        <f t="shared" si="13"/>
        <v>190000</v>
      </c>
      <c r="AV29" s="173">
        <f t="shared" si="14"/>
        <v>-190000</v>
      </c>
      <c r="AW29" s="173">
        <v>-190000</v>
      </c>
      <c r="AX29" s="173">
        <f t="shared" si="15"/>
        <v>0</v>
      </c>
      <c r="AY29" s="173"/>
      <c r="AZ29" s="173"/>
      <c r="BA29" s="173"/>
      <c r="BB29" s="173">
        <f t="shared" si="16"/>
        <v>-190000</v>
      </c>
      <c r="BC29" s="4">
        <f t="shared" si="17"/>
        <v>0</v>
      </c>
      <c r="BD29" s="4">
        <v>-190000</v>
      </c>
      <c r="BE29" s="4"/>
      <c r="BF29" s="4"/>
      <c r="BG29" s="4"/>
      <c r="BH29" s="173">
        <f t="shared" si="18"/>
        <v>-190000</v>
      </c>
      <c r="BI29" s="3"/>
      <c r="BJ29" s="4">
        <f t="shared" si="19"/>
        <v>-190000</v>
      </c>
      <c r="BK29" s="173">
        <f t="shared" si="20"/>
        <v>0</v>
      </c>
      <c r="BL29" s="4">
        <v>-190000</v>
      </c>
      <c r="BM29" s="4">
        <f t="shared" si="21"/>
        <v>0</v>
      </c>
      <c r="BN29" s="3"/>
      <c r="BO29" s="3"/>
      <c r="BP29" s="3"/>
    </row>
    <row r="30" spans="1:68" s="5" customFormat="1" ht="30" customHeight="1">
      <c r="A30" s="3">
        <v>25</v>
      </c>
      <c r="B30" s="3">
        <v>2036</v>
      </c>
      <c r="C30" s="3" t="s">
        <v>433</v>
      </c>
      <c r="D30" s="4">
        <v>1120000</v>
      </c>
      <c r="E30" s="4">
        <v>1120000</v>
      </c>
      <c r="F30" s="4">
        <f t="shared" si="0"/>
        <v>0</v>
      </c>
      <c r="G30" s="4">
        <v>1120000</v>
      </c>
      <c r="H30" s="4">
        <v>549990.21</v>
      </c>
      <c r="I30" s="4"/>
      <c r="J30" s="4">
        <v>570000</v>
      </c>
      <c r="K30" s="4">
        <f t="shared" si="5"/>
        <v>570000</v>
      </c>
      <c r="L30" s="4">
        <f t="shared" si="6"/>
        <v>1119990.21</v>
      </c>
      <c r="M30" s="4">
        <f t="shared" si="1"/>
        <v>9.7900000000372529</v>
      </c>
      <c r="N30" s="4"/>
      <c r="O30" s="4">
        <f t="shared" si="7"/>
        <v>0</v>
      </c>
      <c r="P30" s="4">
        <f t="shared" si="8"/>
        <v>0</v>
      </c>
      <c r="Q30" s="4">
        <f t="shared" si="2"/>
        <v>9.7900000000372529</v>
      </c>
      <c r="R30" s="4"/>
      <c r="S30" s="4"/>
      <c r="T30" s="4">
        <f t="shared" si="9"/>
        <v>0</v>
      </c>
      <c r="U30" s="4">
        <f t="shared" si="3"/>
        <v>0</v>
      </c>
      <c r="V30" s="4">
        <f t="shared" si="4"/>
        <v>0</v>
      </c>
      <c r="W30" s="4">
        <f>V30-X30-Y30-Z30-AA30</f>
        <v>0</v>
      </c>
      <c r="X30" s="4"/>
      <c r="Y30" s="4"/>
      <c r="Z30" s="4"/>
      <c r="AA30" s="3"/>
      <c r="AB30" s="3" t="s">
        <v>753</v>
      </c>
      <c r="AC30" s="3">
        <v>810000</v>
      </c>
      <c r="AD30" s="309"/>
      <c r="AE30" s="489"/>
      <c r="AF30" s="4"/>
      <c r="AG30" s="4"/>
      <c r="AH30" s="4">
        <f t="shared" si="10"/>
        <v>0</v>
      </c>
      <c r="AI30" s="4">
        <f t="shared" si="11"/>
        <v>0</v>
      </c>
      <c r="AJ30" s="19"/>
      <c r="AK30" s="4">
        <f t="shared" si="26"/>
        <v>0</v>
      </c>
      <c r="AL30" s="184"/>
      <c r="AM30" s="4"/>
      <c r="AN30" s="4"/>
      <c r="AO30" s="172">
        <v>0</v>
      </c>
      <c r="AP30" s="173">
        <v>0</v>
      </c>
      <c r="AQ30" s="184"/>
      <c r="AR30" s="184"/>
      <c r="AS30" s="173">
        <f>M30</f>
        <v>9.7900000000372529</v>
      </c>
      <c r="AT30" s="173">
        <f t="shared" si="12"/>
        <v>9.7900000000372529</v>
      </c>
      <c r="AU30" s="173">
        <f t="shared" si="13"/>
        <v>0</v>
      </c>
      <c r="AV30" s="173">
        <f t="shared" si="14"/>
        <v>0</v>
      </c>
      <c r="AW30" s="173"/>
      <c r="AX30" s="173">
        <f t="shared" si="15"/>
        <v>0</v>
      </c>
      <c r="AY30" s="173"/>
      <c r="AZ30" s="173"/>
      <c r="BA30" s="173"/>
      <c r="BB30" s="173">
        <f t="shared" si="16"/>
        <v>0</v>
      </c>
      <c r="BC30" s="4">
        <f t="shared" si="17"/>
        <v>0</v>
      </c>
      <c r="BD30" s="4"/>
      <c r="BE30" s="4"/>
      <c r="BF30" s="4"/>
      <c r="BG30" s="4"/>
      <c r="BH30" s="173">
        <f t="shared" si="18"/>
        <v>0</v>
      </c>
      <c r="BI30" s="3"/>
      <c r="BJ30" s="4">
        <f t="shared" si="19"/>
        <v>0</v>
      </c>
      <c r="BK30" s="173">
        <f t="shared" si="20"/>
        <v>0</v>
      </c>
      <c r="BL30" s="4"/>
      <c r="BM30" s="4">
        <f t="shared" si="21"/>
        <v>0</v>
      </c>
      <c r="BN30" s="3"/>
      <c r="BO30" s="3"/>
      <c r="BP30" s="3"/>
    </row>
    <row r="31" spans="1:68" s="5" customFormat="1" ht="30" customHeight="1">
      <c r="A31" s="3">
        <v>26</v>
      </c>
      <c r="B31" s="3">
        <v>2037</v>
      </c>
      <c r="C31" s="3" t="s">
        <v>641</v>
      </c>
      <c r="D31" s="4">
        <v>5000000</v>
      </c>
      <c r="E31" s="4">
        <v>5000000</v>
      </c>
      <c r="F31" s="4">
        <f t="shared" si="0"/>
        <v>0</v>
      </c>
      <c r="G31" s="4">
        <v>1000000</v>
      </c>
      <c r="H31" s="4">
        <v>538657.84</v>
      </c>
      <c r="I31" s="4"/>
      <c r="J31" s="4">
        <v>50310</v>
      </c>
      <c r="K31" s="4">
        <f t="shared" si="5"/>
        <v>50310</v>
      </c>
      <c r="L31" s="4">
        <f t="shared" si="6"/>
        <v>588967.84</v>
      </c>
      <c r="M31" s="4">
        <f t="shared" si="1"/>
        <v>411032.16000000003</v>
      </c>
      <c r="N31" s="4">
        <v>200000</v>
      </c>
      <c r="O31" s="4">
        <f t="shared" si="7"/>
        <v>200000</v>
      </c>
      <c r="P31" s="4">
        <f t="shared" si="8"/>
        <v>3800000</v>
      </c>
      <c r="Q31" s="4">
        <f t="shared" si="2"/>
        <v>411032.16000000003</v>
      </c>
      <c r="R31" s="4"/>
      <c r="S31" s="4"/>
      <c r="T31" s="4">
        <f t="shared" si="9"/>
        <v>0</v>
      </c>
      <c r="U31" s="4">
        <f t="shared" si="3"/>
        <v>0</v>
      </c>
      <c r="V31" s="4">
        <f t="shared" si="4"/>
        <v>200000</v>
      </c>
      <c r="W31" s="4">
        <f>V31-X31-Y31-Z31-AA31</f>
        <v>200000</v>
      </c>
      <c r="X31" s="4"/>
      <c r="Y31" s="4"/>
      <c r="Z31" s="4"/>
      <c r="AA31" s="3"/>
      <c r="AB31" s="3" t="s">
        <v>434</v>
      </c>
      <c r="AC31" s="3">
        <v>870000</v>
      </c>
      <c r="AD31" s="309"/>
      <c r="AE31" s="489"/>
      <c r="AF31" s="4"/>
      <c r="AG31" s="4"/>
      <c r="AH31" s="4">
        <f t="shared" si="10"/>
        <v>0</v>
      </c>
      <c r="AI31" s="4">
        <f t="shared" si="11"/>
        <v>200000</v>
      </c>
      <c r="AJ31" s="4">
        <f>AI31</f>
        <v>200000</v>
      </c>
      <c r="AK31" s="4"/>
      <c r="AL31" s="184"/>
      <c r="AM31" s="4"/>
      <c r="AN31" s="3"/>
      <c r="AO31" s="172">
        <v>0</v>
      </c>
      <c r="AP31" s="173">
        <v>200000</v>
      </c>
      <c r="AQ31" s="184"/>
      <c r="AR31" s="184"/>
      <c r="AS31" s="173">
        <f>M31-200000</f>
        <v>211032.16000000003</v>
      </c>
      <c r="AT31" s="173">
        <f t="shared" si="12"/>
        <v>211032.16000000003</v>
      </c>
      <c r="AU31" s="173">
        <f t="shared" si="13"/>
        <v>4200000</v>
      </c>
      <c r="AV31" s="173">
        <f t="shared" si="14"/>
        <v>-200000</v>
      </c>
      <c r="AW31" s="173">
        <v>-200000</v>
      </c>
      <c r="AX31" s="173">
        <f t="shared" si="15"/>
        <v>0</v>
      </c>
      <c r="AY31" s="173"/>
      <c r="AZ31" s="173"/>
      <c r="BA31" s="173"/>
      <c r="BB31" s="173">
        <f t="shared" si="16"/>
        <v>-200000</v>
      </c>
      <c r="BC31" s="4">
        <f t="shared" si="17"/>
        <v>0</v>
      </c>
      <c r="BD31" s="4">
        <v>-200000</v>
      </c>
      <c r="BE31" s="4"/>
      <c r="BF31" s="4"/>
      <c r="BG31" s="4"/>
      <c r="BH31" s="173">
        <f t="shared" si="18"/>
        <v>-200000</v>
      </c>
      <c r="BI31" s="3"/>
      <c r="BJ31" s="4">
        <f t="shared" si="19"/>
        <v>-200000</v>
      </c>
      <c r="BK31" s="173">
        <f t="shared" si="20"/>
        <v>0</v>
      </c>
      <c r="BL31" s="4">
        <v>-200000</v>
      </c>
      <c r="BM31" s="4">
        <f t="shared" si="21"/>
        <v>0</v>
      </c>
      <c r="BN31" s="3"/>
      <c r="BO31" s="3"/>
      <c r="BP31" s="3"/>
    </row>
    <row r="32" spans="1:68" s="5" customFormat="1" ht="30" customHeight="1">
      <c r="A32" s="3">
        <v>27</v>
      </c>
      <c r="B32" s="3">
        <v>2038</v>
      </c>
      <c r="C32" s="3" t="s">
        <v>754</v>
      </c>
      <c r="D32" s="4">
        <v>3750000</v>
      </c>
      <c r="E32" s="4">
        <v>3750000</v>
      </c>
      <c r="F32" s="4">
        <f t="shared" si="0"/>
        <v>0</v>
      </c>
      <c r="G32" s="4">
        <v>3000000</v>
      </c>
      <c r="H32" s="4">
        <v>2122420.6800000002</v>
      </c>
      <c r="I32" s="4"/>
      <c r="J32" s="4">
        <v>107053.45</v>
      </c>
      <c r="K32" s="4">
        <f t="shared" si="5"/>
        <v>107053.45</v>
      </c>
      <c r="L32" s="4">
        <f t="shared" si="6"/>
        <v>2229474.1300000004</v>
      </c>
      <c r="M32" s="4">
        <f t="shared" si="1"/>
        <v>770525.86999999965</v>
      </c>
      <c r="N32" s="4">
        <f>1500000-300000</f>
        <v>1200000</v>
      </c>
      <c r="O32" s="4">
        <f t="shared" si="7"/>
        <v>450000</v>
      </c>
      <c r="P32" s="4">
        <f t="shared" si="8"/>
        <v>300000</v>
      </c>
      <c r="Q32" s="4">
        <f t="shared" si="2"/>
        <v>770525.86999999965</v>
      </c>
      <c r="R32" s="4"/>
      <c r="S32" s="4"/>
      <c r="T32" s="4">
        <f t="shared" si="9"/>
        <v>0</v>
      </c>
      <c r="U32" s="4">
        <f t="shared" si="3"/>
        <v>0</v>
      </c>
      <c r="V32" s="4">
        <f t="shared" si="4"/>
        <v>1200000</v>
      </c>
      <c r="W32" s="4">
        <f>V32-X32-Y32-Z32-AA32</f>
        <v>1200000</v>
      </c>
      <c r="X32" s="4"/>
      <c r="Y32" s="4"/>
      <c r="Z32" s="4"/>
      <c r="AA32" s="3"/>
      <c r="AB32" s="3" t="s">
        <v>841</v>
      </c>
      <c r="AC32" s="3">
        <v>810000</v>
      </c>
      <c r="AD32" s="309"/>
      <c r="AE32" s="489"/>
      <c r="AF32" s="4">
        <v>750000</v>
      </c>
      <c r="AG32" s="4"/>
      <c r="AH32" s="4">
        <f t="shared" si="10"/>
        <v>750000</v>
      </c>
      <c r="AI32" s="4">
        <f t="shared" si="11"/>
        <v>450000</v>
      </c>
      <c r="AJ32" s="4">
        <f>AI32</f>
        <v>450000</v>
      </c>
      <c r="AK32" s="4"/>
      <c r="AL32" s="184"/>
      <c r="AM32" s="4"/>
      <c r="AN32" s="3"/>
      <c r="AO32" s="173">
        <v>450000</v>
      </c>
      <c r="AP32" s="173">
        <v>770526</v>
      </c>
      <c r="AQ32" s="172" t="s">
        <v>1038</v>
      </c>
      <c r="AR32" s="173">
        <v>450000</v>
      </c>
      <c r="AS32" s="173">
        <f>M32</f>
        <v>770525.86999999965</v>
      </c>
      <c r="AT32" s="173">
        <f t="shared" si="12"/>
        <v>1220525.8699999996</v>
      </c>
      <c r="AU32" s="173">
        <f t="shared" si="13"/>
        <v>300000</v>
      </c>
      <c r="AV32" s="173">
        <f t="shared" si="14"/>
        <v>450000</v>
      </c>
      <c r="AW32" s="173">
        <v>450000</v>
      </c>
      <c r="AX32" s="173">
        <f t="shared" si="15"/>
        <v>0</v>
      </c>
      <c r="AY32" s="173"/>
      <c r="AZ32" s="173"/>
      <c r="BA32" s="173"/>
      <c r="BB32" s="173">
        <f t="shared" si="16"/>
        <v>0</v>
      </c>
      <c r="BC32" s="4">
        <f t="shared" si="17"/>
        <v>450000</v>
      </c>
      <c r="BD32" s="4">
        <v>450000</v>
      </c>
      <c r="BE32" s="4"/>
      <c r="BF32" s="4"/>
      <c r="BG32" s="4"/>
      <c r="BH32" s="173">
        <f t="shared" si="18"/>
        <v>450000</v>
      </c>
      <c r="BI32" s="3"/>
      <c r="BJ32" s="4">
        <f t="shared" si="19"/>
        <v>450000</v>
      </c>
      <c r="BK32" s="173">
        <f t="shared" si="20"/>
        <v>0</v>
      </c>
      <c r="BL32" s="4">
        <v>450000</v>
      </c>
      <c r="BM32" s="4">
        <f t="shared" si="21"/>
        <v>0</v>
      </c>
      <c r="BN32" s="3"/>
      <c r="BO32" s="3"/>
      <c r="BP32" s="3"/>
    </row>
    <row r="33" spans="1:68" s="5" customFormat="1" ht="30" customHeight="1">
      <c r="A33" s="3">
        <v>28</v>
      </c>
      <c r="B33" s="3">
        <v>2039</v>
      </c>
      <c r="C33" s="3" t="s">
        <v>192</v>
      </c>
      <c r="D33" s="4">
        <v>285000</v>
      </c>
      <c r="E33" s="4">
        <v>285000</v>
      </c>
      <c r="F33" s="4">
        <f t="shared" si="0"/>
        <v>0</v>
      </c>
      <c r="G33" s="4">
        <v>285000</v>
      </c>
      <c r="H33" s="4">
        <v>25514.34</v>
      </c>
      <c r="I33" s="4"/>
      <c r="J33" s="4"/>
      <c r="K33" s="4">
        <f t="shared" si="5"/>
        <v>0</v>
      </c>
      <c r="L33" s="4">
        <f t="shared" si="6"/>
        <v>25514.34</v>
      </c>
      <c r="M33" s="4">
        <f t="shared" si="1"/>
        <v>259485.66</v>
      </c>
      <c r="N33" s="4"/>
      <c r="O33" s="4">
        <f t="shared" si="7"/>
        <v>0</v>
      </c>
      <c r="P33" s="4">
        <f t="shared" si="8"/>
        <v>0</v>
      </c>
      <c r="Q33" s="4">
        <f t="shared" si="2"/>
        <v>259485.66</v>
      </c>
      <c r="R33" s="4"/>
      <c r="S33" s="4"/>
      <c r="T33" s="4">
        <f t="shared" si="9"/>
        <v>0</v>
      </c>
      <c r="U33" s="4">
        <f t="shared" si="3"/>
        <v>0</v>
      </c>
      <c r="V33" s="4">
        <f t="shared" si="4"/>
        <v>0</v>
      </c>
      <c r="W33" s="4"/>
      <c r="X33" s="4">
        <f t="shared" si="23"/>
        <v>0</v>
      </c>
      <c r="Y33" s="4"/>
      <c r="Z33" s="4"/>
      <c r="AA33" s="3"/>
      <c r="AB33" s="72" t="s">
        <v>845</v>
      </c>
      <c r="AC33" s="3">
        <v>760000</v>
      </c>
      <c r="AD33" s="309"/>
      <c r="AE33" s="489"/>
      <c r="AF33" s="4"/>
      <c r="AG33" s="4"/>
      <c r="AH33" s="4">
        <f t="shared" si="10"/>
        <v>0</v>
      </c>
      <c r="AI33" s="4">
        <f t="shared" si="11"/>
        <v>0</v>
      </c>
      <c r="AJ33" s="19"/>
      <c r="AK33" s="4">
        <f>AI33-AJ33</f>
        <v>0</v>
      </c>
      <c r="AL33" s="184"/>
      <c r="AM33" s="4"/>
      <c r="AN33" s="3"/>
      <c r="AO33" s="172">
        <v>0</v>
      </c>
      <c r="AP33" s="173">
        <v>0</v>
      </c>
      <c r="AQ33" s="184"/>
      <c r="AR33" s="184"/>
      <c r="AS33" s="173">
        <f>M33-250000</f>
        <v>9485.6600000000035</v>
      </c>
      <c r="AT33" s="173">
        <f t="shared" si="12"/>
        <v>9485.6600000000035</v>
      </c>
      <c r="AU33" s="173">
        <f t="shared" si="13"/>
        <v>250000</v>
      </c>
      <c r="AV33" s="173">
        <f t="shared" si="14"/>
        <v>-250000</v>
      </c>
      <c r="AW33" s="173"/>
      <c r="AX33" s="173">
        <f t="shared" si="15"/>
        <v>-250000</v>
      </c>
      <c r="AY33" s="173"/>
      <c r="AZ33" s="173"/>
      <c r="BA33" s="173"/>
      <c r="BB33" s="173">
        <f t="shared" si="16"/>
        <v>-250000</v>
      </c>
      <c r="BC33" s="4">
        <f t="shared" si="17"/>
        <v>0</v>
      </c>
      <c r="BD33" s="4">
        <v>-250000</v>
      </c>
      <c r="BE33" s="4"/>
      <c r="BF33" s="4"/>
      <c r="BG33" s="4"/>
      <c r="BH33" s="173">
        <f t="shared" si="18"/>
        <v>-250000</v>
      </c>
      <c r="BI33" s="3"/>
      <c r="BJ33" s="4">
        <f t="shared" si="19"/>
        <v>-250000</v>
      </c>
      <c r="BK33" s="173">
        <f t="shared" si="20"/>
        <v>0</v>
      </c>
      <c r="BL33" s="3"/>
      <c r="BM33" s="4">
        <f t="shared" si="21"/>
        <v>-250000</v>
      </c>
      <c r="BN33" s="3"/>
      <c r="BO33" s="3"/>
      <c r="BP33" s="3"/>
    </row>
    <row r="34" spans="1:68" s="5" customFormat="1" ht="30" customHeight="1">
      <c r="A34" s="3">
        <v>29</v>
      </c>
      <c r="B34" s="3">
        <v>2040</v>
      </c>
      <c r="C34" s="3" t="s">
        <v>435</v>
      </c>
      <c r="D34" s="4">
        <v>1010000</v>
      </c>
      <c r="E34" s="4">
        <v>1010000</v>
      </c>
      <c r="F34" s="4">
        <f t="shared" si="0"/>
        <v>0</v>
      </c>
      <c r="G34" s="4">
        <v>410000</v>
      </c>
      <c r="H34" s="4">
        <v>409998.49</v>
      </c>
      <c r="I34" s="4"/>
      <c r="J34" s="4"/>
      <c r="K34" s="4">
        <f t="shared" si="5"/>
        <v>0</v>
      </c>
      <c r="L34" s="4">
        <f t="shared" si="6"/>
        <v>409998.49</v>
      </c>
      <c r="M34" s="4">
        <f t="shared" si="1"/>
        <v>1.5100000000093132</v>
      </c>
      <c r="N34" s="4">
        <f>600000-100000</f>
        <v>500000</v>
      </c>
      <c r="O34" s="4">
        <f t="shared" si="7"/>
        <v>500000</v>
      </c>
      <c r="P34" s="4">
        <f t="shared" si="8"/>
        <v>100000</v>
      </c>
      <c r="Q34" s="4">
        <f t="shared" si="2"/>
        <v>1.5100000000093132</v>
      </c>
      <c r="R34" s="4"/>
      <c r="S34" s="4"/>
      <c r="T34" s="4">
        <f t="shared" si="9"/>
        <v>0</v>
      </c>
      <c r="U34" s="4">
        <f t="shared" si="3"/>
        <v>0</v>
      </c>
      <c r="V34" s="4">
        <f t="shared" si="4"/>
        <v>500000</v>
      </c>
      <c r="W34" s="4"/>
      <c r="X34" s="4">
        <f t="shared" si="23"/>
        <v>500000</v>
      </c>
      <c r="Y34" s="4"/>
      <c r="Z34" s="4"/>
      <c r="AA34" s="3"/>
      <c r="AB34" s="3" t="s">
        <v>913</v>
      </c>
      <c r="AC34" s="3">
        <v>829000</v>
      </c>
      <c r="AD34" s="309"/>
      <c r="AE34" s="489"/>
      <c r="AF34" s="4">
        <f>500000-500000</f>
        <v>0</v>
      </c>
      <c r="AG34" s="4">
        <f>500000-500000</f>
        <v>0</v>
      </c>
      <c r="AH34" s="4">
        <f t="shared" si="10"/>
        <v>0</v>
      </c>
      <c r="AI34" s="4">
        <f t="shared" si="11"/>
        <v>500000</v>
      </c>
      <c r="AJ34" s="40"/>
      <c r="AK34" s="4">
        <f>AI34-AJ34</f>
        <v>500000</v>
      </c>
      <c r="AL34" s="184"/>
      <c r="AM34" s="4"/>
      <c r="AN34" s="3"/>
      <c r="AO34" s="173">
        <v>2</v>
      </c>
      <c r="AP34" s="173">
        <v>500000</v>
      </c>
      <c r="AQ34" s="172" t="s">
        <v>1039</v>
      </c>
      <c r="AR34" s="173">
        <v>500000</v>
      </c>
      <c r="AS34" s="173">
        <f>M34</f>
        <v>1.5100000000093132</v>
      </c>
      <c r="AT34" s="173">
        <f t="shared" si="12"/>
        <v>500001.51</v>
      </c>
      <c r="AU34" s="173">
        <f t="shared" si="13"/>
        <v>100000</v>
      </c>
      <c r="AV34" s="173">
        <f t="shared" si="14"/>
        <v>500000</v>
      </c>
      <c r="AW34" s="173"/>
      <c r="AX34" s="173">
        <f t="shared" si="15"/>
        <v>500000</v>
      </c>
      <c r="AY34" s="173"/>
      <c r="AZ34" s="173"/>
      <c r="BA34" s="173"/>
      <c r="BB34" s="173">
        <f t="shared" si="16"/>
        <v>0</v>
      </c>
      <c r="BC34" s="4">
        <f t="shared" si="17"/>
        <v>500000</v>
      </c>
      <c r="BD34" s="4">
        <v>500000</v>
      </c>
      <c r="BE34" s="4"/>
      <c r="BF34" s="4"/>
      <c r="BG34" s="4"/>
      <c r="BH34" s="173">
        <f t="shared" si="18"/>
        <v>500000</v>
      </c>
      <c r="BI34" s="3"/>
      <c r="BJ34" s="4">
        <f t="shared" si="19"/>
        <v>500000</v>
      </c>
      <c r="BK34" s="173">
        <f t="shared" si="20"/>
        <v>0</v>
      </c>
      <c r="BL34" s="3"/>
      <c r="BM34" s="4">
        <f t="shared" si="21"/>
        <v>500000</v>
      </c>
      <c r="BN34" s="3"/>
      <c r="BO34" s="3"/>
      <c r="BP34" s="3"/>
    </row>
    <row r="35" spans="1:68" s="5" customFormat="1" ht="30" customHeight="1">
      <c r="A35" s="3">
        <v>30</v>
      </c>
      <c r="B35" s="3">
        <v>2041</v>
      </c>
      <c r="C35" s="3" t="s">
        <v>1579</v>
      </c>
      <c r="D35" s="4">
        <v>650000</v>
      </c>
      <c r="E35" s="4">
        <v>650000</v>
      </c>
      <c r="F35" s="4">
        <f t="shared" si="0"/>
        <v>0</v>
      </c>
      <c r="G35" s="4">
        <v>650000</v>
      </c>
      <c r="H35" s="4">
        <v>584223.14</v>
      </c>
      <c r="I35" s="4"/>
      <c r="J35" s="4"/>
      <c r="K35" s="4">
        <f t="shared" si="5"/>
        <v>0</v>
      </c>
      <c r="L35" s="4">
        <f t="shared" si="6"/>
        <v>584223.14</v>
      </c>
      <c r="M35" s="4">
        <f t="shared" si="1"/>
        <v>65776.859999999986</v>
      </c>
      <c r="N35" s="4"/>
      <c r="O35" s="4">
        <f t="shared" si="7"/>
        <v>0</v>
      </c>
      <c r="P35" s="4">
        <f t="shared" si="8"/>
        <v>0</v>
      </c>
      <c r="Q35" s="4">
        <f t="shared" si="2"/>
        <v>65776.859999999986</v>
      </c>
      <c r="R35" s="4"/>
      <c r="S35" s="4"/>
      <c r="T35" s="4">
        <f t="shared" si="9"/>
        <v>0</v>
      </c>
      <c r="U35" s="4">
        <f t="shared" si="3"/>
        <v>0</v>
      </c>
      <c r="V35" s="4">
        <f t="shared" si="4"/>
        <v>0</v>
      </c>
      <c r="W35" s="4"/>
      <c r="X35" s="4">
        <f t="shared" si="23"/>
        <v>0</v>
      </c>
      <c r="Y35" s="4"/>
      <c r="Z35" s="4"/>
      <c r="AA35" s="3"/>
      <c r="AB35" s="72" t="s">
        <v>914</v>
      </c>
      <c r="AC35" s="3">
        <v>810000</v>
      </c>
      <c r="AD35" s="309"/>
      <c r="AE35" s="489"/>
      <c r="AF35" s="4"/>
      <c r="AG35" s="4"/>
      <c r="AH35" s="4">
        <f t="shared" si="10"/>
        <v>0</v>
      </c>
      <c r="AI35" s="4">
        <f t="shared" si="11"/>
        <v>0</v>
      </c>
      <c r="AJ35" s="19"/>
      <c r="AK35" s="4">
        <f>AI35-AJ35</f>
        <v>0</v>
      </c>
      <c r="AL35" s="184"/>
      <c r="AM35" s="4"/>
      <c r="AN35" s="3"/>
      <c r="AO35" s="172">
        <v>0</v>
      </c>
      <c r="AP35" s="173">
        <v>0</v>
      </c>
      <c r="AQ35" s="184"/>
      <c r="AR35" s="184"/>
      <c r="AS35" s="173">
        <f>M35-65000</f>
        <v>776.85999999998603</v>
      </c>
      <c r="AT35" s="173">
        <f t="shared" si="12"/>
        <v>776.85999999998603</v>
      </c>
      <c r="AU35" s="173">
        <f t="shared" si="13"/>
        <v>65000</v>
      </c>
      <c r="AV35" s="173">
        <f t="shared" si="14"/>
        <v>-65000</v>
      </c>
      <c r="AW35" s="173">
        <v>-65000</v>
      </c>
      <c r="AX35" s="173">
        <f t="shared" si="15"/>
        <v>0</v>
      </c>
      <c r="AY35" s="173"/>
      <c r="AZ35" s="173"/>
      <c r="BA35" s="173"/>
      <c r="BB35" s="173">
        <f t="shared" si="16"/>
        <v>-65000</v>
      </c>
      <c r="BC35" s="4">
        <f t="shared" si="17"/>
        <v>0</v>
      </c>
      <c r="BD35" s="4">
        <v>-65000</v>
      </c>
      <c r="BE35" s="4"/>
      <c r="BF35" s="4"/>
      <c r="BG35" s="4"/>
      <c r="BH35" s="173">
        <f t="shared" si="18"/>
        <v>-65000</v>
      </c>
      <c r="BI35" s="3"/>
      <c r="BJ35" s="4">
        <f t="shared" si="19"/>
        <v>-65000</v>
      </c>
      <c r="BK35" s="173">
        <f t="shared" si="20"/>
        <v>0</v>
      </c>
      <c r="BL35" s="4">
        <v>-65000</v>
      </c>
      <c r="BM35" s="4">
        <f t="shared" si="21"/>
        <v>0</v>
      </c>
      <c r="BN35" s="3"/>
      <c r="BO35" s="3"/>
      <c r="BP35" s="3"/>
    </row>
    <row r="36" spans="1:68" s="5" customFormat="1" ht="30" customHeight="1">
      <c r="A36" s="3">
        <v>31</v>
      </c>
      <c r="B36" s="3">
        <v>2042</v>
      </c>
      <c r="C36" s="3" t="s">
        <v>562</v>
      </c>
      <c r="D36" s="4">
        <v>740000</v>
      </c>
      <c r="E36" s="4">
        <v>740000</v>
      </c>
      <c r="F36" s="4">
        <f t="shared" si="0"/>
        <v>0</v>
      </c>
      <c r="G36" s="4">
        <v>450000</v>
      </c>
      <c r="H36" s="4">
        <v>181745.18</v>
      </c>
      <c r="I36" s="4"/>
      <c r="J36" s="4">
        <v>45398.49</v>
      </c>
      <c r="K36" s="4">
        <f t="shared" si="5"/>
        <v>45398.49</v>
      </c>
      <c r="L36" s="4">
        <f t="shared" si="6"/>
        <v>227143.66999999998</v>
      </c>
      <c r="M36" s="74">
        <f t="shared" si="1"/>
        <v>222856.33000000002</v>
      </c>
      <c r="N36" s="74">
        <v>-220000</v>
      </c>
      <c r="O36" s="74">
        <f t="shared" si="7"/>
        <v>-220000</v>
      </c>
      <c r="P36" s="74">
        <f t="shared" si="8"/>
        <v>510000</v>
      </c>
      <c r="Q36" s="74">
        <f t="shared" si="2"/>
        <v>222856.33000000002</v>
      </c>
      <c r="R36" s="74"/>
      <c r="S36" s="74"/>
      <c r="T36" s="74">
        <f t="shared" si="9"/>
        <v>0</v>
      </c>
      <c r="U36" s="74">
        <f t="shared" si="3"/>
        <v>0</v>
      </c>
      <c r="V36" s="74">
        <f t="shared" si="4"/>
        <v>-220000</v>
      </c>
      <c r="W36" s="74">
        <f>V36-X36-Y36-Z36-AA36</f>
        <v>-220000</v>
      </c>
      <c r="X36" s="74"/>
      <c r="Y36" s="74"/>
      <c r="Z36" s="74"/>
      <c r="AA36" s="490"/>
      <c r="AB36" s="490" t="s">
        <v>755</v>
      </c>
      <c r="AC36" s="490">
        <v>746000</v>
      </c>
      <c r="AD36" s="491"/>
      <c r="AE36" s="492"/>
      <c r="AF36" s="74"/>
      <c r="AG36" s="74"/>
      <c r="AH36" s="74">
        <f t="shared" si="10"/>
        <v>0</v>
      </c>
      <c r="AI36" s="74">
        <f t="shared" si="11"/>
        <v>-220000</v>
      </c>
      <c r="AJ36" s="4">
        <f>AI36</f>
        <v>-220000</v>
      </c>
      <c r="AK36" s="4"/>
      <c r="AL36" s="184"/>
      <c r="AM36" s="4"/>
      <c r="AN36" s="3"/>
      <c r="AO36" s="172"/>
      <c r="AP36" s="173">
        <v>50000</v>
      </c>
      <c r="AQ36" s="184"/>
      <c r="AR36" s="173">
        <v>-160000</v>
      </c>
      <c r="AS36" s="173">
        <f>M36</f>
        <v>222856.33000000002</v>
      </c>
      <c r="AT36" s="173">
        <f t="shared" si="12"/>
        <v>62856.330000000016</v>
      </c>
      <c r="AU36" s="173">
        <f t="shared" si="13"/>
        <v>450000</v>
      </c>
      <c r="AV36" s="173">
        <f t="shared" si="14"/>
        <v>-160000</v>
      </c>
      <c r="AW36" s="173">
        <v>-160000</v>
      </c>
      <c r="AX36" s="173">
        <f t="shared" si="15"/>
        <v>0</v>
      </c>
      <c r="AY36" s="173"/>
      <c r="AZ36" s="173"/>
      <c r="BA36" s="173"/>
      <c r="BB36" s="173">
        <f t="shared" si="16"/>
        <v>0</v>
      </c>
      <c r="BC36" s="4">
        <f t="shared" si="17"/>
        <v>-160000</v>
      </c>
      <c r="BD36" s="4">
        <v>-160000</v>
      </c>
      <c r="BE36" s="4"/>
      <c r="BF36" s="4"/>
      <c r="BG36" s="4"/>
      <c r="BH36" s="173">
        <f t="shared" si="18"/>
        <v>-160000</v>
      </c>
      <c r="BI36" s="3"/>
      <c r="BJ36" s="4">
        <f t="shared" si="19"/>
        <v>-160000</v>
      </c>
      <c r="BK36" s="173">
        <f t="shared" si="20"/>
        <v>0</v>
      </c>
      <c r="BL36" s="4">
        <v>-160000</v>
      </c>
      <c r="BM36" s="4">
        <f t="shared" si="21"/>
        <v>0</v>
      </c>
      <c r="BN36" s="3"/>
      <c r="BO36" s="3"/>
      <c r="BP36" s="3"/>
    </row>
    <row r="37" spans="1:68" s="5" customFormat="1" ht="30" customHeight="1">
      <c r="A37" s="3">
        <v>32</v>
      </c>
      <c r="B37" s="3">
        <v>2066</v>
      </c>
      <c r="C37" s="3" t="s">
        <v>436</v>
      </c>
      <c r="D37" s="4">
        <v>112500</v>
      </c>
      <c r="E37" s="4">
        <v>112500</v>
      </c>
      <c r="F37" s="4">
        <f t="shared" si="0"/>
        <v>0</v>
      </c>
      <c r="G37" s="4">
        <v>112500</v>
      </c>
      <c r="H37" s="4">
        <v>111299</v>
      </c>
      <c r="I37" s="4"/>
      <c r="J37" s="4"/>
      <c r="K37" s="4">
        <f t="shared" si="5"/>
        <v>0</v>
      </c>
      <c r="L37" s="4">
        <f t="shared" si="6"/>
        <v>111299</v>
      </c>
      <c r="M37" s="4">
        <f t="shared" si="1"/>
        <v>1201</v>
      </c>
      <c r="N37" s="4"/>
      <c r="O37" s="4">
        <f t="shared" si="7"/>
        <v>0</v>
      </c>
      <c r="P37" s="4">
        <f t="shared" si="8"/>
        <v>0</v>
      </c>
      <c r="Q37" s="4">
        <f t="shared" si="2"/>
        <v>1201</v>
      </c>
      <c r="R37" s="4"/>
      <c r="S37" s="4"/>
      <c r="T37" s="4">
        <f t="shared" si="9"/>
        <v>0</v>
      </c>
      <c r="U37" s="4">
        <f t="shared" si="3"/>
        <v>0</v>
      </c>
      <c r="V37" s="4">
        <f t="shared" si="4"/>
        <v>0</v>
      </c>
      <c r="W37" s="4"/>
      <c r="X37" s="4">
        <f t="shared" si="23"/>
        <v>0</v>
      </c>
      <c r="Y37" s="4"/>
      <c r="Z37" s="4"/>
      <c r="AA37" s="3"/>
      <c r="AB37" s="4"/>
      <c r="AC37" s="3">
        <v>732000</v>
      </c>
      <c r="AD37" s="309"/>
      <c r="AE37" s="489"/>
      <c r="AF37" s="4"/>
      <c r="AG37" s="4"/>
      <c r="AH37" s="4">
        <f t="shared" si="10"/>
        <v>0</v>
      </c>
      <c r="AI37" s="4">
        <f t="shared" si="11"/>
        <v>0</v>
      </c>
      <c r="AJ37" s="19">
        <f>AI37</f>
        <v>0</v>
      </c>
      <c r="AK37" s="413"/>
      <c r="AL37" s="4"/>
      <c r="AM37" s="4"/>
      <c r="AN37" s="3"/>
      <c r="AO37" s="172">
        <v>0</v>
      </c>
      <c r="AP37" s="173">
        <v>0</v>
      </c>
      <c r="AQ37" s="184"/>
      <c r="AR37" s="184"/>
      <c r="AS37" s="173">
        <f>M37</f>
        <v>1201</v>
      </c>
      <c r="AT37" s="173">
        <f t="shared" si="12"/>
        <v>1201</v>
      </c>
      <c r="AU37" s="173">
        <f t="shared" si="13"/>
        <v>0</v>
      </c>
      <c r="AV37" s="173">
        <f t="shared" si="14"/>
        <v>0</v>
      </c>
      <c r="AW37" s="173"/>
      <c r="AX37" s="173">
        <f t="shared" si="15"/>
        <v>0</v>
      </c>
      <c r="AY37" s="173"/>
      <c r="AZ37" s="173"/>
      <c r="BA37" s="173"/>
      <c r="BB37" s="173">
        <f t="shared" si="16"/>
        <v>0</v>
      </c>
      <c r="BC37" s="4">
        <f t="shared" si="17"/>
        <v>0</v>
      </c>
      <c r="BD37" s="4"/>
      <c r="BE37" s="4"/>
      <c r="BF37" s="4"/>
      <c r="BG37" s="4"/>
      <c r="BH37" s="173">
        <f t="shared" si="18"/>
        <v>0</v>
      </c>
      <c r="BI37" s="3"/>
      <c r="BJ37" s="4">
        <f t="shared" si="19"/>
        <v>0</v>
      </c>
      <c r="BK37" s="173">
        <f t="shared" si="20"/>
        <v>0</v>
      </c>
      <c r="BL37" s="3"/>
      <c r="BM37" s="4">
        <f t="shared" si="21"/>
        <v>0</v>
      </c>
      <c r="BN37" s="3"/>
      <c r="BO37" s="3"/>
      <c r="BP37" s="3"/>
    </row>
    <row r="38" spans="1:68" s="5" customFormat="1" ht="30" customHeight="1">
      <c r="A38" s="3">
        <v>33</v>
      </c>
      <c r="B38" s="31">
        <v>2087</v>
      </c>
      <c r="C38" s="3" t="s">
        <v>437</v>
      </c>
      <c r="D38" s="4">
        <v>1200000</v>
      </c>
      <c r="E38" s="4">
        <v>1200000</v>
      </c>
      <c r="F38" s="4">
        <f>D38-E38</f>
        <v>0</v>
      </c>
      <c r="G38" s="4">
        <v>1200000</v>
      </c>
      <c r="H38" s="4">
        <v>639791.44999999995</v>
      </c>
      <c r="I38" s="4"/>
      <c r="J38" s="4"/>
      <c r="K38" s="4">
        <f t="shared" si="5"/>
        <v>0</v>
      </c>
      <c r="L38" s="4">
        <f t="shared" si="6"/>
        <v>639791.44999999995</v>
      </c>
      <c r="M38" s="4">
        <f t="shared" si="1"/>
        <v>560208.55000000005</v>
      </c>
      <c r="N38" s="4"/>
      <c r="O38" s="4">
        <f t="shared" si="7"/>
        <v>0</v>
      </c>
      <c r="P38" s="4">
        <f t="shared" si="8"/>
        <v>0</v>
      </c>
      <c r="Q38" s="4">
        <f t="shared" si="2"/>
        <v>560208.55000000005</v>
      </c>
      <c r="R38" s="4"/>
      <c r="S38" s="4"/>
      <c r="T38" s="4">
        <f t="shared" si="9"/>
        <v>0</v>
      </c>
      <c r="U38" s="4">
        <f t="shared" si="3"/>
        <v>0</v>
      </c>
      <c r="V38" s="4">
        <f t="shared" si="4"/>
        <v>0</v>
      </c>
      <c r="W38" s="4">
        <f>V38-X38-Y38-Z38-AA38</f>
        <v>0</v>
      </c>
      <c r="X38" s="4"/>
      <c r="Y38" s="4"/>
      <c r="Z38" s="4"/>
      <c r="AA38" s="3"/>
      <c r="AB38" s="3" t="s">
        <v>563</v>
      </c>
      <c r="AC38" s="3">
        <v>746000</v>
      </c>
      <c r="AD38" s="309"/>
      <c r="AE38" s="489"/>
      <c r="AF38" s="4"/>
      <c r="AG38" s="4"/>
      <c r="AH38" s="4">
        <f t="shared" si="10"/>
        <v>0</v>
      </c>
      <c r="AI38" s="4">
        <f t="shared" si="11"/>
        <v>0</v>
      </c>
      <c r="AJ38" s="19">
        <f>AI38</f>
        <v>0</v>
      </c>
      <c r="AK38" s="4"/>
      <c r="AL38" s="184"/>
      <c r="AM38" s="4"/>
      <c r="AN38" s="3"/>
      <c r="AO38" s="172">
        <v>0</v>
      </c>
      <c r="AP38" s="173">
        <v>0</v>
      </c>
      <c r="AQ38" s="184"/>
      <c r="AR38" s="184"/>
      <c r="AS38" s="173">
        <f>M38-560000</f>
        <v>208.55000000004657</v>
      </c>
      <c r="AT38" s="173">
        <f t="shared" si="12"/>
        <v>208.55000000004657</v>
      </c>
      <c r="AU38" s="173">
        <f t="shared" si="13"/>
        <v>560000</v>
      </c>
      <c r="AV38" s="173">
        <f t="shared" si="14"/>
        <v>-560000</v>
      </c>
      <c r="AW38" s="173">
        <v>-560000</v>
      </c>
      <c r="AX38" s="173">
        <f t="shared" si="15"/>
        <v>0</v>
      </c>
      <c r="AY38" s="173"/>
      <c r="AZ38" s="173"/>
      <c r="BA38" s="173"/>
      <c r="BB38" s="173">
        <f t="shared" si="16"/>
        <v>-560000</v>
      </c>
      <c r="BC38" s="4">
        <f t="shared" si="17"/>
        <v>0</v>
      </c>
      <c r="BD38" s="4">
        <v>-560000</v>
      </c>
      <c r="BE38" s="4"/>
      <c r="BF38" s="4"/>
      <c r="BG38" s="4"/>
      <c r="BH38" s="173">
        <f t="shared" si="18"/>
        <v>-560000</v>
      </c>
      <c r="BI38" s="3"/>
      <c r="BJ38" s="4">
        <f t="shared" si="19"/>
        <v>-560000</v>
      </c>
      <c r="BK38" s="173">
        <f t="shared" si="20"/>
        <v>0</v>
      </c>
      <c r="BL38" s="4">
        <v>-560000</v>
      </c>
      <c r="BM38" s="4">
        <f t="shared" si="21"/>
        <v>0</v>
      </c>
      <c r="BN38" s="3"/>
      <c r="BO38" s="3"/>
      <c r="BP38" s="3"/>
    </row>
    <row r="39" spans="1:68" s="5" customFormat="1" ht="30" customHeight="1">
      <c r="A39" s="3">
        <v>34</v>
      </c>
      <c r="B39" s="31">
        <v>2088</v>
      </c>
      <c r="C39" s="3" t="s">
        <v>438</v>
      </c>
      <c r="D39" s="4">
        <v>1600000</v>
      </c>
      <c r="E39" s="4">
        <v>1600000</v>
      </c>
      <c r="F39" s="4">
        <f>D39-E39</f>
        <v>0</v>
      </c>
      <c r="G39" s="4">
        <v>1600000</v>
      </c>
      <c r="H39" s="4">
        <v>514702.62</v>
      </c>
      <c r="I39" s="4"/>
      <c r="J39" s="4">
        <v>727372.78</v>
      </c>
      <c r="K39" s="4">
        <f t="shared" si="5"/>
        <v>727372.78</v>
      </c>
      <c r="L39" s="4">
        <f t="shared" si="6"/>
        <v>1242075.3999999999</v>
      </c>
      <c r="M39" s="4">
        <f t="shared" si="1"/>
        <v>357924.60000000009</v>
      </c>
      <c r="N39" s="4">
        <v>400000</v>
      </c>
      <c r="O39" s="4">
        <f t="shared" si="7"/>
        <v>0</v>
      </c>
      <c r="P39" s="4">
        <f t="shared" si="8"/>
        <v>0</v>
      </c>
      <c r="Q39" s="4">
        <f t="shared" si="2"/>
        <v>357924.60000000009</v>
      </c>
      <c r="R39" s="4"/>
      <c r="S39" s="4"/>
      <c r="T39" s="4">
        <f t="shared" si="9"/>
        <v>0</v>
      </c>
      <c r="U39" s="4">
        <f t="shared" si="3"/>
        <v>0</v>
      </c>
      <c r="V39" s="4">
        <f t="shared" si="4"/>
        <v>400000</v>
      </c>
      <c r="W39" s="4">
        <f>V39-X39-Y39-Z39-AA39</f>
        <v>400000</v>
      </c>
      <c r="X39" s="4"/>
      <c r="Y39" s="4"/>
      <c r="Z39" s="4"/>
      <c r="AA39" s="3"/>
      <c r="AB39" s="3" t="s">
        <v>565</v>
      </c>
      <c r="AC39" s="3">
        <v>746000</v>
      </c>
      <c r="AD39" s="309"/>
      <c r="AE39" s="489"/>
      <c r="AF39" s="4">
        <v>400000</v>
      </c>
      <c r="AG39" s="4"/>
      <c r="AH39" s="4">
        <f t="shared" si="10"/>
        <v>400000</v>
      </c>
      <c r="AI39" s="4">
        <f t="shared" si="11"/>
        <v>0</v>
      </c>
      <c r="AJ39" s="19">
        <f>AI39</f>
        <v>0</v>
      </c>
      <c r="AK39" s="4"/>
      <c r="AL39" s="184"/>
      <c r="AM39" s="4"/>
      <c r="AN39" s="3"/>
      <c r="AO39" s="172">
        <v>0</v>
      </c>
      <c r="AP39" s="173">
        <v>357925</v>
      </c>
      <c r="AQ39" s="184"/>
      <c r="AR39" s="184"/>
      <c r="AS39" s="173">
        <f>M39</f>
        <v>357924.60000000009</v>
      </c>
      <c r="AT39" s="173">
        <f t="shared" si="12"/>
        <v>357924.60000000009</v>
      </c>
      <c r="AU39" s="173">
        <f t="shared" si="13"/>
        <v>0</v>
      </c>
      <c r="AV39" s="173">
        <f t="shared" si="14"/>
        <v>0</v>
      </c>
      <c r="AW39" s="173"/>
      <c r="AX39" s="173">
        <f t="shared" si="15"/>
        <v>0</v>
      </c>
      <c r="AY39" s="173"/>
      <c r="AZ39" s="173"/>
      <c r="BA39" s="173"/>
      <c r="BB39" s="173">
        <f t="shared" si="16"/>
        <v>0</v>
      </c>
      <c r="BC39" s="4">
        <f t="shared" si="17"/>
        <v>0</v>
      </c>
      <c r="BD39" s="4"/>
      <c r="BE39" s="4"/>
      <c r="BF39" s="4"/>
      <c r="BG39" s="4"/>
      <c r="BH39" s="173">
        <f t="shared" si="18"/>
        <v>0</v>
      </c>
      <c r="BI39" s="3"/>
      <c r="BJ39" s="4">
        <f t="shared" si="19"/>
        <v>0</v>
      </c>
      <c r="BK39" s="173">
        <f t="shared" si="20"/>
        <v>0</v>
      </c>
      <c r="BL39" s="3"/>
      <c r="BM39" s="4">
        <f t="shared" si="21"/>
        <v>0</v>
      </c>
      <c r="BN39" s="3"/>
      <c r="BO39" s="3"/>
      <c r="BP39" s="3"/>
    </row>
    <row r="40" spans="1:68" s="5" customFormat="1" ht="30" customHeight="1">
      <c r="A40" s="3">
        <v>35</v>
      </c>
      <c r="B40" s="31">
        <v>2164</v>
      </c>
      <c r="C40" s="3" t="s">
        <v>756</v>
      </c>
      <c r="D40" s="4">
        <v>200000</v>
      </c>
      <c r="E40" s="4">
        <v>200000</v>
      </c>
      <c r="F40" s="4">
        <f t="shared" ref="F40:F45" si="27">D40-E40</f>
        <v>0</v>
      </c>
      <c r="G40" s="4">
        <v>0</v>
      </c>
      <c r="H40" s="4">
        <v>0</v>
      </c>
      <c r="I40" s="4"/>
      <c r="J40" s="4"/>
      <c r="K40" s="4">
        <f t="shared" ref="K40:K45" si="28">SUM(I40:J40)</f>
        <v>0</v>
      </c>
      <c r="L40" s="4">
        <f t="shared" si="6"/>
        <v>0</v>
      </c>
      <c r="M40" s="4">
        <f t="shared" si="1"/>
        <v>0</v>
      </c>
      <c r="N40" s="4">
        <f>300000-100000</f>
        <v>200000</v>
      </c>
      <c r="O40" s="4">
        <f t="shared" si="7"/>
        <v>200000</v>
      </c>
      <c r="P40" s="4">
        <f t="shared" si="8"/>
        <v>0</v>
      </c>
      <c r="Q40" s="4">
        <f t="shared" si="2"/>
        <v>0</v>
      </c>
      <c r="R40" s="4"/>
      <c r="S40" s="4"/>
      <c r="T40" s="4">
        <f t="shared" ref="T40:T45" si="29">SUM(R40:S40)</f>
        <v>0</v>
      </c>
      <c r="U40" s="4">
        <f t="shared" si="3"/>
        <v>0</v>
      </c>
      <c r="V40" s="4">
        <f t="shared" si="4"/>
        <v>200000</v>
      </c>
      <c r="W40" s="4">
        <f t="shared" ref="W40:W45" si="30">V40-AA40-X40-Z40</f>
        <v>0</v>
      </c>
      <c r="X40" s="4">
        <v>200000</v>
      </c>
      <c r="Y40" s="4"/>
      <c r="Z40" s="4"/>
      <c r="AA40" s="4"/>
      <c r="AB40" s="3" t="s">
        <v>757</v>
      </c>
      <c r="AC40" s="3">
        <v>742000</v>
      </c>
      <c r="AD40" s="309"/>
      <c r="AE40" s="378"/>
      <c r="AF40" s="4"/>
      <c r="AG40" s="4"/>
      <c r="AH40" s="4">
        <f t="shared" si="10"/>
        <v>0</v>
      </c>
      <c r="AI40" s="4">
        <f t="shared" si="11"/>
        <v>200000</v>
      </c>
      <c r="AJ40" s="40"/>
      <c r="AK40" s="4">
        <f t="shared" ref="AK40:AK45" si="31">AI40-AJ40</f>
        <v>200000</v>
      </c>
      <c r="AL40" s="3"/>
      <c r="AM40" s="3"/>
      <c r="AN40" s="3"/>
      <c r="AO40" s="172">
        <v>0</v>
      </c>
      <c r="AP40" s="173">
        <v>0</v>
      </c>
      <c r="AQ40" s="184"/>
      <c r="AR40" s="184"/>
      <c r="AS40" s="173">
        <f>M40</f>
        <v>0</v>
      </c>
      <c r="AT40" s="173">
        <f t="shared" si="12"/>
        <v>0</v>
      </c>
      <c r="AU40" s="173">
        <f t="shared" si="13"/>
        <v>200000</v>
      </c>
      <c r="AV40" s="173">
        <f t="shared" si="14"/>
        <v>0</v>
      </c>
      <c r="AW40" s="173"/>
      <c r="AX40" s="173">
        <f t="shared" si="15"/>
        <v>0</v>
      </c>
      <c r="AY40" s="173"/>
      <c r="AZ40" s="173"/>
      <c r="BA40" s="173"/>
      <c r="BB40" s="173">
        <f t="shared" si="16"/>
        <v>0</v>
      </c>
      <c r="BC40" s="4">
        <f t="shared" si="17"/>
        <v>0</v>
      </c>
      <c r="BD40" s="4"/>
      <c r="BE40" s="4"/>
      <c r="BF40" s="4"/>
      <c r="BG40" s="4"/>
      <c r="BH40" s="173">
        <f t="shared" si="18"/>
        <v>0</v>
      </c>
      <c r="BI40" s="3"/>
      <c r="BJ40" s="4">
        <f t="shared" si="19"/>
        <v>0</v>
      </c>
      <c r="BK40" s="173">
        <f t="shared" si="20"/>
        <v>0</v>
      </c>
      <c r="BL40" s="3"/>
      <c r="BM40" s="4">
        <f t="shared" si="21"/>
        <v>0</v>
      </c>
      <c r="BN40" s="3"/>
      <c r="BO40" s="3"/>
      <c r="BP40" s="3"/>
    </row>
    <row r="41" spans="1:68" s="5" customFormat="1" ht="30" customHeight="1">
      <c r="A41" s="3">
        <v>36</v>
      </c>
      <c r="B41" s="31">
        <v>2165</v>
      </c>
      <c r="C41" s="3" t="s">
        <v>758</v>
      </c>
      <c r="D41" s="4">
        <v>1040000</v>
      </c>
      <c r="E41" s="4">
        <v>1040000</v>
      </c>
      <c r="F41" s="4">
        <f t="shared" si="27"/>
        <v>0</v>
      </c>
      <c r="G41" s="4">
        <v>250000</v>
      </c>
      <c r="H41" s="4">
        <v>0</v>
      </c>
      <c r="I41" s="4"/>
      <c r="J41" s="4"/>
      <c r="K41" s="4">
        <f t="shared" si="28"/>
        <v>0</v>
      </c>
      <c r="L41" s="4">
        <f t="shared" si="6"/>
        <v>0</v>
      </c>
      <c r="M41" s="4">
        <f t="shared" si="1"/>
        <v>250000</v>
      </c>
      <c r="N41" s="4">
        <f>1040000-540000-250000</f>
        <v>250000</v>
      </c>
      <c r="O41" s="4">
        <f t="shared" si="7"/>
        <v>0</v>
      </c>
      <c r="P41" s="4">
        <f t="shared" si="8"/>
        <v>790000</v>
      </c>
      <c r="Q41" s="4">
        <f t="shared" si="2"/>
        <v>250000</v>
      </c>
      <c r="R41" s="4"/>
      <c r="S41" s="4"/>
      <c r="T41" s="4">
        <f t="shared" si="29"/>
        <v>0</v>
      </c>
      <c r="U41" s="4">
        <f t="shared" si="3"/>
        <v>0</v>
      </c>
      <c r="V41" s="4">
        <f t="shared" si="4"/>
        <v>250000</v>
      </c>
      <c r="W41" s="4">
        <f t="shared" si="30"/>
        <v>0</v>
      </c>
      <c r="X41" s="4">
        <v>250000</v>
      </c>
      <c r="Y41" s="4"/>
      <c r="Z41" s="4"/>
      <c r="AA41" s="4"/>
      <c r="AB41" s="3" t="s">
        <v>846</v>
      </c>
      <c r="AC41" s="3">
        <v>746000</v>
      </c>
      <c r="AD41" s="309"/>
      <c r="AE41" s="378"/>
      <c r="AF41" s="4">
        <v>250000</v>
      </c>
      <c r="AG41" s="4"/>
      <c r="AH41" s="4">
        <f t="shared" si="10"/>
        <v>250000</v>
      </c>
      <c r="AI41" s="4">
        <f t="shared" si="11"/>
        <v>0</v>
      </c>
      <c r="AJ41" s="40"/>
      <c r="AK41" s="4">
        <f t="shared" si="31"/>
        <v>0</v>
      </c>
      <c r="AL41" s="3"/>
      <c r="AM41" s="3"/>
      <c r="AN41" s="3"/>
      <c r="AO41" s="172">
        <v>0</v>
      </c>
      <c r="AP41" s="173">
        <v>0</v>
      </c>
      <c r="AQ41" s="184"/>
      <c r="AR41" s="184"/>
      <c r="AS41" s="173">
        <f>M41-250000</f>
        <v>0</v>
      </c>
      <c r="AT41" s="173">
        <f t="shared" si="12"/>
        <v>0</v>
      </c>
      <c r="AU41" s="173">
        <f t="shared" si="13"/>
        <v>1040000</v>
      </c>
      <c r="AV41" s="173">
        <f t="shared" si="14"/>
        <v>-250000</v>
      </c>
      <c r="AW41" s="173"/>
      <c r="AX41" s="173">
        <f t="shared" si="15"/>
        <v>-250000</v>
      </c>
      <c r="AY41" s="173"/>
      <c r="AZ41" s="173"/>
      <c r="BA41" s="173"/>
      <c r="BB41" s="173">
        <f t="shared" si="16"/>
        <v>-250000</v>
      </c>
      <c r="BC41" s="4">
        <f t="shared" si="17"/>
        <v>0</v>
      </c>
      <c r="BD41" s="4">
        <v>-250000</v>
      </c>
      <c r="BE41" s="4"/>
      <c r="BF41" s="4"/>
      <c r="BG41" s="4"/>
      <c r="BH41" s="173">
        <f t="shared" si="18"/>
        <v>-250000</v>
      </c>
      <c r="BI41" s="3"/>
      <c r="BJ41" s="4">
        <f t="shared" si="19"/>
        <v>-250000</v>
      </c>
      <c r="BK41" s="173">
        <f t="shared" si="20"/>
        <v>0</v>
      </c>
      <c r="BL41" s="3"/>
      <c r="BM41" s="4">
        <f t="shared" si="21"/>
        <v>-250000</v>
      </c>
      <c r="BN41" s="3"/>
      <c r="BO41" s="3"/>
      <c r="BP41" s="3"/>
    </row>
    <row r="42" spans="1:68" s="5" customFormat="1" ht="30" customHeight="1">
      <c r="A42" s="3">
        <v>37</v>
      </c>
      <c r="B42" s="31">
        <v>2166</v>
      </c>
      <c r="C42" s="3" t="s">
        <v>759</v>
      </c>
      <c r="D42" s="4">
        <v>500000</v>
      </c>
      <c r="E42" s="4">
        <v>500000</v>
      </c>
      <c r="F42" s="4">
        <f t="shared" si="27"/>
        <v>0</v>
      </c>
      <c r="G42" s="4">
        <v>300000</v>
      </c>
      <c r="H42" s="4">
        <v>0</v>
      </c>
      <c r="I42" s="4"/>
      <c r="J42" s="4"/>
      <c r="K42" s="4">
        <f t="shared" si="28"/>
        <v>0</v>
      </c>
      <c r="L42" s="4">
        <f t="shared" si="6"/>
        <v>0</v>
      </c>
      <c r="M42" s="4">
        <f t="shared" si="1"/>
        <v>300000</v>
      </c>
      <c r="N42" s="4">
        <f>500000-200000</f>
        <v>300000</v>
      </c>
      <c r="O42" s="4">
        <f t="shared" si="7"/>
        <v>0</v>
      </c>
      <c r="P42" s="4">
        <f t="shared" si="8"/>
        <v>200000</v>
      </c>
      <c r="Q42" s="4">
        <f t="shared" si="2"/>
        <v>300000</v>
      </c>
      <c r="R42" s="4"/>
      <c r="S42" s="4"/>
      <c r="T42" s="4">
        <f t="shared" si="29"/>
        <v>0</v>
      </c>
      <c r="U42" s="4">
        <f t="shared" si="3"/>
        <v>0</v>
      </c>
      <c r="V42" s="4">
        <f t="shared" si="4"/>
        <v>300000</v>
      </c>
      <c r="W42" s="4">
        <f t="shared" si="30"/>
        <v>0</v>
      </c>
      <c r="X42" s="4">
        <v>300000</v>
      </c>
      <c r="Y42" s="4"/>
      <c r="Z42" s="4"/>
      <c r="AA42" s="4"/>
      <c r="AB42" s="3" t="s">
        <v>760</v>
      </c>
      <c r="AC42" s="3">
        <v>746000</v>
      </c>
      <c r="AD42" s="309"/>
      <c r="AE42" s="378"/>
      <c r="AF42" s="4">
        <v>300000</v>
      </c>
      <c r="AG42" s="4"/>
      <c r="AH42" s="4">
        <f t="shared" si="10"/>
        <v>300000</v>
      </c>
      <c r="AI42" s="4">
        <f t="shared" si="11"/>
        <v>0</v>
      </c>
      <c r="AJ42" s="40"/>
      <c r="AK42" s="4">
        <f t="shared" si="31"/>
        <v>0</v>
      </c>
      <c r="AL42" s="3"/>
      <c r="AM42" s="3"/>
      <c r="AN42" s="3"/>
      <c r="AO42" s="172">
        <v>0</v>
      </c>
      <c r="AP42" s="173">
        <v>0</v>
      </c>
      <c r="AQ42" s="184"/>
      <c r="AR42" s="184"/>
      <c r="AS42" s="173">
        <f>M42-300000</f>
        <v>0</v>
      </c>
      <c r="AT42" s="173">
        <f t="shared" si="12"/>
        <v>0</v>
      </c>
      <c r="AU42" s="173">
        <f t="shared" si="13"/>
        <v>500000</v>
      </c>
      <c r="AV42" s="173">
        <f t="shared" si="14"/>
        <v>-300000</v>
      </c>
      <c r="AW42" s="173"/>
      <c r="AX42" s="173">
        <f t="shared" si="15"/>
        <v>-300000</v>
      </c>
      <c r="AY42" s="173"/>
      <c r="AZ42" s="173"/>
      <c r="BA42" s="173"/>
      <c r="BB42" s="173">
        <f t="shared" si="16"/>
        <v>-300000</v>
      </c>
      <c r="BC42" s="4">
        <f t="shared" si="17"/>
        <v>0</v>
      </c>
      <c r="BD42" s="4">
        <v>-300000</v>
      </c>
      <c r="BE42" s="4"/>
      <c r="BF42" s="4"/>
      <c r="BG42" s="4"/>
      <c r="BH42" s="173">
        <f t="shared" si="18"/>
        <v>-300000</v>
      </c>
      <c r="BI42" s="3"/>
      <c r="BJ42" s="4">
        <f t="shared" si="19"/>
        <v>-300000</v>
      </c>
      <c r="BK42" s="173">
        <f t="shared" si="20"/>
        <v>0</v>
      </c>
      <c r="BL42" s="3"/>
      <c r="BM42" s="4">
        <f t="shared" si="21"/>
        <v>-300000</v>
      </c>
      <c r="BN42" s="3"/>
      <c r="BO42" s="3"/>
      <c r="BP42" s="3"/>
    </row>
    <row r="43" spans="1:68" s="5" customFormat="1" ht="30" customHeight="1">
      <c r="A43" s="3">
        <v>38</v>
      </c>
      <c r="B43" s="31">
        <v>2167</v>
      </c>
      <c r="C43" s="3" t="s">
        <v>761</v>
      </c>
      <c r="D43" s="4">
        <v>1400000</v>
      </c>
      <c r="E43" s="4">
        <v>1400000</v>
      </c>
      <c r="F43" s="4">
        <f t="shared" si="27"/>
        <v>0</v>
      </c>
      <c r="G43" s="4">
        <v>0</v>
      </c>
      <c r="H43" s="4">
        <v>0</v>
      </c>
      <c r="I43" s="4"/>
      <c r="J43" s="4"/>
      <c r="K43" s="4">
        <f t="shared" si="28"/>
        <v>0</v>
      </c>
      <c r="L43" s="4">
        <f t="shared" si="6"/>
        <v>0</v>
      </c>
      <c r="M43" s="4">
        <f t="shared" si="1"/>
        <v>0</v>
      </c>
      <c r="N43" s="4">
        <f>1400000-200000</f>
        <v>1200000</v>
      </c>
      <c r="O43" s="4">
        <f t="shared" si="7"/>
        <v>1200000</v>
      </c>
      <c r="P43" s="4">
        <f t="shared" si="8"/>
        <v>200000</v>
      </c>
      <c r="Q43" s="4">
        <f t="shared" si="2"/>
        <v>0</v>
      </c>
      <c r="R43" s="4"/>
      <c r="S43" s="4"/>
      <c r="T43" s="4">
        <f t="shared" si="29"/>
        <v>0</v>
      </c>
      <c r="U43" s="4">
        <f t="shared" si="3"/>
        <v>0</v>
      </c>
      <c r="V43" s="4">
        <f t="shared" si="4"/>
        <v>1200000</v>
      </c>
      <c r="W43" s="4">
        <f t="shared" si="30"/>
        <v>0</v>
      </c>
      <c r="X43" s="4">
        <v>1200000</v>
      </c>
      <c r="Y43" s="4"/>
      <c r="Z43" s="4"/>
      <c r="AA43" s="4"/>
      <c r="AB43" s="3" t="s">
        <v>762</v>
      </c>
      <c r="AC43" s="3">
        <v>742000</v>
      </c>
      <c r="AD43" s="309"/>
      <c r="AE43" s="378"/>
      <c r="AF43" s="4"/>
      <c r="AG43" s="4"/>
      <c r="AH43" s="4">
        <f t="shared" si="10"/>
        <v>0</v>
      </c>
      <c r="AI43" s="4">
        <f t="shared" si="11"/>
        <v>1200000</v>
      </c>
      <c r="AJ43" s="40"/>
      <c r="AK43" s="4">
        <f t="shared" si="31"/>
        <v>1200000</v>
      </c>
      <c r="AL43" s="3"/>
      <c r="AM43" s="3"/>
      <c r="AN43" s="3"/>
      <c r="AO43" s="172">
        <v>0</v>
      </c>
      <c r="AP43" s="173">
        <v>0</v>
      </c>
      <c r="AQ43" s="184"/>
      <c r="AR43" s="184"/>
      <c r="AS43" s="173">
        <f>M43</f>
        <v>0</v>
      </c>
      <c r="AT43" s="173">
        <f t="shared" si="12"/>
        <v>0</v>
      </c>
      <c r="AU43" s="173">
        <f t="shared" si="13"/>
        <v>1400000</v>
      </c>
      <c r="AV43" s="173">
        <f t="shared" si="14"/>
        <v>0</v>
      </c>
      <c r="AW43" s="173"/>
      <c r="AX43" s="173">
        <f t="shared" si="15"/>
        <v>0</v>
      </c>
      <c r="AY43" s="173"/>
      <c r="AZ43" s="173"/>
      <c r="BA43" s="173"/>
      <c r="BB43" s="173">
        <f t="shared" si="16"/>
        <v>0</v>
      </c>
      <c r="BC43" s="4">
        <f t="shared" si="17"/>
        <v>0</v>
      </c>
      <c r="BD43" s="4"/>
      <c r="BE43" s="4"/>
      <c r="BF43" s="4"/>
      <c r="BG43" s="4"/>
      <c r="BH43" s="173">
        <f t="shared" si="18"/>
        <v>0</v>
      </c>
      <c r="BI43" s="3"/>
      <c r="BJ43" s="4">
        <f t="shared" si="19"/>
        <v>0</v>
      </c>
      <c r="BK43" s="173">
        <f t="shared" si="20"/>
        <v>0</v>
      </c>
      <c r="BL43" s="3"/>
      <c r="BM43" s="4">
        <f t="shared" si="21"/>
        <v>0</v>
      </c>
      <c r="BN43" s="3"/>
      <c r="BO43" s="3"/>
      <c r="BP43" s="3"/>
    </row>
    <row r="44" spans="1:68" s="5" customFormat="1" ht="30" customHeight="1">
      <c r="A44" s="3">
        <v>39</v>
      </c>
      <c r="B44" s="31">
        <v>2168</v>
      </c>
      <c r="C44" s="3" t="s">
        <v>763</v>
      </c>
      <c r="D44" s="4">
        <v>240000</v>
      </c>
      <c r="E44" s="4">
        <v>240000</v>
      </c>
      <c r="F44" s="4">
        <f>D44-E44</f>
        <v>0</v>
      </c>
      <c r="G44" s="4">
        <v>100000</v>
      </c>
      <c r="H44" s="4">
        <v>0</v>
      </c>
      <c r="I44" s="4"/>
      <c r="J44" s="4"/>
      <c r="K44" s="4">
        <f t="shared" si="28"/>
        <v>0</v>
      </c>
      <c r="L44" s="4">
        <f>H44+K44</f>
        <v>0</v>
      </c>
      <c r="M44" s="4">
        <f>Q44+T44</f>
        <v>100000</v>
      </c>
      <c r="N44" s="4">
        <v>240000</v>
      </c>
      <c r="O44" s="4">
        <f>N44-AH44</f>
        <v>140000</v>
      </c>
      <c r="P44" s="4">
        <f>D44-L44-M44-O44</f>
        <v>0</v>
      </c>
      <c r="Q44" s="4">
        <f>G44-L44</f>
        <v>100000</v>
      </c>
      <c r="R44" s="4"/>
      <c r="S44" s="4"/>
      <c r="T44" s="4">
        <f>SUM(R44:S44)</f>
        <v>0</v>
      </c>
      <c r="U44" s="4">
        <f>Q44-M44+T44</f>
        <v>0</v>
      </c>
      <c r="V44" s="4">
        <f>N44-U44</f>
        <v>240000</v>
      </c>
      <c r="W44" s="4">
        <f>V44-AA44-X44-Z44</f>
        <v>0</v>
      </c>
      <c r="X44" s="4">
        <v>240000</v>
      </c>
      <c r="Y44" s="4"/>
      <c r="Z44" s="4"/>
      <c r="AA44" s="4"/>
      <c r="AB44" s="3" t="s">
        <v>847</v>
      </c>
      <c r="AC44" s="3">
        <v>746000</v>
      </c>
      <c r="AD44" s="309"/>
      <c r="AE44" s="378"/>
      <c r="AF44" s="4">
        <v>100000</v>
      </c>
      <c r="AG44" s="4"/>
      <c r="AH44" s="4">
        <f>SUM(AD44:AG44)</f>
        <v>100000</v>
      </c>
      <c r="AI44" s="4">
        <f>V44-AH44</f>
        <v>140000</v>
      </c>
      <c r="AJ44" s="40"/>
      <c r="AK44" s="4">
        <f>AI44-AJ44</f>
        <v>140000</v>
      </c>
      <c r="AL44" s="3"/>
      <c r="AM44" s="3"/>
      <c r="AN44" s="3"/>
      <c r="AO44" s="172">
        <v>0</v>
      </c>
      <c r="AP44" s="173">
        <v>100000</v>
      </c>
      <c r="AQ44" s="184"/>
      <c r="AR44" s="184"/>
      <c r="AS44" s="173">
        <f>M44</f>
        <v>100000</v>
      </c>
      <c r="AT44" s="173">
        <f>SUM(AR44:AS44)</f>
        <v>100000</v>
      </c>
      <c r="AU44" s="173">
        <f>D44-L44-AT44</f>
        <v>140000</v>
      </c>
      <c r="AV44" s="173">
        <f>AR44+AS44-M44</f>
        <v>0</v>
      </c>
      <c r="AW44" s="173"/>
      <c r="AX44" s="173">
        <f>AR44+AS44-M44-AW44-BA44</f>
        <v>0</v>
      </c>
      <c r="AY44" s="173"/>
      <c r="AZ44" s="173"/>
      <c r="BA44" s="173"/>
      <c r="BB44" s="173">
        <f>AS44-M44</f>
        <v>0</v>
      </c>
      <c r="BC44" s="4">
        <f t="shared" si="17"/>
        <v>0</v>
      </c>
      <c r="BD44" s="4"/>
      <c r="BE44" s="4"/>
      <c r="BF44" s="4"/>
      <c r="BG44" s="4"/>
      <c r="BH44" s="173">
        <f t="shared" si="18"/>
        <v>0</v>
      </c>
      <c r="BI44" s="3"/>
      <c r="BJ44" s="4">
        <f t="shared" si="19"/>
        <v>0</v>
      </c>
      <c r="BK44" s="173">
        <f t="shared" si="20"/>
        <v>0</v>
      </c>
      <c r="BL44" s="3"/>
      <c r="BM44" s="4">
        <f t="shared" si="21"/>
        <v>0</v>
      </c>
      <c r="BN44" s="3"/>
      <c r="BO44" s="3"/>
      <c r="BP44" s="3"/>
    </row>
    <row r="45" spans="1:68" s="5" customFormat="1" ht="30" customHeight="1">
      <c r="A45" s="3">
        <v>40</v>
      </c>
      <c r="B45" s="31">
        <v>2181</v>
      </c>
      <c r="C45" s="3" t="s">
        <v>959</v>
      </c>
      <c r="D45" s="4">
        <v>1259000</v>
      </c>
      <c r="E45" s="4"/>
      <c r="F45" s="4">
        <f t="shared" si="27"/>
        <v>1259000</v>
      </c>
      <c r="G45" s="4"/>
      <c r="H45" s="4">
        <v>0</v>
      </c>
      <c r="I45" s="4"/>
      <c r="J45" s="4"/>
      <c r="K45" s="4">
        <f t="shared" si="28"/>
        <v>0</v>
      </c>
      <c r="L45" s="4">
        <f t="shared" si="6"/>
        <v>0</v>
      </c>
      <c r="M45" s="4">
        <f t="shared" si="1"/>
        <v>0</v>
      </c>
      <c r="N45" s="4"/>
      <c r="O45" s="4"/>
      <c r="P45" s="4"/>
      <c r="Q45" s="4">
        <f t="shared" si="2"/>
        <v>0</v>
      </c>
      <c r="R45" s="4"/>
      <c r="S45" s="4"/>
      <c r="T45" s="4">
        <f t="shared" si="29"/>
        <v>0</v>
      </c>
      <c r="U45" s="4">
        <f t="shared" si="3"/>
        <v>0</v>
      </c>
      <c r="V45" s="4">
        <f t="shared" si="4"/>
        <v>0</v>
      </c>
      <c r="W45" s="4">
        <f t="shared" si="30"/>
        <v>0</v>
      </c>
      <c r="X45" s="4"/>
      <c r="Y45" s="4"/>
      <c r="Z45" s="4"/>
      <c r="AA45" s="4"/>
      <c r="AB45" s="3"/>
      <c r="AC45" s="3"/>
      <c r="AD45" s="309"/>
      <c r="AE45" s="378"/>
      <c r="AF45" s="4"/>
      <c r="AG45" s="4"/>
      <c r="AH45" s="4">
        <f t="shared" si="10"/>
        <v>0</v>
      </c>
      <c r="AI45" s="4">
        <f t="shared" si="11"/>
        <v>0</v>
      </c>
      <c r="AJ45" s="40"/>
      <c r="AK45" s="4">
        <f t="shared" si="31"/>
        <v>0</v>
      </c>
      <c r="AL45" s="3"/>
      <c r="AM45" s="3"/>
      <c r="AN45" s="3"/>
      <c r="AO45" s="172">
        <v>0</v>
      </c>
      <c r="AP45" s="173"/>
      <c r="AQ45" s="3" t="s">
        <v>1040</v>
      </c>
      <c r="AR45" s="173">
        <v>1259000</v>
      </c>
      <c r="AS45" s="173">
        <f>M45</f>
        <v>0</v>
      </c>
      <c r="AT45" s="173">
        <f t="shared" si="12"/>
        <v>1259000</v>
      </c>
      <c r="AU45" s="173">
        <f t="shared" si="13"/>
        <v>0</v>
      </c>
      <c r="AV45" s="173">
        <f t="shared" si="14"/>
        <v>1259000</v>
      </c>
      <c r="AW45" s="173"/>
      <c r="AX45" s="173">
        <f t="shared" si="15"/>
        <v>0</v>
      </c>
      <c r="AY45" s="173"/>
      <c r="AZ45" s="173"/>
      <c r="BA45" s="173">
        <v>1259000</v>
      </c>
      <c r="BB45" s="173">
        <f t="shared" si="16"/>
        <v>0</v>
      </c>
      <c r="BC45" s="4">
        <f t="shared" si="17"/>
        <v>1259000</v>
      </c>
      <c r="BD45" s="4">
        <v>1259000</v>
      </c>
      <c r="BE45" s="4"/>
      <c r="BF45" s="4"/>
      <c r="BG45" s="4"/>
      <c r="BH45" s="173">
        <f t="shared" si="18"/>
        <v>1259000</v>
      </c>
      <c r="BI45" s="3"/>
      <c r="BJ45" s="4">
        <f t="shared" si="19"/>
        <v>1259000</v>
      </c>
      <c r="BK45" s="173">
        <f t="shared" si="20"/>
        <v>0</v>
      </c>
      <c r="BL45" s="3"/>
      <c r="BM45" s="4">
        <f t="shared" si="21"/>
        <v>0</v>
      </c>
      <c r="BN45" s="3"/>
      <c r="BO45" s="3"/>
      <c r="BP45" s="4">
        <v>1259000</v>
      </c>
    </row>
    <row r="46" spans="1:68" s="70" customFormat="1" ht="30" customHeight="1">
      <c r="A46" s="33">
        <v>40</v>
      </c>
      <c r="B46" s="33"/>
      <c r="C46" s="178" t="s">
        <v>511</v>
      </c>
      <c r="D46" s="73">
        <f>SUBTOTAL(9,D6:D45)</f>
        <v>243518379</v>
      </c>
      <c r="E46" s="73">
        <f t="shared" ref="E46:AV46" si="32">SUBTOTAL(9,E6:E45)</f>
        <v>242259379</v>
      </c>
      <c r="F46" s="73">
        <f t="shared" si="32"/>
        <v>1259000</v>
      </c>
      <c r="G46" s="73">
        <f t="shared" si="32"/>
        <v>204940379</v>
      </c>
      <c r="H46" s="73">
        <f t="shared" si="32"/>
        <v>186472910.16000003</v>
      </c>
      <c r="I46" s="73">
        <f t="shared" si="32"/>
        <v>0</v>
      </c>
      <c r="J46" s="73">
        <f t="shared" si="32"/>
        <v>6932798.8100000005</v>
      </c>
      <c r="K46" s="73">
        <f t="shared" si="32"/>
        <v>6932798.8100000005</v>
      </c>
      <c r="L46" s="73">
        <f t="shared" si="32"/>
        <v>193405708.97000003</v>
      </c>
      <c r="M46" s="73">
        <f t="shared" si="32"/>
        <v>11534670.030000001</v>
      </c>
      <c r="N46" s="73">
        <f t="shared" si="32"/>
        <v>33192000</v>
      </c>
      <c r="O46" s="73">
        <f t="shared" si="32"/>
        <v>24345000</v>
      </c>
      <c r="P46" s="73">
        <f t="shared" si="32"/>
        <v>12974000</v>
      </c>
      <c r="Q46" s="73">
        <f t="shared" si="32"/>
        <v>11534670.030000001</v>
      </c>
      <c r="R46" s="73">
        <f t="shared" si="32"/>
        <v>0</v>
      </c>
      <c r="S46" s="73">
        <f t="shared" si="32"/>
        <v>0</v>
      </c>
      <c r="T46" s="73">
        <f t="shared" si="32"/>
        <v>0</v>
      </c>
      <c r="U46" s="73">
        <f t="shared" si="32"/>
        <v>0</v>
      </c>
      <c r="V46" s="73">
        <f t="shared" si="32"/>
        <v>33192000</v>
      </c>
      <c r="W46" s="73">
        <f t="shared" si="32"/>
        <v>2930000</v>
      </c>
      <c r="X46" s="73">
        <f t="shared" si="32"/>
        <v>12522000</v>
      </c>
      <c r="Y46" s="73">
        <f t="shared" si="32"/>
        <v>0</v>
      </c>
      <c r="Z46" s="73">
        <f t="shared" si="32"/>
        <v>0</v>
      </c>
      <c r="AA46" s="73">
        <f t="shared" si="32"/>
        <v>17740000</v>
      </c>
      <c r="AB46" s="73">
        <f t="shared" si="32"/>
        <v>0</v>
      </c>
      <c r="AC46" s="73">
        <f t="shared" si="32"/>
        <v>30534500</v>
      </c>
      <c r="AD46" s="73">
        <f t="shared" si="32"/>
        <v>0</v>
      </c>
      <c r="AE46" s="73">
        <f t="shared" si="32"/>
        <v>1500000</v>
      </c>
      <c r="AF46" s="73">
        <f t="shared" si="32"/>
        <v>7347000</v>
      </c>
      <c r="AG46" s="73">
        <f t="shared" si="32"/>
        <v>0</v>
      </c>
      <c r="AH46" s="73">
        <f t="shared" si="32"/>
        <v>8847000</v>
      </c>
      <c r="AI46" s="73">
        <f t="shared" si="32"/>
        <v>24345000</v>
      </c>
      <c r="AJ46" s="73">
        <f t="shared" si="32"/>
        <v>830000</v>
      </c>
      <c r="AK46" s="73">
        <f t="shared" si="32"/>
        <v>8925000</v>
      </c>
      <c r="AL46" s="73">
        <f t="shared" si="32"/>
        <v>0</v>
      </c>
      <c r="AM46" s="73">
        <f t="shared" si="32"/>
        <v>0</v>
      </c>
      <c r="AN46" s="73">
        <f t="shared" si="32"/>
        <v>14590000</v>
      </c>
      <c r="AO46" s="73">
        <f t="shared" si="32"/>
        <v>12500002</v>
      </c>
      <c r="AP46" s="73">
        <f t="shared" si="32"/>
        <v>7492707.4200000018</v>
      </c>
      <c r="AQ46" s="73">
        <f t="shared" si="32"/>
        <v>0</v>
      </c>
      <c r="AR46" s="73">
        <f t="shared" si="32"/>
        <v>14099000</v>
      </c>
      <c r="AS46" s="73">
        <f t="shared" si="32"/>
        <v>7208670.0300000012</v>
      </c>
      <c r="AT46" s="73">
        <f t="shared" si="32"/>
        <v>21307670.030000005</v>
      </c>
      <c r="AU46" s="73">
        <f t="shared" si="32"/>
        <v>28805000</v>
      </c>
      <c r="AV46" s="73">
        <f t="shared" si="32"/>
        <v>9773000</v>
      </c>
      <c r="AW46" s="73">
        <f>SUBTOTAL(9,AW6:AW45)</f>
        <v>-2015000</v>
      </c>
      <c r="AX46" s="73">
        <f>SUBTOTAL(9,AX6:AX45)</f>
        <v>529000</v>
      </c>
      <c r="AY46" s="73">
        <f>SUBTOTAL(9,AY6:AY45)</f>
        <v>0</v>
      </c>
      <c r="AZ46" s="73">
        <f>SUBTOTAL(9,AZ6:AZ45)</f>
        <v>0</v>
      </c>
      <c r="BA46" s="73">
        <f>SUBTOTAL(9,BA6:BA45)</f>
        <v>11259000</v>
      </c>
      <c r="BB46" s="73">
        <f t="shared" ref="BB46:BP46" si="33">SUM(BB6:BB45)</f>
        <v>-4326000</v>
      </c>
      <c r="BC46" s="73">
        <f t="shared" si="33"/>
        <v>14099000</v>
      </c>
      <c r="BD46" s="73">
        <f t="shared" si="33"/>
        <v>2922000</v>
      </c>
      <c r="BE46" s="73">
        <f>SUM(BE6:BE45)</f>
        <v>0</v>
      </c>
      <c r="BF46" s="73">
        <f>SUM(BF6:BF45)</f>
        <v>2000000</v>
      </c>
      <c r="BG46" s="73">
        <f>SUM(BG6:BG45)</f>
        <v>5000000</v>
      </c>
      <c r="BH46" s="73">
        <f t="shared" si="33"/>
        <v>9922000</v>
      </c>
      <c r="BI46" s="73">
        <f t="shared" si="33"/>
        <v>0</v>
      </c>
      <c r="BJ46" s="73">
        <f t="shared" si="33"/>
        <v>9922000</v>
      </c>
      <c r="BK46" s="73">
        <f t="shared" si="33"/>
        <v>-149000</v>
      </c>
      <c r="BL46" s="73">
        <f t="shared" si="33"/>
        <v>-2015000</v>
      </c>
      <c r="BM46" s="73">
        <f t="shared" si="33"/>
        <v>678000</v>
      </c>
      <c r="BN46" s="73">
        <f t="shared" si="33"/>
        <v>0</v>
      </c>
      <c r="BO46" s="73">
        <f t="shared" si="33"/>
        <v>0</v>
      </c>
      <c r="BP46" s="73">
        <f t="shared" si="33"/>
        <v>11259000</v>
      </c>
    </row>
    <row r="47" spans="1:68" s="39" customFormat="1">
      <c r="A47" s="42"/>
      <c r="B47" s="42"/>
      <c r="C47" s="42"/>
      <c r="D47" s="25"/>
      <c r="E47" s="25"/>
      <c r="F47" s="25"/>
      <c r="G47" s="25"/>
      <c r="H47" s="25"/>
      <c r="I47" s="25"/>
      <c r="J47" s="25"/>
      <c r="K47" s="25"/>
      <c r="L47" s="21">
        <f>K46+H46</f>
        <v>193405708.97000003</v>
      </c>
      <c r="M47" s="21"/>
      <c r="N47" s="25"/>
      <c r="O47" s="25"/>
      <c r="P47" s="21">
        <f>L46+M46+O46+P46</f>
        <v>242259379.00000003</v>
      </c>
      <c r="Q47" s="14">
        <f>G46-L47</f>
        <v>11534670.029999971</v>
      </c>
      <c r="R47" s="25"/>
      <c r="S47" s="25"/>
      <c r="T47" s="25"/>
      <c r="U47" s="14">
        <f>Q47+T46-M46</f>
        <v>-2.9802322387695313E-8</v>
      </c>
      <c r="V47" s="21">
        <f>N46-U47</f>
        <v>33192000.00000003</v>
      </c>
      <c r="W47" s="25"/>
      <c r="X47" s="25"/>
      <c r="Y47" s="25"/>
      <c r="Z47" s="25"/>
      <c r="AA47" s="25"/>
      <c r="AC47" s="42"/>
      <c r="AD47" s="183"/>
      <c r="AE47" s="283"/>
      <c r="AF47" s="283"/>
      <c r="AG47" s="283"/>
      <c r="AH47" s="283"/>
      <c r="AI47" s="283"/>
      <c r="AJ47" s="286"/>
      <c r="AK47" s="22"/>
      <c r="AL47" s="166"/>
      <c r="AM47" s="42"/>
      <c r="AN47" s="42"/>
      <c r="AO47" s="294"/>
      <c r="AP47" s="294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D47" s="166"/>
      <c r="BE47" s="166"/>
      <c r="BF47" s="166"/>
      <c r="BG47" s="166"/>
      <c r="BH47" s="166"/>
      <c r="BK47" s="166"/>
    </row>
    <row r="48" spans="1:68" s="34" customFormat="1" ht="18.5" thickBo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4"/>
      <c r="O48" s="14"/>
      <c r="P48" s="14"/>
      <c r="Q48" s="14"/>
      <c r="R48" s="14"/>
      <c r="S48" s="14"/>
      <c r="T48" s="14"/>
      <c r="U48" s="14"/>
      <c r="V48" s="12"/>
      <c r="W48" s="12"/>
      <c r="X48" s="12"/>
      <c r="Y48" s="12"/>
      <c r="Z48" s="12"/>
      <c r="AA48" s="12"/>
      <c r="AB48" s="18"/>
      <c r="AC48" s="12"/>
      <c r="AD48" s="183"/>
      <c r="AE48" s="283"/>
      <c r="AF48" s="283"/>
      <c r="AG48" s="283"/>
      <c r="AH48" s="283"/>
      <c r="AI48" s="283"/>
      <c r="AJ48" s="286"/>
      <c r="AK48" s="17"/>
      <c r="AL48" s="166"/>
      <c r="AM48" s="17"/>
      <c r="AN48" s="17"/>
      <c r="AO48" s="294"/>
      <c r="AP48" s="294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D48" s="166"/>
      <c r="BE48" s="166"/>
      <c r="BF48" s="166"/>
      <c r="BG48" s="166"/>
      <c r="BH48" s="166"/>
      <c r="BK48" s="166"/>
    </row>
    <row r="49" spans="3:69" ht="18.5" thickBot="1">
      <c r="C49" s="166"/>
      <c r="AO49" s="493"/>
      <c r="AP49" s="493"/>
      <c r="AR49" s="493"/>
      <c r="AS49" s="493"/>
      <c r="AT49" s="351"/>
      <c r="AU49" s="351"/>
      <c r="AV49" s="351"/>
    </row>
    <row r="50" spans="3:69">
      <c r="C50" s="166"/>
      <c r="AO50" s="294"/>
      <c r="AP50" s="294"/>
    </row>
    <row r="51" spans="3:69" ht="14"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M51" s="166"/>
      <c r="AN51" s="166"/>
      <c r="AO51" s="166"/>
      <c r="AP51" s="166"/>
      <c r="BB51" s="166"/>
      <c r="BC51" s="166"/>
      <c r="BI51" s="166"/>
      <c r="BJ51" s="166"/>
      <c r="BL51" s="166"/>
      <c r="BM51" s="166"/>
      <c r="BN51" s="166"/>
      <c r="BO51" s="166"/>
      <c r="BP51" s="166"/>
      <c r="BQ51" s="166"/>
    </row>
    <row r="52" spans="3:69" ht="14"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M52" s="166"/>
      <c r="AN52" s="166"/>
      <c r="AO52" s="166"/>
      <c r="AP52" s="166"/>
      <c r="BB52" s="166"/>
      <c r="BC52" s="166"/>
      <c r="BI52" s="166"/>
      <c r="BJ52" s="166"/>
      <c r="BL52" s="166"/>
      <c r="BM52" s="166"/>
      <c r="BN52" s="166"/>
      <c r="BO52" s="166"/>
      <c r="BP52" s="166"/>
      <c r="BQ52" s="166"/>
    </row>
    <row r="53" spans="3:69" ht="14"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M53" s="166"/>
      <c r="AN53" s="166"/>
      <c r="AO53" s="166"/>
      <c r="AP53" s="166"/>
      <c r="BB53" s="166"/>
      <c r="BC53" s="166"/>
      <c r="BI53" s="166"/>
      <c r="BJ53" s="166"/>
      <c r="BL53" s="166"/>
      <c r="BM53" s="166"/>
      <c r="BN53" s="166"/>
      <c r="BO53" s="166"/>
      <c r="BP53" s="166"/>
      <c r="BQ53" s="166"/>
    </row>
    <row r="54" spans="3:69" ht="14"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M54" s="166"/>
      <c r="AN54" s="166"/>
      <c r="AO54" s="166"/>
      <c r="AP54" s="166"/>
      <c r="BB54" s="166"/>
      <c r="BC54" s="166"/>
      <c r="BI54" s="166"/>
      <c r="BJ54" s="166"/>
      <c r="BL54" s="166"/>
      <c r="BM54" s="166"/>
      <c r="BN54" s="166"/>
      <c r="BO54" s="166"/>
      <c r="BP54" s="166"/>
      <c r="BQ54" s="166"/>
    </row>
    <row r="55" spans="3:69" ht="14"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M55" s="166"/>
      <c r="AN55" s="166"/>
      <c r="AO55" s="166"/>
      <c r="AP55" s="166"/>
      <c r="BB55" s="166"/>
      <c r="BC55" s="166"/>
      <c r="BI55" s="166"/>
      <c r="BJ55" s="166"/>
      <c r="BL55" s="166"/>
      <c r="BM55" s="166"/>
      <c r="BN55" s="166"/>
      <c r="BO55" s="166"/>
      <c r="BP55" s="166"/>
      <c r="BQ55" s="166"/>
    </row>
    <row r="56" spans="3:69" ht="14"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M56" s="166"/>
      <c r="AN56" s="166"/>
      <c r="AO56" s="166"/>
      <c r="AP56" s="166"/>
      <c r="BB56" s="166"/>
      <c r="BC56" s="166"/>
      <c r="BI56" s="166"/>
      <c r="BJ56" s="166"/>
      <c r="BL56" s="166"/>
      <c r="BM56" s="166"/>
      <c r="BN56" s="166"/>
      <c r="BO56" s="166"/>
      <c r="BP56" s="166"/>
      <c r="BQ56" s="166"/>
    </row>
    <row r="57" spans="3:69" ht="14"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M57" s="166"/>
      <c r="AN57" s="166"/>
      <c r="AO57" s="166"/>
      <c r="AP57" s="166"/>
      <c r="BB57" s="166"/>
      <c r="BC57" s="166"/>
      <c r="BI57" s="166"/>
      <c r="BJ57" s="166"/>
      <c r="BL57" s="166"/>
      <c r="BM57" s="166"/>
      <c r="BN57" s="166"/>
      <c r="BO57" s="166"/>
      <c r="BP57" s="166"/>
      <c r="BQ57" s="166"/>
    </row>
    <row r="58" spans="3:69" ht="14"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M58" s="166"/>
      <c r="AN58" s="166"/>
      <c r="AO58" s="166"/>
      <c r="AP58" s="166"/>
      <c r="BB58" s="166"/>
      <c r="BC58" s="166"/>
      <c r="BI58" s="166"/>
      <c r="BJ58" s="166"/>
      <c r="BL58" s="166"/>
      <c r="BM58" s="166"/>
      <c r="BN58" s="166"/>
      <c r="BO58" s="166"/>
      <c r="BP58" s="166"/>
      <c r="BQ58" s="166"/>
    </row>
    <row r="59" spans="3:69">
      <c r="AO59" s="294"/>
      <c r="AP59" s="294"/>
    </row>
    <row r="60" spans="3:69">
      <c r="AO60" s="294"/>
      <c r="AP60" s="294"/>
    </row>
    <row r="61" spans="3:69">
      <c r="AO61" s="294"/>
      <c r="AP61" s="294"/>
    </row>
    <row r="62" spans="3:69">
      <c r="AO62" s="294"/>
      <c r="AP62" s="294"/>
    </row>
    <row r="63" spans="3:69">
      <c r="AO63" s="294"/>
      <c r="AP63" s="294"/>
    </row>
    <row r="64" spans="3:69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294"/>
      <c r="AP87" s="294"/>
    </row>
    <row r="88" spans="41:42">
      <c r="AO88" s="294"/>
      <c r="AP88" s="294"/>
    </row>
    <row r="89" spans="41:42">
      <c r="AO89" s="294"/>
      <c r="AP89" s="294"/>
    </row>
    <row r="90" spans="41:42">
      <c r="AO90" s="294"/>
      <c r="AP90" s="294"/>
    </row>
    <row r="91" spans="41:42">
      <c r="AO91" s="294"/>
      <c r="AP91" s="294"/>
    </row>
    <row r="92" spans="41:42">
      <c r="AO92" s="294"/>
      <c r="AP92" s="294"/>
    </row>
    <row r="93" spans="41:42">
      <c r="AO93" s="294"/>
      <c r="AP93" s="294"/>
    </row>
    <row r="94" spans="41:42">
      <c r="AO94" s="294"/>
      <c r="AP94" s="294"/>
    </row>
    <row r="95" spans="41:42">
      <c r="AO95" s="294"/>
      <c r="AP95" s="294"/>
    </row>
    <row r="96" spans="41:42">
      <c r="AO96" s="294"/>
      <c r="AP96" s="294"/>
    </row>
    <row r="97" spans="41:42">
      <c r="AO97" s="294"/>
      <c r="AP97" s="294"/>
    </row>
    <row r="98" spans="41:42">
      <c r="AO98" s="294"/>
      <c r="AP98" s="294"/>
    </row>
    <row r="99" spans="41:42">
      <c r="AO99" s="294"/>
      <c r="AP99" s="294"/>
    </row>
    <row r="100" spans="41:42">
      <c r="AO100" s="294"/>
      <c r="AP100" s="294"/>
    </row>
    <row r="101" spans="41:42">
      <c r="AO101" s="294"/>
      <c r="AP101" s="294"/>
    </row>
    <row r="102" spans="41:42">
      <c r="AO102" s="294"/>
      <c r="AP102" s="294"/>
    </row>
    <row r="103" spans="41:42">
      <c r="AO103" s="294"/>
      <c r="AP103" s="294"/>
    </row>
    <row r="104" spans="41:42">
      <c r="AO104" s="294"/>
      <c r="AP104" s="294"/>
    </row>
    <row r="105" spans="41:42">
      <c r="AO105" s="294"/>
      <c r="AP105" s="294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  <row r="129" spans="41:42">
      <c r="AO129" s="17"/>
      <c r="AP129" s="17"/>
    </row>
    <row r="130" spans="41:42">
      <c r="AO130" s="17"/>
      <c r="AP130" s="17"/>
    </row>
    <row r="131" spans="41:42">
      <c r="AO131" s="17"/>
      <c r="AP131" s="17"/>
    </row>
    <row r="132" spans="41:42">
      <c r="AO132" s="17"/>
      <c r="AP132" s="17"/>
    </row>
    <row r="133" spans="41:42">
      <c r="AO133" s="17"/>
      <c r="AP133" s="17"/>
    </row>
    <row r="134" spans="41:42">
      <c r="AO134" s="17"/>
      <c r="AP134" s="17"/>
    </row>
    <row r="135" spans="41:42">
      <c r="AO135" s="17"/>
      <c r="AP135" s="17"/>
    </row>
    <row r="136" spans="41:42">
      <c r="AO136" s="17"/>
      <c r="AP136" s="17"/>
    </row>
    <row r="137" spans="41:42">
      <c r="AO137" s="17"/>
      <c r="AP137" s="17"/>
    </row>
    <row r="138" spans="41:42">
      <c r="AO138" s="17"/>
      <c r="AP138" s="17"/>
    </row>
    <row r="139" spans="41:42">
      <c r="AO139" s="17"/>
      <c r="AP139" s="17"/>
    </row>
    <row r="140" spans="41:42">
      <c r="AO140" s="17"/>
      <c r="AP140" s="17"/>
    </row>
    <row r="141" spans="41:42">
      <c r="AO141" s="17"/>
      <c r="AP141" s="17"/>
    </row>
    <row r="142" spans="41:42">
      <c r="AO142" s="17"/>
      <c r="AP142" s="17"/>
    </row>
    <row r="143" spans="41:42">
      <c r="AO143" s="17"/>
      <c r="AP143" s="17"/>
    </row>
    <row r="144" spans="41:42">
      <c r="AO144" s="17"/>
      <c r="AP144" s="17"/>
    </row>
    <row r="145" spans="41:42">
      <c r="AO145" s="17"/>
      <c r="AP145" s="17"/>
    </row>
    <row r="146" spans="41:42">
      <c r="AO146" s="17"/>
      <c r="AP146" s="17"/>
    </row>
    <row r="147" spans="41:42">
      <c r="AO147" s="17"/>
      <c r="AP147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I5">
    <cfRule type="cellIs" dxfId="112" priority="17" operator="equal">
      <formula>0</formula>
    </cfRule>
  </conditionalFormatting>
  <conditionalFormatting sqref="AE40:AE43">
    <cfRule type="cellIs" dxfId="111" priority="16" operator="equal">
      <formula>0</formula>
    </cfRule>
  </conditionalFormatting>
  <conditionalFormatting sqref="AE45">
    <cfRule type="cellIs" dxfId="110" priority="15" operator="equal">
      <formula>0</formula>
    </cfRule>
  </conditionalFormatting>
  <conditionalFormatting sqref="AO1:AP3">
    <cfRule type="cellIs" dxfId="109" priority="14" operator="equal">
      <formula>0</formula>
    </cfRule>
  </conditionalFormatting>
  <conditionalFormatting sqref="AR1:BA3">
    <cfRule type="cellIs" dxfId="108" priority="13" operator="equal">
      <formula>0</formula>
    </cfRule>
  </conditionalFormatting>
  <conditionalFormatting sqref="AR17:AR18">
    <cfRule type="cellIs" dxfId="107" priority="12" operator="equal">
      <formula>0</formula>
    </cfRule>
  </conditionalFormatting>
  <conditionalFormatting sqref="AR12:AR14">
    <cfRule type="cellIs" dxfId="106" priority="11" operator="equal">
      <formula>0</formula>
    </cfRule>
  </conditionalFormatting>
  <conditionalFormatting sqref="AQ1:AQ3">
    <cfRule type="cellIs" dxfId="105" priority="10" operator="equal">
      <formula>0</formula>
    </cfRule>
  </conditionalFormatting>
  <conditionalFormatting sqref="AQ12:AQ13">
    <cfRule type="cellIs" dxfId="104" priority="9" operator="equal">
      <formula>0</formula>
    </cfRule>
  </conditionalFormatting>
  <conditionalFormatting sqref="AQ14:AQ23">
    <cfRule type="cellIs" dxfId="103" priority="8" operator="equal">
      <formula>0</formula>
    </cfRule>
  </conditionalFormatting>
  <conditionalFormatting sqref="AE44">
    <cfRule type="cellIs" dxfId="102" priority="7" operator="equal">
      <formula>0</formula>
    </cfRule>
  </conditionalFormatting>
  <conditionalFormatting sqref="BD1:BD3">
    <cfRule type="cellIs" dxfId="101" priority="6" operator="equal">
      <formula>0</formula>
    </cfRule>
  </conditionalFormatting>
  <conditionalFormatting sqref="BK1:BK3">
    <cfRule type="cellIs" dxfId="100" priority="5" operator="equal">
      <formula>0</formula>
    </cfRule>
  </conditionalFormatting>
  <conditionalFormatting sqref="BH1:BH3">
    <cfRule type="cellIs" dxfId="99" priority="4" operator="equal">
      <formula>0</formula>
    </cfRule>
  </conditionalFormatting>
  <conditionalFormatting sqref="BF1:BF3">
    <cfRule type="cellIs" dxfId="98" priority="3" operator="equal">
      <formula>0</formula>
    </cfRule>
  </conditionalFormatting>
  <conditionalFormatting sqref="BE1:BE3">
    <cfRule type="cellIs" dxfId="97" priority="2" operator="equal">
      <formula>0</formula>
    </cfRule>
  </conditionalFormatting>
  <conditionalFormatting sqref="BG1:BG3">
    <cfRule type="cellIs" dxfId="9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36"/>
  <sheetViews>
    <sheetView showZeros="0" rightToLeft="1" zoomScaleNormal="100" workbookViewId="0">
      <pane xSplit="3" ySplit="5" topLeftCell="AV17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5" style="29" customWidth="1"/>
    <col min="2" max="2" width="4.6328125" style="12" customWidth="1"/>
    <col min="3" max="3" width="28.36328125" style="12" customWidth="1"/>
    <col min="4" max="4" width="9.453125" style="14" hidden="1" customWidth="1"/>
    <col min="5" max="5" width="9.08984375" style="14" hidden="1" customWidth="1"/>
    <col min="6" max="6" width="8.36328125" style="14" hidden="1" customWidth="1"/>
    <col min="7" max="15" width="9.08984375" style="14" hidden="1" customWidth="1"/>
    <col min="16" max="16" width="10.08984375" style="14" hidden="1" customWidth="1"/>
    <col min="17" max="21" width="9.08984375" style="14" hidden="1" customWidth="1"/>
    <col min="22" max="27" width="9.08984375" style="12" hidden="1" customWidth="1"/>
    <col min="28" max="28" width="28.08984375" style="12" hidden="1" customWidth="1"/>
    <col min="29" max="29" width="7.90625" style="12" hidden="1" customWidth="1"/>
    <col min="30" max="30" width="10.6328125" style="286" hidden="1" customWidth="1"/>
    <col min="31" max="35" width="10.6328125" style="183" hidden="1" customWidth="1"/>
    <col min="36" max="40" width="10.6328125" style="24" hidden="1" customWidth="1"/>
    <col min="41" max="41" width="16.54296875" style="12" hidden="1" customWidth="1"/>
    <col min="42" max="42" width="11" style="12" hidden="1" customWidth="1"/>
    <col min="43" max="44" width="11.6328125" style="166" hidden="1" customWidth="1"/>
    <col min="45" max="45" width="8.90625" style="166" hidden="1" customWidth="1"/>
    <col min="46" max="46" width="10" style="166" hidden="1" customWidth="1"/>
    <col min="47" max="47" width="8.9062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7" customWidth="1"/>
    <col min="56" max="60" width="11.81640625" style="17" hidden="1" customWidth="1"/>
    <col min="61" max="61" width="11.81640625" style="12" hidden="1" customWidth="1"/>
    <col min="62" max="62" width="11.81640625" style="12" customWidth="1"/>
    <col min="63" max="63" width="11.81640625" style="17" customWidth="1"/>
    <col min="64" max="65" width="11.81640625" style="12" customWidth="1"/>
    <col min="66" max="67" width="11.81640625" style="12" hidden="1" customWidth="1"/>
    <col min="68" max="68" width="11.81640625" style="12" customWidth="1"/>
    <col min="69" max="16384" width="9.08984375" style="12"/>
  </cols>
  <sheetData>
    <row r="1" spans="1:68" s="284" customFormat="1" ht="1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283"/>
      <c r="AD1" s="286"/>
      <c r="AE1" s="183"/>
      <c r="AF1" s="183"/>
      <c r="AG1" s="183"/>
      <c r="AH1" s="183"/>
      <c r="AI1" s="183"/>
      <c r="AJ1" s="24"/>
      <c r="AK1" s="24"/>
      <c r="AL1" s="24"/>
      <c r="AM1" s="24"/>
      <c r="AN1" s="24"/>
      <c r="AO1" s="28"/>
      <c r="AP1" s="28"/>
      <c r="AQ1" s="166"/>
      <c r="AR1" s="166"/>
    </row>
    <row r="2" spans="1:68" s="166" customFormat="1" ht="18">
      <c r="A2" s="282" t="s">
        <v>1570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6"/>
      <c r="AC2" s="286"/>
      <c r="AD2" s="286"/>
      <c r="AE2" s="183"/>
      <c r="AF2" s="183"/>
      <c r="AG2" s="183"/>
      <c r="AH2" s="183"/>
      <c r="AI2" s="183"/>
      <c r="AJ2" s="24"/>
      <c r="AK2" s="24"/>
      <c r="AL2" s="24"/>
      <c r="AM2" s="24"/>
      <c r="AN2" s="24"/>
      <c r="AO2" s="12"/>
      <c r="AP2" s="12"/>
    </row>
    <row r="3" spans="1:68" s="166" customFormat="1" ht="18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6"/>
      <c r="AC3" s="286"/>
      <c r="AD3" s="286"/>
      <c r="AE3" s="183"/>
      <c r="AF3" s="183"/>
      <c r="AG3" s="183"/>
      <c r="AH3" s="183"/>
      <c r="AI3" s="183"/>
      <c r="AJ3" s="24"/>
      <c r="AK3" s="24"/>
      <c r="AL3" s="24"/>
      <c r="AM3" s="24"/>
      <c r="AN3" s="24"/>
      <c r="AO3" s="12"/>
      <c r="AP3" s="12"/>
    </row>
    <row r="4" spans="1:68" ht="20.399999999999999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24" customFormat="1" ht="86.25" customHeight="1">
      <c r="A5" s="433" t="s">
        <v>0</v>
      </c>
      <c r="B5" s="433" t="s">
        <v>1</v>
      </c>
      <c r="C5" s="433" t="s">
        <v>2</v>
      </c>
      <c r="D5" s="433" t="s">
        <v>3</v>
      </c>
      <c r="E5" s="433" t="s">
        <v>4</v>
      </c>
      <c r="F5" s="433" t="s">
        <v>5</v>
      </c>
      <c r="G5" s="433" t="s">
        <v>6</v>
      </c>
      <c r="H5" s="433" t="s">
        <v>7</v>
      </c>
      <c r="I5" s="433" t="s">
        <v>9</v>
      </c>
      <c r="J5" s="433" t="s">
        <v>178</v>
      </c>
      <c r="K5" s="433" t="s">
        <v>10</v>
      </c>
      <c r="L5" s="433" t="s">
        <v>11</v>
      </c>
      <c r="M5" s="432" t="s">
        <v>970</v>
      </c>
      <c r="N5" s="433" t="s">
        <v>971</v>
      </c>
      <c r="O5" s="433" t="s">
        <v>972</v>
      </c>
      <c r="P5" s="433" t="s">
        <v>628</v>
      </c>
      <c r="Q5" s="433" t="s">
        <v>12</v>
      </c>
      <c r="R5" s="433" t="s">
        <v>630</v>
      </c>
      <c r="S5" s="433" t="s">
        <v>631</v>
      </c>
      <c r="T5" s="433" t="s">
        <v>632</v>
      </c>
      <c r="U5" s="433" t="s">
        <v>629</v>
      </c>
      <c r="V5" s="446" t="s">
        <v>973</v>
      </c>
      <c r="W5" s="433" t="s">
        <v>13</v>
      </c>
      <c r="X5" s="433" t="s">
        <v>14</v>
      </c>
      <c r="Y5" s="433" t="s">
        <v>15</v>
      </c>
      <c r="Z5" s="433" t="s">
        <v>301</v>
      </c>
      <c r="AA5" s="433" t="s">
        <v>91</v>
      </c>
      <c r="AB5" s="447" t="s">
        <v>344</v>
      </c>
      <c r="AC5" s="433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982</v>
      </c>
      <c r="AP5" s="430" t="s">
        <v>983</v>
      </c>
      <c r="AQ5" s="433" t="s">
        <v>981</v>
      </c>
      <c r="AR5" s="430" t="s">
        <v>979</v>
      </c>
      <c r="AS5" s="430" t="s">
        <v>980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995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5" customFormat="1" ht="30" customHeight="1">
      <c r="A6" s="3">
        <v>1</v>
      </c>
      <c r="B6" s="3">
        <v>1700</v>
      </c>
      <c r="C6" s="3" t="s">
        <v>176</v>
      </c>
      <c r="D6" s="4">
        <v>56971</v>
      </c>
      <c r="E6" s="4">
        <v>56971</v>
      </c>
      <c r="F6" s="4">
        <f t="shared" ref="F6:F21" si="0">D6-E6</f>
        <v>0</v>
      </c>
      <c r="G6" s="4">
        <v>72000</v>
      </c>
      <c r="H6" s="4">
        <v>56971</v>
      </c>
      <c r="I6" s="4"/>
      <c r="J6" s="4"/>
      <c r="K6" s="4">
        <f t="shared" ref="K6:K21" si="1">I6+J6</f>
        <v>0</v>
      </c>
      <c r="L6" s="4">
        <f t="shared" ref="L6:L21" si="2">H6+K6</f>
        <v>56971</v>
      </c>
      <c r="M6" s="4">
        <f t="shared" ref="M6:M22" si="3">Q6+T6</f>
        <v>15029</v>
      </c>
      <c r="N6" s="4">
        <v>-15029</v>
      </c>
      <c r="O6" s="4">
        <f>N6-AH6</f>
        <v>-15029</v>
      </c>
      <c r="P6" s="4">
        <f>D6-L6-M6-O6</f>
        <v>0</v>
      </c>
      <c r="Q6" s="4">
        <f t="shared" ref="Q6:Q22" si="4">G6-L6</f>
        <v>15029</v>
      </c>
      <c r="R6" s="4"/>
      <c r="S6" s="4"/>
      <c r="T6" s="4">
        <f t="shared" ref="T6:T21" si="5">SUM(R6:S6)</f>
        <v>0</v>
      </c>
      <c r="U6" s="4">
        <f t="shared" ref="U6:U22" si="6">Q6-M6+T6</f>
        <v>0</v>
      </c>
      <c r="V6" s="4">
        <f t="shared" ref="V6:V22" si="7">N6-U6</f>
        <v>-15029</v>
      </c>
      <c r="W6" s="4"/>
      <c r="X6" s="4">
        <f t="shared" ref="X6:X21" si="8">V6-W6-Z6-AA6</f>
        <v>56971</v>
      </c>
      <c r="Y6" s="4"/>
      <c r="Z6" s="4"/>
      <c r="AA6" s="4">
        <v>-72000</v>
      </c>
      <c r="AB6" s="3" t="s">
        <v>764</v>
      </c>
      <c r="AC6" s="3">
        <v>747000</v>
      </c>
      <c r="AD6" s="182"/>
      <c r="AE6" s="309"/>
      <c r="AF6" s="309"/>
      <c r="AG6" s="309"/>
      <c r="AH6" s="4">
        <f>SUM(AD6:AG6)</f>
        <v>0</v>
      </c>
      <c r="AI6" s="4">
        <f>V6-AH6</f>
        <v>-15029</v>
      </c>
      <c r="AJ6" s="4"/>
      <c r="AK6" s="4">
        <f>AI6-AN6</f>
        <v>56971</v>
      </c>
      <c r="AL6" s="16"/>
      <c r="AM6" s="16"/>
      <c r="AN6" s="4">
        <v>-72000</v>
      </c>
      <c r="AO6" s="3"/>
      <c r="AP6" s="4">
        <v>15029</v>
      </c>
      <c r="AQ6" s="173"/>
      <c r="AR6" s="173"/>
      <c r="AS6" s="173">
        <f>AP6</f>
        <v>15029</v>
      </c>
      <c r="AT6" s="173">
        <f>SUM(AR6:AS6)</f>
        <v>15029</v>
      </c>
      <c r="AU6" s="173">
        <f>D6-L6-AT6</f>
        <v>-15029</v>
      </c>
      <c r="AV6" s="173">
        <f>AR6+AS6-M6</f>
        <v>0</v>
      </c>
      <c r="AW6" s="192"/>
      <c r="AX6" s="173">
        <f>AR6+AS6-M6</f>
        <v>0</v>
      </c>
      <c r="AY6" s="172"/>
      <c r="AZ6" s="172"/>
      <c r="BA6" s="172"/>
      <c r="BB6" s="173">
        <f>AS6-M6</f>
        <v>0</v>
      </c>
      <c r="BC6" s="4">
        <f>AR6</f>
        <v>0</v>
      </c>
      <c r="BD6" s="4"/>
      <c r="BE6" s="4"/>
      <c r="BF6" s="4"/>
      <c r="BG6" s="4"/>
      <c r="BH6" s="4">
        <f>SUM(BD6:BF6)</f>
        <v>0</v>
      </c>
      <c r="BI6" s="3"/>
      <c r="BJ6" s="4">
        <f>BH6+BI6</f>
        <v>0</v>
      </c>
      <c r="BK6" s="4">
        <f>AV6-BJ6</f>
        <v>0</v>
      </c>
      <c r="BL6" s="4"/>
      <c r="BM6" s="4">
        <f>BJ6-BP6</f>
        <v>0</v>
      </c>
      <c r="BN6" s="4"/>
      <c r="BO6" s="4"/>
      <c r="BP6" s="4"/>
    </row>
    <row r="7" spans="1:68" s="5" customFormat="1" ht="30" customHeight="1">
      <c r="A7" s="3">
        <v>2</v>
      </c>
      <c r="B7" s="3">
        <v>1923</v>
      </c>
      <c r="C7" s="3" t="s">
        <v>149</v>
      </c>
      <c r="D7" s="4">
        <v>152000</v>
      </c>
      <c r="E7" s="4">
        <v>152000</v>
      </c>
      <c r="F7" s="4">
        <f t="shared" si="0"/>
        <v>0</v>
      </c>
      <c r="G7" s="4">
        <v>152000</v>
      </c>
      <c r="H7" s="4">
        <v>138855.6</v>
      </c>
      <c r="I7" s="4">
        <v>13144.39</v>
      </c>
      <c r="J7" s="4"/>
      <c r="K7" s="4">
        <f t="shared" si="1"/>
        <v>13144.39</v>
      </c>
      <c r="L7" s="4">
        <f t="shared" si="2"/>
        <v>151999.99</v>
      </c>
      <c r="M7" s="4">
        <f t="shared" si="3"/>
        <v>1.0000000009313226E-2</v>
      </c>
      <c r="N7" s="4"/>
      <c r="O7" s="4">
        <f t="shared" ref="O7:O22" si="9">N7-AH7</f>
        <v>0</v>
      </c>
      <c r="P7" s="4">
        <f t="shared" ref="P7:P22" si="10">D7-L7-M7-O7</f>
        <v>0</v>
      </c>
      <c r="Q7" s="4">
        <f t="shared" si="4"/>
        <v>1.0000000009313226E-2</v>
      </c>
      <c r="R7" s="4"/>
      <c r="S7" s="4"/>
      <c r="T7" s="4">
        <f t="shared" si="5"/>
        <v>0</v>
      </c>
      <c r="U7" s="4">
        <f t="shared" si="6"/>
        <v>0</v>
      </c>
      <c r="V7" s="4">
        <f t="shared" si="7"/>
        <v>0</v>
      </c>
      <c r="W7" s="4"/>
      <c r="X7" s="4">
        <f t="shared" si="8"/>
        <v>0</v>
      </c>
      <c r="Y7" s="4"/>
      <c r="Z7" s="4"/>
      <c r="AA7" s="3"/>
      <c r="AB7" s="3" t="s">
        <v>765</v>
      </c>
      <c r="AC7" s="3">
        <v>747000</v>
      </c>
      <c r="AD7" s="182"/>
      <c r="AE7" s="309"/>
      <c r="AF7" s="309"/>
      <c r="AG7" s="309"/>
      <c r="AH7" s="4">
        <f>SUM(AD7:AG7)</f>
        <v>0</v>
      </c>
      <c r="AI7" s="4">
        <f>V7-AH7</f>
        <v>0</v>
      </c>
      <c r="AJ7" s="4"/>
      <c r="AK7" s="4">
        <f t="shared" ref="AK7:AK21" si="11">AI7-AN7</f>
        <v>0</v>
      </c>
      <c r="AL7" s="16"/>
      <c r="AM7" s="16"/>
      <c r="AN7" s="16"/>
      <c r="AO7" s="3"/>
      <c r="AP7" s="4"/>
      <c r="AQ7" s="184"/>
      <c r="AR7" s="184"/>
      <c r="AS7" s="173">
        <f t="shared" ref="AS7:AS22" si="12">AP7</f>
        <v>0</v>
      </c>
      <c r="AT7" s="173">
        <f t="shared" ref="AT7:AT22" si="13">SUM(AR7:AS7)</f>
        <v>0</v>
      </c>
      <c r="AU7" s="173">
        <f t="shared" ref="AU7:AU22" si="14">D7-L7-AT7</f>
        <v>1.0000000009313226E-2</v>
      </c>
      <c r="AV7" s="173">
        <f t="shared" ref="AV7:AV22" si="15">AR7+AS7-M7</f>
        <v>-1.0000000009313226E-2</v>
      </c>
      <c r="AW7" s="309"/>
      <c r="AX7" s="173">
        <f t="shared" ref="AX7:AX21" si="16">AR7+AS7-M7</f>
        <v>-1.0000000009313226E-2</v>
      </c>
      <c r="AY7" s="172"/>
      <c r="AZ7" s="172"/>
      <c r="BA7" s="172"/>
      <c r="BB7" s="173">
        <f t="shared" ref="BB7:BB22" si="17">AS7-M7</f>
        <v>-1.0000000009313226E-2</v>
      </c>
      <c r="BC7" s="4">
        <f t="shared" ref="BC7:BC22" si="18">AR7</f>
        <v>0</v>
      </c>
      <c r="BD7" s="4"/>
      <c r="BE7" s="4"/>
      <c r="BF7" s="4"/>
      <c r="BG7" s="4"/>
      <c r="BH7" s="4">
        <f t="shared" ref="BH7:BH22" si="19">SUM(BD7:BF7)</f>
        <v>0</v>
      </c>
      <c r="BI7" s="3"/>
      <c r="BJ7" s="4">
        <f t="shared" ref="BJ7:BJ22" si="20">BH7+BI7</f>
        <v>0</v>
      </c>
      <c r="BK7" s="4">
        <f t="shared" ref="BK7:BK22" si="21">AV7-BJ7</f>
        <v>-1.0000000009313226E-2</v>
      </c>
      <c r="BL7" s="4"/>
      <c r="BM7" s="4">
        <f t="shared" ref="BM7:BM22" si="22">BJ7-BP7</f>
        <v>0</v>
      </c>
      <c r="BN7" s="4"/>
      <c r="BO7" s="4"/>
      <c r="BP7" s="4"/>
    </row>
    <row r="8" spans="1:68" s="5" customFormat="1" ht="30" customHeight="1">
      <c r="A8" s="3">
        <v>3</v>
      </c>
      <c r="B8" s="3">
        <v>1996</v>
      </c>
      <c r="C8" s="3" t="s">
        <v>1012</v>
      </c>
      <c r="D8" s="4">
        <v>45000</v>
      </c>
      <c r="E8" s="4">
        <v>45000</v>
      </c>
      <c r="F8" s="4">
        <f t="shared" si="0"/>
        <v>0</v>
      </c>
      <c r="G8" s="4">
        <v>45000</v>
      </c>
      <c r="H8" s="4">
        <v>44917.3</v>
      </c>
      <c r="I8" s="4"/>
      <c r="J8" s="4"/>
      <c r="K8" s="4">
        <f t="shared" si="1"/>
        <v>0</v>
      </c>
      <c r="L8" s="4">
        <f t="shared" si="2"/>
        <v>44917.3</v>
      </c>
      <c r="M8" s="4">
        <f t="shared" si="3"/>
        <v>82.69999999999709</v>
      </c>
      <c r="N8" s="4"/>
      <c r="O8" s="4">
        <f t="shared" si="9"/>
        <v>0</v>
      </c>
      <c r="P8" s="4">
        <f t="shared" si="10"/>
        <v>0</v>
      </c>
      <c r="Q8" s="4">
        <f t="shared" si="4"/>
        <v>82.69999999999709</v>
      </c>
      <c r="R8" s="4"/>
      <c r="S8" s="4"/>
      <c r="T8" s="4">
        <f t="shared" si="5"/>
        <v>0</v>
      </c>
      <c r="U8" s="4">
        <f t="shared" si="6"/>
        <v>0</v>
      </c>
      <c r="V8" s="4">
        <f t="shared" si="7"/>
        <v>0</v>
      </c>
      <c r="W8" s="4"/>
      <c r="X8" s="4">
        <f t="shared" si="8"/>
        <v>0</v>
      </c>
      <c r="Y8" s="4"/>
      <c r="Z8" s="4"/>
      <c r="AA8" s="3"/>
      <c r="AB8" s="391" t="s">
        <v>934</v>
      </c>
      <c r="AC8" s="3">
        <v>747000</v>
      </c>
      <c r="AD8" s="182"/>
      <c r="AE8" s="309"/>
      <c r="AF8" s="309"/>
      <c r="AG8" s="309"/>
      <c r="AH8" s="4">
        <f>SUM(AD8:AG8)</f>
        <v>0</v>
      </c>
      <c r="AI8" s="4">
        <f>V8-AH8</f>
        <v>0</v>
      </c>
      <c r="AJ8" s="4"/>
      <c r="AK8" s="4">
        <f t="shared" si="11"/>
        <v>0</v>
      </c>
      <c r="AL8" s="16"/>
      <c r="AM8" s="16"/>
      <c r="AN8" s="16"/>
      <c r="AO8" s="3"/>
      <c r="AP8" s="4">
        <v>83</v>
      </c>
      <c r="AQ8" s="184"/>
      <c r="AR8" s="184"/>
      <c r="AS8" s="173">
        <f t="shared" si="12"/>
        <v>83</v>
      </c>
      <c r="AT8" s="173">
        <f t="shared" si="13"/>
        <v>83</v>
      </c>
      <c r="AU8" s="173">
        <f t="shared" si="14"/>
        <v>-0.30000000000291038</v>
      </c>
      <c r="AV8" s="173">
        <f t="shared" si="15"/>
        <v>0.30000000000291038</v>
      </c>
      <c r="AW8" s="172"/>
      <c r="AX8" s="173">
        <f t="shared" si="16"/>
        <v>0.30000000000291038</v>
      </c>
      <c r="AY8" s="172"/>
      <c r="AZ8" s="172"/>
      <c r="BA8" s="172"/>
      <c r="BB8" s="173">
        <f t="shared" si="17"/>
        <v>0.30000000000291038</v>
      </c>
      <c r="BC8" s="4">
        <f t="shared" si="18"/>
        <v>0</v>
      </c>
      <c r="BD8" s="4"/>
      <c r="BE8" s="4"/>
      <c r="BF8" s="4"/>
      <c r="BG8" s="4"/>
      <c r="BH8" s="4">
        <f t="shared" si="19"/>
        <v>0</v>
      </c>
      <c r="BI8" s="3"/>
      <c r="BJ8" s="4">
        <f t="shared" si="20"/>
        <v>0</v>
      </c>
      <c r="BK8" s="4">
        <f t="shared" si="21"/>
        <v>0.30000000000291038</v>
      </c>
      <c r="BL8" s="4"/>
      <c r="BM8" s="4">
        <f t="shared" si="22"/>
        <v>0</v>
      </c>
      <c r="BN8" s="4"/>
      <c r="BO8" s="4"/>
      <c r="BP8" s="4"/>
    </row>
    <row r="9" spans="1:68" s="5" customFormat="1" ht="30" customHeight="1">
      <c r="A9" s="3">
        <v>4</v>
      </c>
      <c r="B9" s="3">
        <v>2043</v>
      </c>
      <c r="C9" s="3" t="s">
        <v>766</v>
      </c>
      <c r="D9" s="4">
        <v>5200000</v>
      </c>
      <c r="E9" s="4">
        <v>5200000</v>
      </c>
      <c r="F9" s="4">
        <f t="shared" si="0"/>
        <v>0</v>
      </c>
      <c r="G9" s="4">
        <v>5050000</v>
      </c>
      <c r="H9" s="4">
        <v>3052860.73</v>
      </c>
      <c r="I9" s="4">
        <v>234772.66</v>
      </c>
      <c r="J9" s="4">
        <v>1389452.21</v>
      </c>
      <c r="K9" s="4">
        <f t="shared" si="1"/>
        <v>1624224.8699999999</v>
      </c>
      <c r="L9" s="4">
        <f t="shared" si="2"/>
        <v>4677085.5999999996</v>
      </c>
      <c r="M9" s="4">
        <f t="shared" si="3"/>
        <v>372914.40000000037</v>
      </c>
      <c r="N9" s="4">
        <f>2000000-150000</f>
        <v>1850000</v>
      </c>
      <c r="O9" s="4">
        <f t="shared" si="9"/>
        <v>0</v>
      </c>
      <c r="P9" s="4">
        <f t="shared" si="10"/>
        <v>150000</v>
      </c>
      <c r="Q9" s="4">
        <f t="shared" si="4"/>
        <v>372914.40000000037</v>
      </c>
      <c r="R9" s="4"/>
      <c r="S9" s="4"/>
      <c r="T9" s="4">
        <f t="shared" si="5"/>
        <v>0</v>
      </c>
      <c r="U9" s="4">
        <f t="shared" si="6"/>
        <v>0</v>
      </c>
      <c r="V9" s="4">
        <f t="shared" si="7"/>
        <v>1850000</v>
      </c>
      <c r="W9" s="4"/>
      <c r="X9" s="4">
        <f t="shared" si="8"/>
        <v>1850000</v>
      </c>
      <c r="Y9" s="4"/>
      <c r="Z9" s="4"/>
      <c r="AA9" s="3"/>
      <c r="AB9" s="3" t="s">
        <v>642</v>
      </c>
      <c r="AC9" s="3">
        <v>747000</v>
      </c>
      <c r="AD9" s="182"/>
      <c r="AE9" s="4">
        <v>1850000</v>
      </c>
      <c r="AF9" s="309"/>
      <c r="AG9" s="309"/>
      <c r="AH9" s="4">
        <f>SUM(AD9:AG9)</f>
        <v>1850000</v>
      </c>
      <c r="AI9" s="4">
        <f>V9-AH9</f>
        <v>0</v>
      </c>
      <c r="AJ9" s="4"/>
      <c r="AK9" s="4">
        <f t="shared" si="11"/>
        <v>0</v>
      </c>
      <c r="AL9" s="16"/>
      <c r="AM9" s="16"/>
      <c r="AN9" s="16"/>
      <c r="AO9" s="3"/>
      <c r="AP9" s="4">
        <v>372914</v>
      </c>
      <c r="AQ9" s="180">
        <f t="shared" ref="AQ9:BA9" si="23">SUM(AQ6:AQ8)</f>
        <v>0</v>
      </c>
      <c r="AR9" s="180">
        <f t="shared" si="23"/>
        <v>0</v>
      </c>
      <c r="AS9" s="173">
        <f t="shared" si="12"/>
        <v>372914</v>
      </c>
      <c r="AT9" s="173">
        <f t="shared" si="13"/>
        <v>372914</v>
      </c>
      <c r="AU9" s="173">
        <f t="shared" si="14"/>
        <v>150000.40000000037</v>
      </c>
      <c r="AV9" s="173">
        <f t="shared" si="15"/>
        <v>-0.40000000037252903</v>
      </c>
      <c r="AW9" s="180"/>
      <c r="AX9" s="173">
        <f t="shared" si="16"/>
        <v>-0.40000000037252903</v>
      </c>
      <c r="AY9" s="180">
        <f t="shared" si="23"/>
        <v>0</v>
      </c>
      <c r="AZ9" s="180">
        <f t="shared" si="23"/>
        <v>0</v>
      </c>
      <c r="BA9" s="180">
        <f t="shared" si="23"/>
        <v>0</v>
      </c>
      <c r="BB9" s="173">
        <f t="shared" si="17"/>
        <v>-0.40000000037252903</v>
      </c>
      <c r="BC9" s="4">
        <f t="shared" si="18"/>
        <v>0</v>
      </c>
      <c r="BD9" s="4"/>
      <c r="BE9" s="4"/>
      <c r="BF9" s="4"/>
      <c r="BG9" s="4"/>
      <c r="BH9" s="4">
        <f t="shared" si="19"/>
        <v>0</v>
      </c>
      <c r="BI9" s="3"/>
      <c r="BJ9" s="4">
        <f t="shared" si="20"/>
        <v>0</v>
      </c>
      <c r="BK9" s="4">
        <f t="shared" si="21"/>
        <v>-0.40000000037252903</v>
      </c>
      <c r="BL9" s="4"/>
      <c r="BM9" s="4">
        <f t="shared" si="22"/>
        <v>0</v>
      </c>
      <c r="BN9" s="4"/>
      <c r="BO9" s="4"/>
      <c r="BP9" s="4"/>
    </row>
    <row r="10" spans="1:68" s="5" customFormat="1" ht="30" customHeight="1">
      <c r="A10" s="3">
        <v>5</v>
      </c>
      <c r="B10" s="3">
        <v>2044</v>
      </c>
      <c r="C10" s="3" t="s">
        <v>194</v>
      </c>
      <c r="D10" s="4">
        <v>105000</v>
      </c>
      <c r="E10" s="4">
        <v>105000</v>
      </c>
      <c r="F10" s="4">
        <f t="shared" si="0"/>
        <v>0</v>
      </c>
      <c r="G10" s="4">
        <v>105000</v>
      </c>
      <c r="H10" s="4">
        <v>56160</v>
      </c>
      <c r="I10" s="4"/>
      <c r="J10" s="4"/>
      <c r="K10" s="4">
        <f t="shared" si="1"/>
        <v>0</v>
      </c>
      <c r="L10" s="4">
        <f t="shared" si="2"/>
        <v>56160</v>
      </c>
      <c r="M10" s="4">
        <f t="shared" si="3"/>
        <v>48840</v>
      </c>
      <c r="N10" s="4"/>
      <c r="O10" s="4">
        <f t="shared" si="9"/>
        <v>0</v>
      </c>
      <c r="P10" s="4">
        <f t="shared" si="10"/>
        <v>0</v>
      </c>
      <c r="Q10" s="4">
        <f t="shared" si="4"/>
        <v>48840</v>
      </c>
      <c r="R10" s="4"/>
      <c r="S10" s="4"/>
      <c r="T10" s="4">
        <f t="shared" si="5"/>
        <v>0</v>
      </c>
      <c r="U10" s="4">
        <f t="shared" si="6"/>
        <v>0</v>
      </c>
      <c r="V10" s="4">
        <f t="shared" si="7"/>
        <v>0</v>
      </c>
      <c r="W10" s="4"/>
      <c r="X10" s="4">
        <f t="shared" si="8"/>
        <v>0</v>
      </c>
      <c r="Y10" s="4"/>
      <c r="Z10" s="4"/>
      <c r="AA10" s="3"/>
      <c r="AB10" s="3" t="s">
        <v>767</v>
      </c>
      <c r="AC10" s="3">
        <v>747000</v>
      </c>
      <c r="AD10" s="182"/>
      <c r="AE10" s="309"/>
      <c r="AF10" s="309"/>
      <c r="AG10" s="309"/>
      <c r="AH10" s="4">
        <f t="shared" ref="AH10:AH22" si="24">SUM(AD10:AG10)</f>
        <v>0</v>
      </c>
      <c r="AI10" s="4">
        <f t="shared" ref="AI10:AI22" si="25">V10-AH10</f>
        <v>0</v>
      </c>
      <c r="AJ10" s="4"/>
      <c r="AK10" s="4">
        <f t="shared" si="11"/>
        <v>0</v>
      </c>
      <c r="AL10" s="16"/>
      <c r="AM10" s="16"/>
      <c r="AN10" s="16"/>
      <c r="AO10" s="3"/>
      <c r="AP10" s="4">
        <v>48840</v>
      </c>
      <c r="AQ10" s="184"/>
      <c r="AR10" s="184"/>
      <c r="AS10" s="173">
        <f t="shared" si="12"/>
        <v>48840</v>
      </c>
      <c r="AT10" s="173">
        <f t="shared" si="13"/>
        <v>48840</v>
      </c>
      <c r="AU10" s="173">
        <f t="shared" si="14"/>
        <v>0</v>
      </c>
      <c r="AV10" s="173">
        <f t="shared" si="15"/>
        <v>0</v>
      </c>
      <c r="AW10" s="172"/>
      <c r="AX10" s="173">
        <f t="shared" si="16"/>
        <v>0</v>
      </c>
      <c r="AY10" s="172"/>
      <c r="AZ10" s="172"/>
      <c r="BA10" s="172"/>
      <c r="BB10" s="173">
        <f t="shared" si="17"/>
        <v>0</v>
      </c>
      <c r="BC10" s="4">
        <f t="shared" si="18"/>
        <v>0</v>
      </c>
      <c r="BD10" s="4"/>
      <c r="BE10" s="4"/>
      <c r="BF10" s="4"/>
      <c r="BG10" s="4"/>
      <c r="BH10" s="4">
        <f t="shared" si="19"/>
        <v>0</v>
      </c>
      <c r="BI10" s="3"/>
      <c r="BJ10" s="4">
        <f t="shared" si="20"/>
        <v>0</v>
      </c>
      <c r="BK10" s="4">
        <f t="shared" si="21"/>
        <v>0</v>
      </c>
      <c r="BL10" s="4"/>
      <c r="BM10" s="4">
        <f t="shared" si="22"/>
        <v>0</v>
      </c>
      <c r="BN10" s="4"/>
      <c r="BO10" s="4"/>
      <c r="BP10" s="4"/>
    </row>
    <row r="11" spans="1:68" s="5" customFormat="1" ht="30" customHeight="1">
      <c r="A11" s="3">
        <v>6</v>
      </c>
      <c r="B11" s="3">
        <v>2045</v>
      </c>
      <c r="C11" s="3" t="s">
        <v>1013</v>
      </c>
      <c r="D11" s="4">
        <v>205000</v>
      </c>
      <c r="E11" s="4">
        <v>205000</v>
      </c>
      <c r="F11" s="4">
        <f t="shared" si="0"/>
        <v>0</v>
      </c>
      <c r="G11" s="4">
        <v>205000</v>
      </c>
      <c r="H11" s="4">
        <v>0</v>
      </c>
      <c r="I11" s="4">
        <v>184044.03</v>
      </c>
      <c r="J11" s="4"/>
      <c r="K11" s="4">
        <f t="shared" si="1"/>
        <v>184044.03</v>
      </c>
      <c r="L11" s="4">
        <f t="shared" si="2"/>
        <v>184044.03</v>
      </c>
      <c r="M11" s="4">
        <f t="shared" si="3"/>
        <v>20955.97</v>
      </c>
      <c r="N11" s="4"/>
      <c r="O11" s="4">
        <f t="shared" si="9"/>
        <v>0</v>
      </c>
      <c r="P11" s="4">
        <f t="shared" si="10"/>
        <v>0</v>
      </c>
      <c r="Q11" s="4">
        <f t="shared" si="4"/>
        <v>20955.97</v>
      </c>
      <c r="R11" s="4"/>
      <c r="S11" s="4"/>
      <c r="T11" s="4">
        <f t="shared" si="5"/>
        <v>0</v>
      </c>
      <c r="U11" s="4">
        <f t="shared" si="6"/>
        <v>0</v>
      </c>
      <c r="V11" s="4">
        <f t="shared" si="7"/>
        <v>0</v>
      </c>
      <c r="W11" s="4"/>
      <c r="X11" s="4">
        <f t="shared" si="8"/>
        <v>0</v>
      </c>
      <c r="Y11" s="4"/>
      <c r="Z11" s="4"/>
      <c r="AA11" s="3"/>
      <c r="AB11" s="3" t="s">
        <v>768</v>
      </c>
      <c r="AC11" s="3">
        <v>747000</v>
      </c>
      <c r="AD11" s="182"/>
      <c r="AE11" s="309"/>
      <c r="AF11" s="309"/>
      <c r="AG11" s="309"/>
      <c r="AH11" s="4">
        <f t="shared" si="24"/>
        <v>0</v>
      </c>
      <c r="AI11" s="4">
        <f t="shared" si="25"/>
        <v>0</v>
      </c>
      <c r="AJ11" s="4"/>
      <c r="AK11" s="4">
        <f t="shared" si="11"/>
        <v>0</v>
      </c>
      <c r="AL11" s="16"/>
      <c r="AM11" s="16"/>
      <c r="AN11" s="16"/>
      <c r="AO11" s="172"/>
      <c r="AP11" s="4">
        <v>20956</v>
      </c>
      <c r="AQ11" s="184"/>
      <c r="AR11" s="184"/>
      <c r="AS11" s="173">
        <f t="shared" si="12"/>
        <v>20956</v>
      </c>
      <c r="AT11" s="173">
        <f t="shared" si="13"/>
        <v>20956</v>
      </c>
      <c r="AU11" s="173">
        <f t="shared" si="14"/>
        <v>-2.9999999998835847E-2</v>
      </c>
      <c r="AV11" s="173">
        <f t="shared" si="15"/>
        <v>2.9999999998835847E-2</v>
      </c>
      <c r="AW11" s="184"/>
      <c r="AX11" s="173">
        <f t="shared" si="16"/>
        <v>2.9999999998835847E-2</v>
      </c>
      <c r="AY11" s="184"/>
      <c r="AZ11" s="184"/>
      <c r="BA11" s="184"/>
      <c r="BB11" s="173">
        <f t="shared" si="17"/>
        <v>2.9999999998835847E-2</v>
      </c>
      <c r="BC11" s="4">
        <f t="shared" si="18"/>
        <v>0</v>
      </c>
      <c r="BD11" s="4"/>
      <c r="BE11" s="4"/>
      <c r="BF11" s="4"/>
      <c r="BG11" s="4"/>
      <c r="BH11" s="4">
        <f t="shared" si="19"/>
        <v>0</v>
      </c>
      <c r="BI11" s="3"/>
      <c r="BJ11" s="4">
        <f t="shared" si="20"/>
        <v>0</v>
      </c>
      <c r="BK11" s="4">
        <f t="shared" si="21"/>
        <v>2.9999999998835847E-2</v>
      </c>
      <c r="BL11" s="4"/>
      <c r="BM11" s="4">
        <f t="shared" si="22"/>
        <v>0</v>
      </c>
      <c r="BN11" s="4"/>
      <c r="BO11" s="4"/>
      <c r="BP11" s="4"/>
    </row>
    <row r="12" spans="1:68" s="5" customFormat="1" ht="30" customHeight="1">
      <c r="A12" s="3">
        <v>7</v>
      </c>
      <c r="B12" s="3">
        <v>2046</v>
      </c>
      <c r="C12" s="3" t="s">
        <v>1014</v>
      </c>
      <c r="D12" s="4">
        <v>30000</v>
      </c>
      <c r="E12" s="4">
        <v>30000</v>
      </c>
      <c r="F12" s="4">
        <f t="shared" si="0"/>
        <v>0</v>
      </c>
      <c r="G12" s="4">
        <v>30000</v>
      </c>
      <c r="H12" s="4">
        <v>30000</v>
      </c>
      <c r="I12" s="4"/>
      <c r="J12" s="4"/>
      <c r="K12" s="4">
        <f t="shared" si="1"/>
        <v>0</v>
      </c>
      <c r="L12" s="4">
        <f t="shared" si="2"/>
        <v>30000</v>
      </c>
      <c r="M12" s="4">
        <f t="shared" si="3"/>
        <v>0</v>
      </c>
      <c r="N12" s="4"/>
      <c r="O12" s="4">
        <f t="shared" si="9"/>
        <v>0</v>
      </c>
      <c r="P12" s="4">
        <f t="shared" si="10"/>
        <v>0</v>
      </c>
      <c r="Q12" s="4">
        <f t="shared" si="4"/>
        <v>0</v>
      </c>
      <c r="R12" s="4"/>
      <c r="S12" s="4"/>
      <c r="T12" s="4">
        <f t="shared" si="5"/>
        <v>0</v>
      </c>
      <c r="U12" s="4">
        <f t="shared" si="6"/>
        <v>0</v>
      </c>
      <c r="V12" s="4">
        <f t="shared" si="7"/>
        <v>0</v>
      </c>
      <c r="W12" s="4"/>
      <c r="X12" s="4">
        <f t="shared" si="8"/>
        <v>0</v>
      </c>
      <c r="Y12" s="4"/>
      <c r="Z12" s="4"/>
      <c r="AA12" s="3"/>
      <c r="AB12" s="391" t="s">
        <v>934</v>
      </c>
      <c r="AC12" s="3">
        <v>747000</v>
      </c>
      <c r="AD12" s="182"/>
      <c r="AE12" s="309"/>
      <c r="AF12" s="309"/>
      <c r="AG12" s="309"/>
      <c r="AH12" s="4">
        <f t="shared" si="24"/>
        <v>0</v>
      </c>
      <c r="AI12" s="4">
        <f t="shared" si="25"/>
        <v>0</v>
      </c>
      <c r="AJ12" s="4"/>
      <c r="AK12" s="4">
        <f t="shared" si="11"/>
        <v>0</v>
      </c>
      <c r="AL12" s="16"/>
      <c r="AM12" s="16"/>
      <c r="AN12" s="16"/>
      <c r="AO12" s="172"/>
      <c r="AP12" s="4"/>
      <c r="AQ12" s="184"/>
      <c r="AR12" s="184"/>
      <c r="AS12" s="173">
        <f t="shared" si="12"/>
        <v>0</v>
      </c>
      <c r="AT12" s="173">
        <f t="shared" si="13"/>
        <v>0</v>
      </c>
      <c r="AU12" s="173">
        <f t="shared" si="14"/>
        <v>0</v>
      </c>
      <c r="AV12" s="173">
        <f t="shared" si="15"/>
        <v>0</v>
      </c>
      <c r="AW12" s="184"/>
      <c r="AX12" s="173">
        <f t="shared" si="16"/>
        <v>0</v>
      </c>
      <c r="AY12" s="184"/>
      <c r="AZ12" s="184"/>
      <c r="BA12" s="184"/>
      <c r="BB12" s="173">
        <f t="shared" si="17"/>
        <v>0</v>
      </c>
      <c r="BC12" s="4">
        <f t="shared" si="18"/>
        <v>0</v>
      </c>
      <c r="BD12" s="4"/>
      <c r="BE12" s="4"/>
      <c r="BF12" s="4"/>
      <c r="BG12" s="4"/>
      <c r="BH12" s="4">
        <f t="shared" si="19"/>
        <v>0</v>
      </c>
      <c r="BI12" s="3"/>
      <c r="BJ12" s="4">
        <f t="shared" si="20"/>
        <v>0</v>
      </c>
      <c r="BK12" s="4">
        <f t="shared" si="21"/>
        <v>0</v>
      </c>
      <c r="BL12" s="4"/>
      <c r="BM12" s="4">
        <f t="shared" si="22"/>
        <v>0</v>
      </c>
      <c r="BN12" s="4"/>
      <c r="BO12" s="4"/>
      <c r="BP12" s="4"/>
    </row>
    <row r="13" spans="1:68" s="5" customFormat="1" ht="30" customHeight="1">
      <c r="A13" s="3">
        <v>8</v>
      </c>
      <c r="B13" s="3">
        <v>2047</v>
      </c>
      <c r="C13" s="3" t="s">
        <v>440</v>
      </c>
      <c r="D13" s="4">
        <v>170000</v>
      </c>
      <c r="E13" s="4">
        <v>170000</v>
      </c>
      <c r="F13" s="4">
        <f t="shared" si="0"/>
        <v>0</v>
      </c>
      <c r="G13" s="4">
        <v>170000</v>
      </c>
      <c r="H13" s="4">
        <v>117000</v>
      </c>
      <c r="I13" s="4">
        <v>52999.99</v>
      </c>
      <c r="J13" s="4"/>
      <c r="K13" s="4">
        <f t="shared" si="1"/>
        <v>52999.99</v>
      </c>
      <c r="L13" s="4">
        <f t="shared" si="2"/>
        <v>169999.99</v>
      </c>
      <c r="M13" s="4">
        <f t="shared" si="3"/>
        <v>1.0000000009313226E-2</v>
      </c>
      <c r="N13" s="4"/>
      <c r="O13" s="4">
        <f t="shared" si="9"/>
        <v>0</v>
      </c>
      <c r="P13" s="4">
        <f t="shared" si="10"/>
        <v>0</v>
      </c>
      <c r="Q13" s="4">
        <f t="shared" si="4"/>
        <v>1.0000000009313226E-2</v>
      </c>
      <c r="R13" s="4"/>
      <c r="S13" s="4"/>
      <c r="T13" s="4">
        <f t="shared" si="5"/>
        <v>0</v>
      </c>
      <c r="U13" s="4">
        <f t="shared" si="6"/>
        <v>0</v>
      </c>
      <c r="V13" s="4">
        <f t="shared" si="7"/>
        <v>0</v>
      </c>
      <c r="W13" s="4"/>
      <c r="X13" s="4">
        <f t="shared" si="8"/>
        <v>0</v>
      </c>
      <c r="Y13" s="4"/>
      <c r="Z13" s="4"/>
      <c r="AA13" s="3"/>
      <c r="AB13" s="3" t="s">
        <v>769</v>
      </c>
      <c r="AC13" s="3">
        <v>747000</v>
      </c>
      <c r="AD13" s="182"/>
      <c r="AE13" s="309"/>
      <c r="AF13" s="309"/>
      <c r="AG13" s="309"/>
      <c r="AH13" s="4">
        <f t="shared" si="24"/>
        <v>0</v>
      </c>
      <c r="AI13" s="4">
        <f t="shared" si="25"/>
        <v>0</v>
      </c>
      <c r="AJ13" s="4"/>
      <c r="AK13" s="4">
        <f t="shared" si="11"/>
        <v>0</v>
      </c>
      <c r="AL13" s="16"/>
      <c r="AM13" s="16"/>
      <c r="AN13" s="16"/>
      <c r="AO13" s="172"/>
      <c r="AP13" s="4"/>
      <c r="AQ13" s="184"/>
      <c r="AR13" s="184"/>
      <c r="AS13" s="173">
        <f t="shared" si="12"/>
        <v>0</v>
      </c>
      <c r="AT13" s="173">
        <f t="shared" si="13"/>
        <v>0</v>
      </c>
      <c r="AU13" s="173">
        <f t="shared" si="14"/>
        <v>1.0000000009313226E-2</v>
      </c>
      <c r="AV13" s="173">
        <f t="shared" si="15"/>
        <v>-1.0000000009313226E-2</v>
      </c>
      <c r="AW13" s="184"/>
      <c r="AX13" s="173">
        <f t="shared" si="16"/>
        <v>-1.0000000009313226E-2</v>
      </c>
      <c r="AY13" s="184"/>
      <c r="AZ13" s="184"/>
      <c r="BA13" s="184"/>
      <c r="BB13" s="173">
        <f t="shared" si="17"/>
        <v>-1.0000000009313226E-2</v>
      </c>
      <c r="BC13" s="4">
        <f t="shared" si="18"/>
        <v>0</v>
      </c>
      <c r="BD13" s="4"/>
      <c r="BE13" s="4"/>
      <c r="BF13" s="4"/>
      <c r="BG13" s="4"/>
      <c r="BH13" s="4">
        <f t="shared" si="19"/>
        <v>0</v>
      </c>
      <c r="BI13" s="3"/>
      <c r="BJ13" s="4">
        <f t="shared" si="20"/>
        <v>0</v>
      </c>
      <c r="BK13" s="4">
        <f t="shared" si="21"/>
        <v>-1.0000000009313226E-2</v>
      </c>
      <c r="BL13" s="4"/>
      <c r="BM13" s="4">
        <f t="shared" si="22"/>
        <v>0</v>
      </c>
      <c r="BN13" s="4"/>
      <c r="BO13" s="4"/>
      <c r="BP13" s="4"/>
    </row>
    <row r="14" spans="1:68" s="5" customFormat="1" ht="30" customHeight="1">
      <c r="A14" s="3">
        <v>9</v>
      </c>
      <c r="B14" s="3">
        <v>2048</v>
      </c>
      <c r="C14" s="3" t="s">
        <v>195</v>
      </c>
      <c r="D14" s="4">
        <v>45000</v>
      </c>
      <c r="E14" s="4">
        <v>45000</v>
      </c>
      <c r="F14" s="4">
        <f t="shared" si="0"/>
        <v>0</v>
      </c>
      <c r="G14" s="4">
        <v>45000</v>
      </c>
      <c r="H14" s="4">
        <v>45000</v>
      </c>
      <c r="I14" s="4"/>
      <c r="J14" s="4"/>
      <c r="K14" s="4">
        <f t="shared" si="1"/>
        <v>0</v>
      </c>
      <c r="L14" s="4">
        <f t="shared" si="2"/>
        <v>45000</v>
      </c>
      <c r="M14" s="4">
        <f t="shared" si="3"/>
        <v>0</v>
      </c>
      <c r="N14" s="4"/>
      <c r="O14" s="4">
        <f t="shared" si="9"/>
        <v>0</v>
      </c>
      <c r="P14" s="4">
        <f t="shared" si="10"/>
        <v>0</v>
      </c>
      <c r="Q14" s="4">
        <f t="shared" si="4"/>
        <v>0</v>
      </c>
      <c r="R14" s="4"/>
      <c r="S14" s="4"/>
      <c r="T14" s="4">
        <f t="shared" si="5"/>
        <v>0</v>
      </c>
      <c r="U14" s="4">
        <f t="shared" si="6"/>
        <v>0</v>
      </c>
      <c r="V14" s="4">
        <f t="shared" si="7"/>
        <v>0</v>
      </c>
      <c r="W14" s="4"/>
      <c r="X14" s="4">
        <f t="shared" si="8"/>
        <v>0</v>
      </c>
      <c r="Y14" s="4"/>
      <c r="Z14" s="4"/>
      <c r="AA14" s="3"/>
      <c r="AB14" s="391" t="s">
        <v>934</v>
      </c>
      <c r="AC14" s="3">
        <v>747000</v>
      </c>
      <c r="AD14" s="182"/>
      <c r="AE14" s="309"/>
      <c r="AF14" s="309"/>
      <c r="AG14" s="309"/>
      <c r="AH14" s="4">
        <f t="shared" si="24"/>
        <v>0</v>
      </c>
      <c r="AI14" s="4">
        <f t="shared" si="25"/>
        <v>0</v>
      </c>
      <c r="AJ14" s="4"/>
      <c r="AK14" s="4">
        <f t="shared" si="11"/>
        <v>0</v>
      </c>
      <c r="AL14" s="16"/>
      <c r="AM14" s="16"/>
      <c r="AN14" s="16"/>
      <c r="AO14" s="172"/>
      <c r="AP14" s="4"/>
      <c r="AQ14" s="184"/>
      <c r="AR14" s="184"/>
      <c r="AS14" s="173">
        <f t="shared" si="12"/>
        <v>0</v>
      </c>
      <c r="AT14" s="173">
        <f t="shared" si="13"/>
        <v>0</v>
      </c>
      <c r="AU14" s="173">
        <f t="shared" si="14"/>
        <v>0</v>
      </c>
      <c r="AV14" s="173">
        <f t="shared" si="15"/>
        <v>0</v>
      </c>
      <c r="AW14" s="184"/>
      <c r="AX14" s="173">
        <f t="shared" si="16"/>
        <v>0</v>
      </c>
      <c r="AY14" s="184"/>
      <c r="AZ14" s="184"/>
      <c r="BA14" s="184"/>
      <c r="BB14" s="173">
        <f t="shared" si="17"/>
        <v>0</v>
      </c>
      <c r="BC14" s="4">
        <f t="shared" si="18"/>
        <v>0</v>
      </c>
      <c r="BD14" s="4"/>
      <c r="BE14" s="4"/>
      <c r="BF14" s="4"/>
      <c r="BG14" s="4"/>
      <c r="BH14" s="4">
        <f t="shared" si="19"/>
        <v>0</v>
      </c>
      <c r="BI14" s="3"/>
      <c r="BJ14" s="4">
        <f t="shared" si="20"/>
        <v>0</v>
      </c>
      <c r="BK14" s="4">
        <f t="shared" si="21"/>
        <v>0</v>
      </c>
      <c r="BL14" s="4"/>
      <c r="BM14" s="4">
        <f t="shared" si="22"/>
        <v>0</v>
      </c>
      <c r="BN14" s="4"/>
      <c r="BO14" s="4"/>
      <c r="BP14" s="4"/>
    </row>
    <row r="15" spans="1:68" s="5" customFormat="1" ht="30" customHeight="1">
      <c r="A15" s="3">
        <v>10</v>
      </c>
      <c r="B15" s="3">
        <v>2049</v>
      </c>
      <c r="C15" s="3" t="s">
        <v>1015</v>
      </c>
      <c r="D15" s="4">
        <v>24500</v>
      </c>
      <c r="E15" s="4">
        <v>24500</v>
      </c>
      <c r="F15" s="4">
        <f t="shared" si="0"/>
        <v>0</v>
      </c>
      <c r="G15" s="4">
        <v>24500</v>
      </c>
      <c r="H15" s="4">
        <v>22991.81</v>
      </c>
      <c r="I15" s="4"/>
      <c r="J15" s="4"/>
      <c r="K15" s="4">
        <f t="shared" si="1"/>
        <v>0</v>
      </c>
      <c r="L15" s="4">
        <f t="shared" si="2"/>
        <v>22991.81</v>
      </c>
      <c r="M15" s="4">
        <f t="shared" si="3"/>
        <v>1508.1899999999987</v>
      </c>
      <c r="N15" s="4"/>
      <c r="O15" s="4">
        <f t="shared" si="9"/>
        <v>0</v>
      </c>
      <c r="P15" s="4">
        <f t="shared" si="10"/>
        <v>0</v>
      </c>
      <c r="Q15" s="4">
        <f t="shared" si="4"/>
        <v>1508.1899999999987</v>
      </c>
      <c r="R15" s="4"/>
      <c r="S15" s="4"/>
      <c r="T15" s="4">
        <f t="shared" si="5"/>
        <v>0</v>
      </c>
      <c r="U15" s="4">
        <f t="shared" si="6"/>
        <v>0</v>
      </c>
      <c r="V15" s="4">
        <f t="shared" si="7"/>
        <v>0</v>
      </c>
      <c r="W15" s="4"/>
      <c r="X15" s="4">
        <f t="shared" si="8"/>
        <v>0</v>
      </c>
      <c r="Y15" s="4"/>
      <c r="Z15" s="4"/>
      <c r="AA15" s="3"/>
      <c r="AB15" s="3" t="s">
        <v>496</v>
      </c>
      <c r="AC15" s="3">
        <v>747000</v>
      </c>
      <c r="AD15" s="182"/>
      <c r="AE15" s="309"/>
      <c r="AF15" s="309"/>
      <c r="AG15" s="309"/>
      <c r="AH15" s="4">
        <f t="shared" si="24"/>
        <v>0</v>
      </c>
      <c r="AI15" s="4">
        <f t="shared" si="25"/>
        <v>0</v>
      </c>
      <c r="AJ15" s="4"/>
      <c r="AK15" s="4">
        <f t="shared" si="11"/>
        <v>0</v>
      </c>
      <c r="AL15" s="16"/>
      <c r="AM15" s="16"/>
      <c r="AN15" s="16"/>
      <c r="AO15" s="172"/>
      <c r="AP15" s="4">
        <v>1508</v>
      </c>
      <c r="AQ15" s="184"/>
      <c r="AR15" s="184"/>
      <c r="AS15" s="173">
        <f t="shared" si="12"/>
        <v>1508</v>
      </c>
      <c r="AT15" s="173">
        <f t="shared" si="13"/>
        <v>1508</v>
      </c>
      <c r="AU15" s="173">
        <f t="shared" si="14"/>
        <v>0.18999999999869033</v>
      </c>
      <c r="AV15" s="173">
        <f t="shared" si="15"/>
        <v>-0.18999999999869033</v>
      </c>
      <c r="AW15" s="184"/>
      <c r="AX15" s="173">
        <f t="shared" si="16"/>
        <v>-0.18999999999869033</v>
      </c>
      <c r="AY15" s="184"/>
      <c r="AZ15" s="184"/>
      <c r="BA15" s="184"/>
      <c r="BB15" s="173">
        <f t="shared" si="17"/>
        <v>-0.18999999999869033</v>
      </c>
      <c r="BC15" s="4">
        <f t="shared" si="18"/>
        <v>0</v>
      </c>
      <c r="BD15" s="4"/>
      <c r="BE15" s="4"/>
      <c r="BF15" s="4"/>
      <c r="BG15" s="4"/>
      <c r="BH15" s="4">
        <f t="shared" si="19"/>
        <v>0</v>
      </c>
      <c r="BI15" s="3"/>
      <c r="BJ15" s="4">
        <f t="shared" si="20"/>
        <v>0</v>
      </c>
      <c r="BK15" s="4">
        <f t="shared" si="21"/>
        <v>-0.18999999999869033</v>
      </c>
      <c r="BL15" s="4"/>
      <c r="BM15" s="4">
        <f t="shared" si="22"/>
        <v>0</v>
      </c>
      <c r="BN15" s="4"/>
      <c r="BO15" s="4"/>
      <c r="BP15" s="4"/>
    </row>
    <row r="16" spans="1:68" s="5" customFormat="1" ht="30" customHeight="1">
      <c r="A16" s="3">
        <v>11</v>
      </c>
      <c r="B16" s="31">
        <v>2084</v>
      </c>
      <c r="C16" s="3" t="s">
        <v>441</v>
      </c>
      <c r="D16" s="4">
        <v>85000</v>
      </c>
      <c r="E16" s="4">
        <v>85000</v>
      </c>
      <c r="F16" s="4">
        <f t="shared" si="0"/>
        <v>0</v>
      </c>
      <c r="G16" s="4">
        <v>85000</v>
      </c>
      <c r="H16" s="4">
        <v>85000</v>
      </c>
      <c r="I16" s="4"/>
      <c r="J16" s="4"/>
      <c r="K16" s="4">
        <f t="shared" si="1"/>
        <v>0</v>
      </c>
      <c r="L16" s="4">
        <f t="shared" si="2"/>
        <v>85000</v>
      </c>
      <c r="M16" s="4">
        <f t="shared" si="3"/>
        <v>0</v>
      </c>
      <c r="N16" s="4"/>
      <c r="O16" s="4">
        <f t="shared" si="9"/>
        <v>0</v>
      </c>
      <c r="P16" s="4">
        <f t="shared" si="10"/>
        <v>0</v>
      </c>
      <c r="Q16" s="4">
        <f t="shared" si="4"/>
        <v>0</v>
      </c>
      <c r="R16" s="4"/>
      <c r="S16" s="4"/>
      <c r="T16" s="4">
        <f t="shared" si="5"/>
        <v>0</v>
      </c>
      <c r="U16" s="4">
        <f t="shared" si="6"/>
        <v>0</v>
      </c>
      <c r="V16" s="4">
        <f t="shared" si="7"/>
        <v>0</v>
      </c>
      <c r="W16" s="4"/>
      <c r="X16" s="4">
        <f t="shared" si="8"/>
        <v>0</v>
      </c>
      <c r="Y16" s="4"/>
      <c r="Z16" s="4"/>
      <c r="AA16" s="4"/>
      <c r="AB16" s="391" t="s">
        <v>934</v>
      </c>
      <c r="AC16" s="3">
        <v>747000</v>
      </c>
      <c r="AD16" s="182"/>
      <c r="AE16" s="309"/>
      <c r="AF16" s="309"/>
      <c r="AG16" s="309"/>
      <c r="AH16" s="4">
        <f t="shared" si="24"/>
        <v>0</v>
      </c>
      <c r="AI16" s="4">
        <f t="shared" si="25"/>
        <v>0</v>
      </c>
      <c r="AJ16" s="4"/>
      <c r="AK16" s="4">
        <f t="shared" si="11"/>
        <v>0</v>
      </c>
      <c r="AL16" s="16"/>
      <c r="AM16" s="16"/>
      <c r="AN16" s="16"/>
      <c r="AO16" s="172"/>
      <c r="AP16" s="172"/>
      <c r="AQ16" s="184"/>
      <c r="AR16" s="184"/>
      <c r="AS16" s="173">
        <f t="shared" si="12"/>
        <v>0</v>
      </c>
      <c r="AT16" s="173">
        <f t="shared" si="13"/>
        <v>0</v>
      </c>
      <c r="AU16" s="173">
        <f t="shared" si="14"/>
        <v>0</v>
      </c>
      <c r="AV16" s="173">
        <f t="shared" si="15"/>
        <v>0</v>
      </c>
      <c r="AW16" s="184"/>
      <c r="AX16" s="173">
        <f t="shared" si="16"/>
        <v>0</v>
      </c>
      <c r="AY16" s="184"/>
      <c r="AZ16" s="184"/>
      <c r="BA16" s="184"/>
      <c r="BB16" s="173">
        <f t="shared" si="17"/>
        <v>0</v>
      </c>
      <c r="BC16" s="4">
        <f t="shared" si="18"/>
        <v>0</v>
      </c>
      <c r="BD16" s="4"/>
      <c r="BE16" s="4"/>
      <c r="BF16" s="4"/>
      <c r="BG16" s="4"/>
      <c r="BH16" s="4">
        <f t="shared" si="19"/>
        <v>0</v>
      </c>
      <c r="BI16" s="3"/>
      <c r="BJ16" s="4">
        <f t="shared" si="20"/>
        <v>0</v>
      </c>
      <c r="BK16" s="4">
        <f t="shared" si="21"/>
        <v>0</v>
      </c>
      <c r="BL16" s="4"/>
      <c r="BM16" s="4">
        <f t="shared" si="22"/>
        <v>0</v>
      </c>
      <c r="BN16" s="4"/>
      <c r="BO16" s="4"/>
      <c r="BP16" s="4"/>
    </row>
    <row r="17" spans="1:68" s="5" customFormat="1" ht="30" customHeight="1">
      <c r="A17" s="3">
        <v>12</v>
      </c>
      <c r="B17" s="31">
        <v>2085</v>
      </c>
      <c r="C17" s="3" t="s">
        <v>1016</v>
      </c>
      <c r="D17" s="4">
        <v>85000</v>
      </c>
      <c r="E17" s="4">
        <v>85000</v>
      </c>
      <c r="F17" s="4">
        <f t="shared" si="0"/>
        <v>0</v>
      </c>
      <c r="G17" s="4">
        <v>85000</v>
      </c>
      <c r="H17" s="4">
        <v>73851</v>
      </c>
      <c r="I17" s="4"/>
      <c r="J17" s="4"/>
      <c r="K17" s="4">
        <f>I17+J17</f>
        <v>0</v>
      </c>
      <c r="L17" s="4">
        <f>H17+K17</f>
        <v>73851</v>
      </c>
      <c r="M17" s="4">
        <f t="shared" si="3"/>
        <v>11149</v>
      </c>
      <c r="N17" s="4"/>
      <c r="O17" s="4">
        <f t="shared" si="9"/>
        <v>0</v>
      </c>
      <c r="P17" s="4">
        <f t="shared" si="10"/>
        <v>0</v>
      </c>
      <c r="Q17" s="4">
        <f t="shared" si="4"/>
        <v>11149</v>
      </c>
      <c r="R17" s="4"/>
      <c r="S17" s="4"/>
      <c r="T17" s="4">
        <f>SUM(R17:S17)</f>
        <v>0</v>
      </c>
      <c r="U17" s="4">
        <f t="shared" si="6"/>
        <v>0</v>
      </c>
      <c r="V17" s="4">
        <f t="shared" si="7"/>
        <v>0</v>
      </c>
      <c r="W17" s="4"/>
      <c r="X17" s="4">
        <f t="shared" si="8"/>
        <v>0</v>
      </c>
      <c r="Y17" s="4"/>
      <c r="Z17" s="4"/>
      <c r="AA17" s="4"/>
      <c r="AB17" s="3" t="s">
        <v>915</v>
      </c>
      <c r="AC17" s="3">
        <v>747000</v>
      </c>
      <c r="AD17" s="182"/>
      <c r="AE17" s="309"/>
      <c r="AF17" s="309"/>
      <c r="AG17" s="309"/>
      <c r="AH17" s="4">
        <f t="shared" si="24"/>
        <v>0</v>
      </c>
      <c r="AI17" s="4">
        <f t="shared" si="25"/>
        <v>0</v>
      </c>
      <c r="AJ17" s="4"/>
      <c r="AK17" s="4">
        <f t="shared" si="11"/>
        <v>0</v>
      </c>
      <c r="AL17" s="16"/>
      <c r="AM17" s="16"/>
      <c r="AN17" s="16"/>
      <c r="AO17" s="172"/>
      <c r="AP17" s="4">
        <v>11149</v>
      </c>
      <c r="AQ17" s="184"/>
      <c r="AR17" s="184"/>
      <c r="AS17" s="173">
        <f t="shared" si="12"/>
        <v>11149</v>
      </c>
      <c r="AT17" s="173">
        <f t="shared" si="13"/>
        <v>11149</v>
      </c>
      <c r="AU17" s="173">
        <f t="shared" si="14"/>
        <v>0</v>
      </c>
      <c r="AV17" s="173">
        <f t="shared" si="15"/>
        <v>0</v>
      </c>
      <c r="AW17" s="184"/>
      <c r="AX17" s="173">
        <f t="shared" si="16"/>
        <v>0</v>
      </c>
      <c r="AY17" s="184"/>
      <c r="AZ17" s="184"/>
      <c r="BA17" s="184"/>
      <c r="BB17" s="173">
        <f t="shared" si="17"/>
        <v>0</v>
      </c>
      <c r="BC17" s="4">
        <f t="shared" si="18"/>
        <v>0</v>
      </c>
      <c r="BD17" s="4"/>
      <c r="BE17" s="4"/>
      <c r="BF17" s="4"/>
      <c r="BG17" s="4"/>
      <c r="BH17" s="4">
        <f t="shared" si="19"/>
        <v>0</v>
      </c>
      <c r="BI17" s="3"/>
      <c r="BJ17" s="4">
        <f t="shared" si="20"/>
        <v>0</v>
      </c>
      <c r="BK17" s="4">
        <f t="shared" si="21"/>
        <v>0</v>
      </c>
      <c r="BL17" s="4"/>
      <c r="BM17" s="4">
        <f t="shared" si="22"/>
        <v>0</v>
      </c>
      <c r="BN17" s="4"/>
      <c r="BO17" s="4"/>
      <c r="BP17" s="4"/>
    </row>
    <row r="18" spans="1:68" s="5" customFormat="1" ht="30" customHeight="1">
      <c r="A18" s="3">
        <v>13</v>
      </c>
      <c r="B18" s="31">
        <v>2125</v>
      </c>
      <c r="C18" s="3" t="s">
        <v>1017</v>
      </c>
      <c r="D18" s="4">
        <v>146923</v>
      </c>
      <c r="E18" s="4">
        <v>146923</v>
      </c>
      <c r="F18" s="4">
        <f t="shared" si="0"/>
        <v>0</v>
      </c>
      <c r="G18" s="4">
        <v>146923</v>
      </c>
      <c r="H18" s="4">
        <v>68753.88</v>
      </c>
      <c r="I18" s="4"/>
      <c r="J18" s="4"/>
      <c r="K18" s="4">
        <f>I18+J18</f>
        <v>0</v>
      </c>
      <c r="L18" s="4">
        <f>H18+K18</f>
        <v>68753.88</v>
      </c>
      <c r="M18" s="4">
        <f t="shared" si="3"/>
        <v>78169.119999999995</v>
      </c>
      <c r="N18" s="4"/>
      <c r="O18" s="4">
        <f t="shared" si="9"/>
        <v>0</v>
      </c>
      <c r="P18" s="4">
        <f t="shared" si="10"/>
        <v>0</v>
      </c>
      <c r="Q18" s="4">
        <f t="shared" si="4"/>
        <v>78169.119999999995</v>
      </c>
      <c r="R18" s="4"/>
      <c r="S18" s="4"/>
      <c r="T18" s="4">
        <f>SUM(R18:S18)</f>
        <v>0</v>
      </c>
      <c r="U18" s="4">
        <f t="shared" si="6"/>
        <v>0</v>
      </c>
      <c r="V18" s="4">
        <f t="shared" si="7"/>
        <v>0</v>
      </c>
      <c r="W18" s="4"/>
      <c r="X18" s="4">
        <f t="shared" si="8"/>
        <v>0</v>
      </c>
      <c r="Y18" s="4"/>
      <c r="Z18" s="4"/>
      <c r="AA18" s="4"/>
      <c r="AB18" s="3" t="s">
        <v>497</v>
      </c>
      <c r="AC18" s="3">
        <v>747000</v>
      </c>
      <c r="AD18" s="182"/>
      <c r="AE18" s="309"/>
      <c r="AF18" s="309"/>
      <c r="AG18" s="309"/>
      <c r="AH18" s="4">
        <f t="shared" si="24"/>
        <v>0</v>
      </c>
      <c r="AI18" s="4">
        <f t="shared" si="25"/>
        <v>0</v>
      </c>
      <c r="AJ18" s="4"/>
      <c r="AK18" s="4">
        <f t="shared" si="11"/>
        <v>0</v>
      </c>
      <c r="AL18" s="16"/>
      <c r="AM18" s="16"/>
      <c r="AN18" s="16"/>
      <c r="AO18" s="172"/>
      <c r="AP18" s="4">
        <v>78169</v>
      </c>
      <c r="AQ18" s="184"/>
      <c r="AR18" s="184"/>
      <c r="AS18" s="173">
        <f t="shared" si="12"/>
        <v>78169</v>
      </c>
      <c r="AT18" s="173">
        <f t="shared" si="13"/>
        <v>78169</v>
      </c>
      <c r="AU18" s="173">
        <f t="shared" si="14"/>
        <v>0.11999999999534339</v>
      </c>
      <c r="AV18" s="173">
        <f t="shared" si="15"/>
        <v>-0.11999999999534339</v>
      </c>
      <c r="AW18" s="184"/>
      <c r="AX18" s="173">
        <f t="shared" si="16"/>
        <v>-0.11999999999534339</v>
      </c>
      <c r="AY18" s="184"/>
      <c r="AZ18" s="184"/>
      <c r="BA18" s="184"/>
      <c r="BB18" s="173">
        <f t="shared" si="17"/>
        <v>-0.11999999999534339</v>
      </c>
      <c r="BC18" s="4">
        <f t="shared" si="18"/>
        <v>0</v>
      </c>
      <c r="BD18" s="4"/>
      <c r="BE18" s="4"/>
      <c r="BF18" s="4"/>
      <c r="BG18" s="4"/>
      <c r="BH18" s="4">
        <f t="shared" si="19"/>
        <v>0</v>
      </c>
      <c r="BI18" s="3"/>
      <c r="BJ18" s="4">
        <f t="shared" si="20"/>
        <v>0</v>
      </c>
      <c r="BK18" s="4">
        <f t="shared" si="21"/>
        <v>-0.11999999999534339</v>
      </c>
      <c r="BL18" s="4"/>
      <c r="BM18" s="4">
        <f t="shared" si="22"/>
        <v>0</v>
      </c>
      <c r="BN18" s="4"/>
      <c r="BO18" s="4"/>
      <c r="BP18" s="4"/>
    </row>
    <row r="19" spans="1:68" s="5" customFormat="1" ht="30" customHeight="1">
      <c r="A19" s="3">
        <v>14</v>
      </c>
      <c r="B19" s="31">
        <v>2136</v>
      </c>
      <c r="C19" s="3" t="s">
        <v>659</v>
      </c>
      <c r="D19" s="4">
        <v>55226</v>
      </c>
      <c r="E19" s="4">
        <v>55226</v>
      </c>
      <c r="F19" s="4">
        <f t="shared" si="0"/>
        <v>0</v>
      </c>
      <c r="G19" s="4">
        <v>55226</v>
      </c>
      <c r="H19" s="4">
        <v>22698</v>
      </c>
      <c r="I19" s="4"/>
      <c r="J19" s="4">
        <v>32528</v>
      </c>
      <c r="K19" s="4">
        <f t="shared" si="1"/>
        <v>32528</v>
      </c>
      <c r="L19" s="4">
        <f t="shared" si="2"/>
        <v>55226</v>
      </c>
      <c r="M19" s="4">
        <f t="shared" si="3"/>
        <v>0</v>
      </c>
      <c r="N19" s="4"/>
      <c r="O19" s="4">
        <f t="shared" si="9"/>
        <v>0</v>
      </c>
      <c r="P19" s="4">
        <f t="shared" si="10"/>
        <v>0</v>
      </c>
      <c r="Q19" s="4">
        <f t="shared" si="4"/>
        <v>0</v>
      </c>
      <c r="R19" s="4"/>
      <c r="S19" s="4"/>
      <c r="T19" s="4">
        <f t="shared" si="5"/>
        <v>0</v>
      </c>
      <c r="U19" s="4">
        <f t="shared" si="6"/>
        <v>0</v>
      </c>
      <c r="V19" s="4">
        <f t="shared" si="7"/>
        <v>0</v>
      </c>
      <c r="W19" s="4"/>
      <c r="X19" s="4">
        <f t="shared" si="8"/>
        <v>0</v>
      </c>
      <c r="Y19" s="4"/>
      <c r="Z19" s="4"/>
      <c r="AA19" s="4"/>
      <c r="AB19" s="3" t="s">
        <v>803</v>
      </c>
      <c r="AC19" s="3">
        <v>747000</v>
      </c>
      <c r="AD19" s="182"/>
      <c r="AE19" s="309"/>
      <c r="AF19" s="309"/>
      <c r="AG19" s="309"/>
      <c r="AH19" s="4">
        <f t="shared" si="24"/>
        <v>0</v>
      </c>
      <c r="AI19" s="4">
        <f t="shared" si="25"/>
        <v>0</v>
      </c>
      <c r="AJ19" s="4"/>
      <c r="AK19" s="4">
        <f t="shared" si="11"/>
        <v>0</v>
      </c>
      <c r="AL19" s="16"/>
      <c r="AM19" s="16"/>
      <c r="AN19" s="16"/>
      <c r="AO19" s="40"/>
      <c r="AP19" s="4"/>
      <c r="AQ19" s="184"/>
      <c r="AR19" s="184"/>
      <c r="AS19" s="173">
        <f t="shared" si="12"/>
        <v>0</v>
      </c>
      <c r="AT19" s="173">
        <f t="shared" si="13"/>
        <v>0</v>
      </c>
      <c r="AU19" s="173">
        <f t="shared" si="14"/>
        <v>0</v>
      </c>
      <c r="AV19" s="173">
        <f t="shared" si="15"/>
        <v>0</v>
      </c>
      <c r="AW19" s="184"/>
      <c r="AX19" s="173">
        <f t="shared" si="16"/>
        <v>0</v>
      </c>
      <c r="AY19" s="184"/>
      <c r="AZ19" s="184"/>
      <c r="BA19" s="184"/>
      <c r="BB19" s="173">
        <f t="shared" si="17"/>
        <v>0</v>
      </c>
      <c r="BC19" s="4">
        <f t="shared" si="18"/>
        <v>0</v>
      </c>
      <c r="BD19" s="4"/>
      <c r="BE19" s="4"/>
      <c r="BF19" s="4"/>
      <c r="BG19" s="4"/>
      <c r="BH19" s="4">
        <f t="shared" si="19"/>
        <v>0</v>
      </c>
      <c r="BI19" s="3"/>
      <c r="BJ19" s="4">
        <f t="shared" si="20"/>
        <v>0</v>
      </c>
      <c r="BK19" s="4">
        <f t="shared" si="21"/>
        <v>0</v>
      </c>
      <c r="BL19" s="4"/>
      <c r="BM19" s="4">
        <f t="shared" si="22"/>
        <v>0</v>
      </c>
      <c r="BN19" s="4"/>
      <c r="BO19" s="4"/>
      <c r="BP19" s="4"/>
    </row>
    <row r="20" spans="1:68" s="5" customFormat="1" ht="30" customHeight="1">
      <c r="A20" s="3">
        <v>15</v>
      </c>
      <c r="B20" s="31">
        <v>2137</v>
      </c>
      <c r="C20" s="3" t="s">
        <v>1018</v>
      </c>
      <c r="D20" s="4">
        <v>50000</v>
      </c>
      <c r="E20" s="4">
        <v>50000</v>
      </c>
      <c r="F20" s="4">
        <f t="shared" si="0"/>
        <v>0</v>
      </c>
      <c r="G20" s="4">
        <v>50000</v>
      </c>
      <c r="H20" s="4">
        <v>0</v>
      </c>
      <c r="I20" s="4"/>
      <c r="J20" s="4"/>
      <c r="K20" s="4">
        <f t="shared" si="1"/>
        <v>0</v>
      </c>
      <c r="L20" s="4">
        <f t="shared" si="2"/>
        <v>0</v>
      </c>
      <c r="M20" s="4">
        <f t="shared" si="3"/>
        <v>50000</v>
      </c>
      <c r="N20" s="4"/>
      <c r="O20" s="4">
        <f t="shared" si="9"/>
        <v>0</v>
      </c>
      <c r="P20" s="4">
        <f t="shared" si="10"/>
        <v>0</v>
      </c>
      <c r="Q20" s="4">
        <f t="shared" si="4"/>
        <v>50000</v>
      </c>
      <c r="R20" s="4"/>
      <c r="S20" s="4"/>
      <c r="T20" s="4">
        <f t="shared" si="5"/>
        <v>0</v>
      </c>
      <c r="U20" s="4">
        <f t="shared" si="6"/>
        <v>0</v>
      </c>
      <c r="V20" s="4">
        <f t="shared" si="7"/>
        <v>0</v>
      </c>
      <c r="W20" s="4"/>
      <c r="X20" s="4">
        <f t="shared" si="8"/>
        <v>0</v>
      </c>
      <c r="Y20" s="4"/>
      <c r="Z20" s="4"/>
      <c r="AA20" s="4"/>
      <c r="AB20" s="3" t="s">
        <v>804</v>
      </c>
      <c r="AC20" s="3">
        <v>747000</v>
      </c>
      <c r="AD20" s="182"/>
      <c r="AE20" s="309"/>
      <c r="AF20" s="309"/>
      <c r="AG20" s="309"/>
      <c r="AH20" s="4">
        <f t="shared" si="24"/>
        <v>0</v>
      </c>
      <c r="AI20" s="4">
        <f t="shared" si="25"/>
        <v>0</v>
      </c>
      <c r="AJ20" s="4"/>
      <c r="AK20" s="4">
        <f t="shared" si="11"/>
        <v>0</v>
      </c>
      <c r="AL20" s="16"/>
      <c r="AM20" s="16"/>
      <c r="AN20" s="16"/>
      <c r="AO20" s="40"/>
      <c r="AP20" s="4">
        <v>50000</v>
      </c>
      <c r="AQ20" s="184"/>
      <c r="AR20" s="184"/>
      <c r="AS20" s="173">
        <f t="shared" si="12"/>
        <v>50000</v>
      </c>
      <c r="AT20" s="173">
        <f t="shared" si="13"/>
        <v>50000</v>
      </c>
      <c r="AU20" s="173">
        <f t="shared" si="14"/>
        <v>0</v>
      </c>
      <c r="AV20" s="173">
        <f t="shared" si="15"/>
        <v>0</v>
      </c>
      <c r="AW20" s="184"/>
      <c r="AX20" s="173">
        <f t="shared" si="16"/>
        <v>0</v>
      </c>
      <c r="AY20" s="184"/>
      <c r="AZ20" s="184"/>
      <c r="BA20" s="184"/>
      <c r="BB20" s="173">
        <f t="shared" si="17"/>
        <v>0</v>
      </c>
      <c r="BC20" s="4">
        <f t="shared" si="18"/>
        <v>0</v>
      </c>
      <c r="BD20" s="4"/>
      <c r="BE20" s="4"/>
      <c r="BF20" s="4"/>
      <c r="BG20" s="4"/>
      <c r="BH20" s="4">
        <f t="shared" si="19"/>
        <v>0</v>
      </c>
      <c r="BI20" s="3"/>
      <c r="BJ20" s="4">
        <f t="shared" si="20"/>
        <v>0</v>
      </c>
      <c r="BK20" s="4">
        <f t="shared" si="21"/>
        <v>0</v>
      </c>
      <c r="BL20" s="4"/>
      <c r="BM20" s="4">
        <f t="shared" si="22"/>
        <v>0</v>
      </c>
      <c r="BN20" s="4"/>
      <c r="BO20" s="4"/>
      <c r="BP20" s="4"/>
    </row>
    <row r="21" spans="1:68" s="5" customFormat="1" ht="30" customHeight="1">
      <c r="A21" s="3">
        <v>16</v>
      </c>
      <c r="B21" s="31">
        <v>2138</v>
      </c>
      <c r="C21" s="3" t="s">
        <v>1019</v>
      </c>
      <c r="D21" s="4">
        <v>80000</v>
      </c>
      <c r="E21" s="4">
        <v>80000</v>
      </c>
      <c r="F21" s="4">
        <f t="shared" si="0"/>
        <v>0</v>
      </c>
      <c r="G21" s="4">
        <v>80000</v>
      </c>
      <c r="H21" s="4">
        <v>0</v>
      </c>
      <c r="I21" s="4"/>
      <c r="J21" s="4"/>
      <c r="K21" s="4">
        <f t="shared" si="1"/>
        <v>0</v>
      </c>
      <c r="L21" s="4">
        <f t="shared" si="2"/>
        <v>0</v>
      </c>
      <c r="M21" s="4">
        <f t="shared" si="3"/>
        <v>80000</v>
      </c>
      <c r="N21" s="4"/>
      <c r="O21" s="4">
        <f t="shared" si="9"/>
        <v>0</v>
      </c>
      <c r="P21" s="4">
        <f t="shared" si="10"/>
        <v>0</v>
      </c>
      <c r="Q21" s="4">
        <f t="shared" si="4"/>
        <v>80000</v>
      </c>
      <c r="R21" s="4"/>
      <c r="S21" s="4"/>
      <c r="T21" s="4">
        <f t="shared" si="5"/>
        <v>0</v>
      </c>
      <c r="U21" s="4">
        <f t="shared" si="6"/>
        <v>0</v>
      </c>
      <c r="V21" s="4">
        <f t="shared" si="7"/>
        <v>0</v>
      </c>
      <c r="W21" s="4"/>
      <c r="X21" s="4">
        <f t="shared" si="8"/>
        <v>0</v>
      </c>
      <c r="Y21" s="4"/>
      <c r="Z21" s="4"/>
      <c r="AA21" s="4"/>
      <c r="AB21" s="3" t="s">
        <v>804</v>
      </c>
      <c r="AC21" s="3">
        <v>747000</v>
      </c>
      <c r="AD21" s="182"/>
      <c r="AE21" s="309"/>
      <c r="AF21" s="309"/>
      <c r="AG21" s="309"/>
      <c r="AH21" s="4">
        <f t="shared" si="24"/>
        <v>0</v>
      </c>
      <c r="AI21" s="4">
        <f t="shared" si="25"/>
        <v>0</v>
      </c>
      <c r="AJ21" s="4"/>
      <c r="AK21" s="4">
        <f t="shared" si="11"/>
        <v>0</v>
      </c>
      <c r="AL21" s="16"/>
      <c r="AM21" s="16"/>
      <c r="AN21" s="16"/>
      <c r="AO21" s="40"/>
      <c r="AP21" s="4">
        <v>80000</v>
      </c>
      <c r="AQ21" s="184"/>
      <c r="AR21" s="184"/>
      <c r="AS21" s="173">
        <f t="shared" si="12"/>
        <v>80000</v>
      </c>
      <c r="AT21" s="173">
        <f t="shared" si="13"/>
        <v>80000</v>
      </c>
      <c r="AU21" s="173">
        <f t="shared" si="14"/>
        <v>0</v>
      </c>
      <c r="AV21" s="173">
        <f t="shared" si="15"/>
        <v>0</v>
      </c>
      <c r="AW21" s="184"/>
      <c r="AX21" s="173">
        <f t="shared" si="16"/>
        <v>0</v>
      </c>
      <c r="AY21" s="184"/>
      <c r="AZ21" s="184"/>
      <c r="BA21" s="184"/>
      <c r="BB21" s="173">
        <f t="shared" si="17"/>
        <v>0</v>
      </c>
      <c r="BC21" s="4">
        <f t="shared" si="18"/>
        <v>0</v>
      </c>
      <c r="BD21" s="4"/>
      <c r="BE21" s="4"/>
      <c r="BF21" s="4"/>
      <c r="BG21" s="4"/>
      <c r="BH21" s="4">
        <f t="shared" si="19"/>
        <v>0</v>
      </c>
      <c r="BI21" s="3"/>
      <c r="BJ21" s="4">
        <f t="shared" si="20"/>
        <v>0</v>
      </c>
      <c r="BK21" s="4">
        <f t="shared" si="21"/>
        <v>0</v>
      </c>
      <c r="BL21" s="4"/>
      <c r="BM21" s="4">
        <f t="shared" si="22"/>
        <v>0</v>
      </c>
      <c r="BN21" s="4"/>
      <c r="BO21" s="4"/>
      <c r="BP21" s="4"/>
    </row>
    <row r="22" spans="1:68" s="5" customFormat="1" ht="30" customHeight="1">
      <c r="A22" s="3">
        <v>17</v>
      </c>
      <c r="B22" s="31">
        <v>2169</v>
      </c>
      <c r="C22" s="3" t="s">
        <v>1577</v>
      </c>
      <c r="D22" s="4">
        <v>100000</v>
      </c>
      <c r="E22" s="4">
        <v>100000</v>
      </c>
      <c r="F22" s="4">
        <f>D22-E22</f>
        <v>0</v>
      </c>
      <c r="G22" s="4">
        <v>0</v>
      </c>
      <c r="H22" s="4">
        <v>0</v>
      </c>
      <c r="I22" s="4"/>
      <c r="J22" s="4"/>
      <c r="K22" s="4">
        <f>SUM(I22:J22)</f>
        <v>0</v>
      </c>
      <c r="L22" s="4">
        <f>H22+K22</f>
        <v>0</v>
      </c>
      <c r="M22" s="4">
        <f t="shared" si="3"/>
        <v>0</v>
      </c>
      <c r="N22" s="4">
        <v>100000</v>
      </c>
      <c r="O22" s="4">
        <f t="shared" si="9"/>
        <v>100000</v>
      </c>
      <c r="P22" s="4">
        <f t="shared" si="10"/>
        <v>0</v>
      </c>
      <c r="Q22" s="4">
        <f t="shared" si="4"/>
        <v>0</v>
      </c>
      <c r="R22" s="4"/>
      <c r="S22" s="4"/>
      <c r="T22" s="4">
        <f>SUM(R22:S22)</f>
        <v>0</v>
      </c>
      <c r="U22" s="4">
        <f t="shared" si="6"/>
        <v>0</v>
      </c>
      <c r="V22" s="4">
        <f t="shared" si="7"/>
        <v>100000</v>
      </c>
      <c r="W22" s="4">
        <f>V22-AA22-X22-Z22</f>
        <v>0</v>
      </c>
      <c r="X22" s="4"/>
      <c r="Y22" s="4"/>
      <c r="Z22" s="4"/>
      <c r="AA22" s="4">
        <v>100000</v>
      </c>
      <c r="AB22" s="3" t="s">
        <v>837</v>
      </c>
      <c r="AC22" s="3">
        <v>747000</v>
      </c>
      <c r="AD22" s="376"/>
      <c r="AE22" s="378"/>
      <c r="AF22" s="378"/>
      <c r="AG22" s="378"/>
      <c r="AH22" s="4">
        <f t="shared" si="24"/>
        <v>0</v>
      </c>
      <c r="AI22" s="4">
        <f t="shared" si="25"/>
        <v>100000</v>
      </c>
      <c r="AJ22" s="4"/>
      <c r="AK22" s="4"/>
      <c r="AL22" s="3"/>
      <c r="AM22" s="3"/>
      <c r="AN22" s="4">
        <f>AI22</f>
        <v>100000</v>
      </c>
      <c r="AO22" s="4">
        <v>100000</v>
      </c>
      <c r="AP22" s="4"/>
      <c r="AQ22" s="4"/>
      <c r="AR22" s="4">
        <v>100000</v>
      </c>
      <c r="AS22" s="4">
        <f t="shared" si="12"/>
        <v>0</v>
      </c>
      <c r="AT22" s="173">
        <f t="shared" si="13"/>
        <v>100000</v>
      </c>
      <c r="AU22" s="173">
        <f t="shared" si="14"/>
        <v>0</v>
      </c>
      <c r="AV22" s="173">
        <f t="shared" si="15"/>
        <v>100000</v>
      </c>
      <c r="AW22" s="4"/>
      <c r="AX22" s="4">
        <f>AR22+AS22-M22-BA22</f>
        <v>0</v>
      </c>
      <c r="AY22" s="4"/>
      <c r="AZ22" s="4"/>
      <c r="BA22" s="4">
        <v>100000</v>
      </c>
      <c r="BB22" s="173">
        <f t="shared" si="17"/>
        <v>0</v>
      </c>
      <c r="BC22" s="4">
        <f t="shared" si="18"/>
        <v>100000</v>
      </c>
      <c r="BD22" s="4"/>
      <c r="BE22" s="4"/>
      <c r="BF22" s="4"/>
      <c r="BG22" s="4"/>
      <c r="BH22" s="4">
        <f t="shared" si="19"/>
        <v>0</v>
      </c>
      <c r="BI22" s="3"/>
      <c r="BJ22" s="4">
        <f t="shared" si="20"/>
        <v>0</v>
      </c>
      <c r="BK22" s="4">
        <f t="shared" si="21"/>
        <v>100000</v>
      </c>
      <c r="BL22" s="4"/>
      <c r="BM22" s="4">
        <f t="shared" si="22"/>
        <v>0</v>
      </c>
      <c r="BN22" s="4"/>
      <c r="BO22" s="4"/>
      <c r="BP22" s="4"/>
    </row>
    <row r="23" spans="1:68" s="70" customFormat="1" ht="30" customHeight="1">
      <c r="A23" s="33">
        <v>17</v>
      </c>
      <c r="B23" s="33"/>
      <c r="C23" s="178" t="s">
        <v>467</v>
      </c>
      <c r="D23" s="73">
        <f>SUBTOTAL(9,D6:D22)</f>
        <v>6635620</v>
      </c>
      <c r="E23" s="73">
        <f t="shared" ref="E23:BA23" si="26">SUBTOTAL(9,E6:E22)</f>
        <v>6635620</v>
      </c>
      <c r="F23" s="73">
        <f t="shared" si="26"/>
        <v>0</v>
      </c>
      <c r="G23" s="73">
        <f t="shared" si="26"/>
        <v>6400649</v>
      </c>
      <c r="H23" s="73">
        <f t="shared" si="26"/>
        <v>3815059.32</v>
      </c>
      <c r="I23" s="73">
        <f t="shared" si="26"/>
        <v>484961.06999999995</v>
      </c>
      <c r="J23" s="73">
        <f t="shared" si="26"/>
        <v>1421980.21</v>
      </c>
      <c r="K23" s="73">
        <f t="shared" si="26"/>
        <v>1906941.2799999998</v>
      </c>
      <c r="L23" s="73">
        <f t="shared" si="26"/>
        <v>5722000.5999999996</v>
      </c>
      <c r="M23" s="73">
        <f t="shared" si="26"/>
        <v>678648.40000000037</v>
      </c>
      <c r="N23" s="73">
        <f t="shared" si="26"/>
        <v>1934971</v>
      </c>
      <c r="O23" s="73">
        <f t="shared" si="26"/>
        <v>84971</v>
      </c>
      <c r="P23" s="73">
        <f t="shared" si="26"/>
        <v>150000</v>
      </c>
      <c r="Q23" s="73">
        <f t="shared" si="26"/>
        <v>678648.40000000037</v>
      </c>
      <c r="R23" s="73">
        <f t="shared" si="26"/>
        <v>0</v>
      </c>
      <c r="S23" s="73">
        <f t="shared" si="26"/>
        <v>0</v>
      </c>
      <c r="T23" s="73">
        <f t="shared" si="26"/>
        <v>0</v>
      </c>
      <c r="U23" s="73">
        <f t="shared" si="26"/>
        <v>0</v>
      </c>
      <c r="V23" s="73">
        <f t="shared" si="26"/>
        <v>1934971</v>
      </c>
      <c r="W23" s="73">
        <f t="shared" si="26"/>
        <v>0</v>
      </c>
      <c r="X23" s="73">
        <f t="shared" si="26"/>
        <v>1906971</v>
      </c>
      <c r="Y23" s="73">
        <f t="shared" si="26"/>
        <v>0</v>
      </c>
      <c r="Z23" s="73">
        <f t="shared" si="26"/>
        <v>0</v>
      </c>
      <c r="AA23" s="73">
        <f t="shared" si="26"/>
        <v>28000</v>
      </c>
      <c r="AB23" s="73">
        <f t="shared" si="26"/>
        <v>0</v>
      </c>
      <c r="AC23" s="73">
        <f t="shared" si="26"/>
        <v>12699000</v>
      </c>
      <c r="AD23" s="73">
        <f t="shared" si="26"/>
        <v>0</v>
      </c>
      <c r="AE23" s="73">
        <f t="shared" si="26"/>
        <v>1850000</v>
      </c>
      <c r="AF23" s="73">
        <f t="shared" si="26"/>
        <v>0</v>
      </c>
      <c r="AG23" s="73">
        <f t="shared" si="26"/>
        <v>0</v>
      </c>
      <c r="AH23" s="73">
        <f t="shared" si="26"/>
        <v>1850000</v>
      </c>
      <c r="AI23" s="73">
        <f t="shared" si="26"/>
        <v>84971</v>
      </c>
      <c r="AJ23" s="73">
        <f t="shared" si="26"/>
        <v>0</v>
      </c>
      <c r="AK23" s="73">
        <f t="shared" si="26"/>
        <v>56971</v>
      </c>
      <c r="AL23" s="73">
        <f t="shared" si="26"/>
        <v>0</v>
      </c>
      <c r="AM23" s="73">
        <f t="shared" si="26"/>
        <v>0</v>
      </c>
      <c r="AN23" s="73">
        <f t="shared" si="26"/>
        <v>28000</v>
      </c>
      <c r="AO23" s="73">
        <f t="shared" si="26"/>
        <v>100000</v>
      </c>
      <c r="AP23" s="73">
        <f t="shared" si="26"/>
        <v>678648</v>
      </c>
      <c r="AQ23" s="73">
        <f t="shared" si="26"/>
        <v>0</v>
      </c>
      <c r="AR23" s="73">
        <f t="shared" si="26"/>
        <v>100000</v>
      </c>
      <c r="AS23" s="73">
        <f t="shared" si="26"/>
        <v>678648</v>
      </c>
      <c r="AT23" s="73">
        <f t="shared" si="26"/>
        <v>778648</v>
      </c>
      <c r="AU23" s="73">
        <f t="shared" si="26"/>
        <v>134971.4000000004</v>
      </c>
      <c r="AV23" s="73">
        <f t="shared" si="26"/>
        <v>99999.599999999613</v>
      </c>
      <c r="AW23" s="73">
        <f t="shared" si="26"/>
        <v>0</v>
      </c>
      <c r="AX23" s="73">
        <f t="shared" si="26"/>
        <v>-0.40000000038344297</v>
      </c>
      <c r="AY23" s="73">
        <f t="shared" si="26"/>
        <v>0</v>
      </c>
      <c r="AZ23" s="73">
        <f t="shared" si="26"/>
        <v>0</v>
      </c>
      <c r="BA23" s="73">
        <f t="shared" si="26"/>
        <v>100000</v>
      </c>
      <c r="BB23" s="73">
        <f>SUM(BB6:BB22)</f>
        <v>-0.40000000038344297</v>
      </c>
      <c r="BC23" s="73">
        <f>SUM(BC6:BC22)</f>
        <v>100000</v>
      </c>
      <c r="BD23" s="73">
        <f>SUM(BD6:BD22)</f>
        <v>0</v>
      </c>
      <c r="BE23" s="73">
        <f t="shared" ref="BE23:BP23" si="27">SUM(BE6:BE22)</f>
        <v>0</v>
      </c>
      <c r="BF23" s="73">
        <f t="shared" si="27"/>
        <v>0</v>
      </c>
      <c r="BG23" s="73">
        <f t="shared" si="27"/>
        <v>0</v>
      </c>
      <c r="BH23" s="73">
        <f t="shared" si="27"/>
        <v>0</v>
      </c>
      <c r="BI23" s="73">
        <f t="shared" si="27"/>
        <v>0</v>
      </c>
      <c r="BJ23" s="73">
        <f t="shared" si="27"/>
        <v>0</v>
      </c>
      <c r="BK23" s="73">
        <f t="shared" si="27"/>
        <v>99999.599999999613</v>
      </c>
      <c r="BL23" s="73">
        <f t="shared" si="27"/>
        <v>0</v>
      </c>
      <c r="BM23" s="73">
        <f t="shared" si="27"/>
        <v>0</v>
      </c>
      <c r="BN23" s="73">
        <f t="shared" si="27"/>
        <v>0</v>
      </c>
      <c r="BO23" s="73">
        <f t="shared" si="27"/>
        <v>0</v>
      </c>
      <c r="BP23" s="73">
        <f t="shared" si="27"/>
        <v>0</v>
      </c>
    </row>
    <row r="24" spans="1:68">
      <c r="A24" s="12"/>
      <c r="D24" s="12"/>
      <c r="E24" s="12"/>
      <c r="F24" s="12"/>
      <c r="G24" s="12"/>
      <c r="H24" s="12"/>
      <c r="I24" s="12"/>
      <c r="J24" s="12"/>
      <c r="K24" s="12"/>
      <c r="L24" s="14">
        <f>H23+K23</f>
        <v>5722000.5999999996</v>
      </c>
      <c r="N24" s="12"/>
      <c r="O24" s="12"/>
      <c r="P24" s="14">
        <f>L23+M23+O23+P23</f>
        <v>6635620</v>
      </c>
      <c r="Q24" s="14">
        <f>G23-L24</f>
        <v>678648.40000000037</v>
      </c>
      <c r="U24" s="14">
        <f>Q24+T23-M23</f>
        <v>0</v>
      </c>
      <c r="V24" s="14">
        <f>N23-U23</f>
        <v>1934971</v>
      </c>
      <c r="X24" s="41"/>
      <c r="AA24" s="41"/>
    </row>
    <row r="25" spans="1:68">
      <c r="AO25" s="294"/>
      <c r="AP25" s="294"/>
    </row>
    <row r="26" spans="1:68">
      <c r="AO26" s="294"/>
      <c r="AP26" s="294"/>
    </row>
    <row r="27" spans="1:68">
      <c r="AO27" s="294"/>
      <c r="AP27" s="294"/>
    </row>
    <row r="28" spans="1:68">
      <c r="AO28" s="294"/>
      <c r="AP28" s="294"/>
    </row>
    <row r="29" spans="1:68">
      <c r="AO29" s="294"/>
      <c r="AP29" s="294"/>
    </row>
    <row r="30" spans="1:68">
      <c r="AO30" s="294"/>
      <c r="AP30" s="294"/>
    </row>
    <row r="31" spans="1:68">
      <c r="AO31" s="294"/>
      <c r="AP31" s="294"/>
    </row>
    <row r="32" spans="1:68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294"/>
      <c r="AP87" s="294"/>
    </row>
    <row r="88" spans="41:42">
      <c r="AO88" s="294"/>
      <c r="AP88" s="294"/>
    </row>
    <row r="89" spans="41:42">
      <c r="AO89" s="294"/>
      <c r="AP89" s="294"/>
    </row>
    <row r="90" spans="41:42">
      <c r="AO90" s="294"/>
      <c r="AP90" s="294"/>
    </row>
    <row r="91" spans="41:42">
      <c r="AO91" s="294"/>
      <c r="AP91" s="294"/>
    </row>
    <row r="92" spans="41:42">
      <c r="AO92" s="294"/>
      <c r="AP92" s="294"/>
    </row>
    <row r="93" spans="41:42">
      <c r="AO93" s="294"/>
      <c r="AP93" s="294"/>
    </row>
    <row r="94" spans="41:42">
      <c r="AO94" s="294"/>
      <c r="AP94" s="294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  <row r="129" spans="41:42">
      <c r="AO129" s="17"/>
      <c r="AP129" s="17"/>
    </row>
    <row r="130" spans="41:42">
      <c r="AO130" s="17"/>
      <c r="AP130" s="17"/>
    </row>
    <row r="131" spans="41:42">
      <c r="AO131" s="17"/>
      <c r="AP131" s="17"/>
    </row>
    <row r="132" spans="41:42">
      <c r="AO132" s="17"/>
      <c r="AP132" s="17"/>
    </row>
    <row r="133" spans="41:42">
      <c r="AO133" s="17"/>
      <c r="AP133" s="17"/>
    </row>
    <row r="134" spans="41:42">
      <c r="AO134" s="17"/>
      <c r="AP134" s="17"/>
    </row>
    <row r="135" spans="41:42">
      <c r="AO135" s="17"/>
      <c r="AP135" s="17"/>
    </row>
    <row r="136" spans="41:42">
      <c r="AO136" s="17"/>
      <c r="AP136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B5 AD22 AG22">
    <cfRule type="cellIs" dxfId="95" priority="10" operator="equal">
      <formula>0</formula>
    </cfRule>
  </conditionalFormatting>
  <conditionalFormatting sqref="AE22">
    <cfRule type="cellIs" dxfId="94" priority="9" operator="equal">
      <formula>0</formula>
    </cfRule>
  </conditionalFormatting>
  <conditionalFormatting sqref="AF22">
    <cfRule type="cellIs" dxfId="93" priority="8" operator="equal">
      <formula>0</formula>
    </cfRule>
  </conditionalFormatting>
  <conditionalFormatting sqref="AO1:AP3">
    <cfRule type="cellIs" dxfId="92" priority="7" operator="equal">
      <formula>0</formula>
    </cfRule>
  </conditionalFormatting>
  <conditionalFormatting sqref="AR1:BA3">
    <cfRule type="cellIs" dxfId="91" priority="6" operator="equal">
      <formula>0</formula>
    </cfRule>
  </conditionalFormatting>
  <conditionalFormatting sqref="AR17:AR18 AW17:AW18 AY17:BA18">
    <cfRule type="cellIs" dxfId="90" priority="5" operator="equal">
      <formula>0</formula>
    </cfRule>
  </conditionalFormatting>
  <conditionalFormatting sqref="AR12:AR14 AW12:AW14">
    <cfRule type="cellIs" dxfId="89" priority="4" operator="equal">
      <formula>0</formula>
    </cfRule>
  </conditionalFormatting>
  <conditionalFormatting sqref="AQ1:AQ3">
    <cfRule type="cellIs" dxfId="88" priority="3" operator="equal">
      <formula>0</formula>
    </cfRule>
  </conditionalFormatting>
  <conditionalFormatting sqref="AQ17:AQ18">
    <cfRule type="cellIs" dxfId="87" priority="2" operator="equal">
      <formula>0</formula>
    </cfRule>
  </conditionalFormatting>
  <conditionalFormatting sqref="AQ12:AQ14">
    <cfRule type="cellIs" dxfId="8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46"/>
  <sheetViews>
    <sheetView showZeros="0" rightToLeft="1" zoomScaleNormal="100" workbookViewId="0">
      <pane xSplit="3" ySplit="5" topLeftCell="AV9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5.1796875" style="286" customWidth="1"/>
    <col min="2" max="2" width="4.6328125" style="166" customWidth="1"/>
    <col min="3" max="3" width="31.453125" style="166" customWidth="1"/>
    <col min="4" max="5" width="10" style="167" hidden="1" customWidth="1"/>
    <col min="6" max="6" width="8.08984375" style="167" hidden="1" customWidth="1"/>
    <col min="7" max="8" width="10.08984375" style="167" hidden="1" customWidth="1"/>
    <col min="9" max="9" width="6" style="167" hidden="1" customWidth="1"/>
    <col min="10" max="10" width="5.6328125" style="167" hidden="1" customWidth="1"/>
    <col min="11" max="11" width="8.54296875" style="167" hidden="1" customWidth="1"/>
    <col min="12" max="12" width="10.08984375" style="167" hidden="1" customWidth="1"/>
    <col min="13" max="15" width="9.08984375" style="167" hidden="1" customWidth="1"/>
    <col min="16" max="16" width="10.08984375" style="167" hidden="1" customWidth="1"/>
    <col min="17" max="17" width="7.54296875" style="167" hidden="1" customWidth="1"/>
    <col min="18" max="19" width="11" style="167" hidden="1" customWidth="1"/>
    <col min="20" max="20" width="7.54296875" style="167" hidden="1" customWidth="1"/>
    <col min="21" max="21" width="9.08984375" style="167" hidden="1" customWidth="1"/>
    <col min="22" max="27" width="9.08984375" style="166" hidden="1" customWidth="1"/>
    <col min="28" max="28" width="23.6328125" style="166" hidden="1" customWidth="1"/>
    <col min="29" max="29" width="7.90625" style="166" hidden="1" customWidth="1"/>
    <col min="30" max="30" width="10.6328125" style="166" hidden="1" customWidth="1"/>
    <col min="31" max="34" width="10.6328125" style="298" hidden="1" customWidth="1"/>
    <col min="35" max="37" width="10.6328125" style="284" hidden="1" customWidth="1"/>
    <col min="38" max="40" width="10.6328125" style="166" hidden="1" customWidth="1"/>
    <col min="41" max="41" width="16.54296875" style="12" hidden="1" customWidth="1"/>
    <col min="42" max="42" width="16.36328125" style="12" hidden="1" customWidth="1"/>
    <col min="43" max="44" width="11.6328125" style="166" hidden="1" customWidth="1"/>
    <col min="45" max="45" width="10.81640625" style="166" hidden="1" customWidth="1"/>
    <col min="46" max="46" width="10.54296875" style="166" hidden="1" customWidth="1"/>
    <col min="47" max="47" width="11" style="166" hidden="1" customWidth="1"/>
    <col min="48" max="50" width="11.81640625" style="166" customWidth="1"/>
    <col min="51" max="52" width="11.81640625" style="166" hidden="1" customWidth="1"/>
    <col min="53" max="55" width="11.81640625" style="166" customWidth="1"/>
    <col min="56" max="60" width="11.81640625" style="166" hidden="1" customWidth="1"/>
    <col min="61" max="61" width="11.81640625" style="298" hidden="1" customWidth="1"/>
    <col min="62" max="65" width="11.81640625" style="166" customWidth="1"/>
    <col min="66" max="67" width="11.81640625" style="166" hidden="1" customWidth="1"/>
    <col min="68" max="68" width="11.81640625" style="166" customWidth="1"/>
    <col min="69" max="69" width="11.6328125" style="298" customWidth="1"/>
    <col min="70" max="16384" width="9.08984375" style="166"/>
  </cols>
  <sheetData>
    <row r="1" spans="1:69" s="284" customForma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312"/>
      <c r="Z1" s="312"/>
      <c r="AD1" s="166"/>
      <c r="AE1" s="317"/>
      <c r="AF1" s="317"/>
      <c r="AG1" s="317"/>
      <c r="AH1" s="317"/>
      <c r="AO1" s="28"/>
      <c r="AP1" s="28"/>
      <c r="AQ1" s="166"/>
      <c r="AR1" s="166"/>
      <c r="BI1" s="317"/>
      <c r="BQ1" s="317"/>
    </row>
    <row r="2" spans="1:69">
      <c r="A2" s="282" t="s">
        <v>1571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1:69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</row>
    <row r="4" spans="1:69" ht="24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233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  <c r="BQ4" s="478"/>
    </row>
    <row r="5" spans="1:69" s="288" customFormat="1" ht="70">
      <c r="A5" s="457" t="s">
        <v>0</v>
      </c>
      <c r="B5" s="457" t="s">
        <v>1</v>
      </c>
      <c r="C5" s="457" t="s">
        <v>2</v>
      </c>
      <c r="D5" s="457" t="s">
        <v>3</v>
      </c>
      <c r="E5" s="457" t="s">
        <v>4</v>
      </c>
      <c r="F5" s="457" t="s">
        <v>5</v>
      </c>
      <c r="G5" s="457" t="s">
        <v>6</v>
      </c>
      <c r="H5" s="457" t="s">
        <v>7</v>
      </c>
      <c r="I5" s="457" t="s">
        <v>9</v>
      </c>
      <c r="J5" s="457" t="s">
        <v>178</v>
      </c>
      <c r="K5" s="457" t="s">
        <v>10</v>
      </c>
      <c r="L5" s="457" t="s">
        <v>11</v>
      </c>
      <c r="M5" s="432" t="s">
        <v>970</v>
      </c>
      <c r="N5" s="433" t="s">
        <v>971</v>
      </c>
      <c r="O5" s="433" t="s">
        <v>972</v>
      </c>
      <c r="P5" s="457" t="s">
        <v>628</v>
      </c>
      <c r="Q5" s="457" t="s">
        <v>12</v>
      </c>
      <c r="R5" s="457" t="s">
        <v>633</v>
      </c>
      <c r="S5" s="457" t="s">
        <v>634</v>
      </c>
      <c r="T5" s="457" t="s">
        <v>632</v>
      </c>
      <c r="U5" s="457" t="s">
        <v>629</v>
      </c>
      <c r="V5" s="446" t="s">
        <v>973</v>
      </c>
      <c r="W5" s="457" t="s">
        <v>13</v>
      </c>
      <c r="X5" s="457" t="s">
        <v>14</v>
      </c>
      <c r="Y5" s="457" t="s">
        <v>15</v>
      </c>
      <c r="Z5" s="457" t="s">
        <v>301</v>
      </c>
      <c r="AA5" s="457" t="s">
        <v>91</v>
      </c>
      <c r="AB5" s="433" t="s">
        <v>344</v>
      </c>
      <c r="AC5" s="457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  <c r="BQ5" s="479"/>
    </row>
    <row r="6" spans="1:69" s="177" customFormat="1" ht="30" customHeight="1">
      <c r="A6" s="172">
        <v>1</v>
      </c>
      <c r="B6" s="172">
        <v>1519</v>
      </c>
      <c r="C6" s="172" t="s">
        <v>1007</v>
      </c>
      <c r="D6" s="173">
        <v>8493000</v>
      </c>
      <c r="E6" s="173">
        <v>8493000</v>
      </c>
      <c r="F6" s="173">
        <f t="shared" ref="F6:F14" si="0">D6-E6</f>
        <v>0</v>
      </c>
      <c r="G6" s="173">
        <v>730000</v>
      </c>
      <c r="H6" s="173">
        <v>727317.36</v>
      </c>
      <c r="I6" s="173"/>
      <c r="J6" s="173"/>
      <c r="K6" s="173">
        <f t="shared" ref="K6:K14" si="1">SUM(I6:J6)</f>
        <v>0</v>
      </c>
      <c r="L6" s="173">
        <f t="shared" ref="L6:L14" si="2">H6+K6</f>
        <v>727317.36</v>
      </c>
      <c r="M6" s="173">
        <f t="shared" ref="M6:M14" si="3">Q6+T6</f>
        <v>2682.640000000014</v>
      </c>
      <c r="N6" s="173">
        <v>1000000</v>
      </c>
      <c r="O6" s="173">
        <f>N6-AH6</f>
        <v>1000000</v>
      </c>
      <c r="P6" s="173">
        <f t="shared" ref="P6:P14" si="4">D6-L6-M6-N6</f>
        <v>6763000</v>
      </c>
      <c r="Q6" s="173">
        <f t="shared" ref="Q6:Q14" si="5">G6-L6</f>
        <v>2682.640000000014</v>
      </c>
      <c r="R6" s="173"/>
      <c r="S6" s="173"/>
      <c r="T6" s="173">
        <f>SUM(R6:S6)</f>
        <v>0</v>
      </c>
      <c r="U6" s="173">
        <f t="shared" ref="U6:U14" si="6">Q6-M6+T6</f>
        <v>0</v>
      </c>
      <c r="V6" s="173">
        <f t="shared" ref="V6:V14" si="7">N6-U6</f>
        <v>1000000</v>
      </c>
      <c r="W6" s="173">
        <f t="shared" ref="W6:W14" si="8">V6-X6-Z6-AA6</f>
        <v>0</v>
      </c>
      <c r="X6" s="173">
        <f>V6</f>
        <v>1000000</v>
      </c>
      <c r="Y6" s="173"/>
      <c r="Z6" s="173"/>
      <c r="AA6" s="173">
        <f>987864-987864</f>
        <v>0</v>
      </c>
      <c r="AB6" s="172" t="s">
        <v>774</v>
      </c>
      <c r="AC6" s="172">
        <v>732000</v>
      </c>
      <c r="AD6" s="184"/>
      <c r="AE6" s="172"/>
      <c r="AF6" s="172"/>
      <c r="AG6" s="172"/>
      <c r="AH6" s="173">
        <f>SUM(AD6:AG6)</f>
        <v>0</v>
      </c>
      <c r="AI6" s="173">
        <f>V6-AH6</f>
        <v>1000000</v>
      </c>
      <c r="AJ6" s="173"/>
      <c r="AK6" s="173">
        <f>AI6</f>
        <v>1000000</v>
      </c>
      <c r="AL6" s="173"/>
      <c r="AM6" s="173"/>
      <c r="AN6" s="173"/>
      <c r="AO6" s="3"/>
      <c r="AP6" s="3"/>
      <c r="AQ6" s="173"/>
      <c r="AR6" s="173">
        <v>1000000</v>
      </c>
      <c r="AS6" s="173">
        <f>M6</f>
        <v>2682.640000000014</v>
      </c>
      <c r="AT6" s="173">
        <f>SUM(AR6:AS6)</f>
        <v>1002682.64</v>
      </c>
      <c r="AU6" s="173">
        <f>D6-L6-AT6</f>
        <v>6763000</v>
      </c>
      <c r="AV6" s="173">
        <f>AR6+AS6-M6</f>
        <v>1000000</v>
      </c>
      <c r="AW6" s="173">
        <f>AR6+AS6-M6-AX6</f>
        <v>1000000</v>
      </c>
      <c r="AX6" s="173"/>
      <c r="AY6" s="172"/>
      <c r="AZ6" s="172"/>
      <c r="BA6" s="172"/>
      <c r="BB6" s="173">
        <f>AS6-M6</f>
        <v>0</v>
      </c>
      <c r="BC6" s="4">
        <f>AR6</f>
        <v>1000000</v>
      </c>
      <c r="BD6" s="4">
        <v>1000000</v>
      </c>
      <c r="BE6" s="4"/>
      <c r="BF6" s="4"/>
      <c r="BG6" s="4"/>
      <c r="BH6" s="4">
        <f>SUM(BD6:BG6)</f>
        <v>1000000</v>
      </c>
      <c r="BI6" s="4"/>
      <c r="BJ6" s="4">
        <f>BH6+BI6</f>
        <v>1000000</v>
      </c>
      <c r="BK6" s="4">
        <f>AV6-BJ6</f>
        <v>0</v>
      </c>
      <c r="BL6" s="4">
        <f>BJ6</f>
        <v>1000000</v>
      </c>
      <c r="BM6" s="4"/>
      <c r="BN6" s="4"/>
      <c r="BO6" s="4"/>
      <c r="BP6" s="4"/>
      <c r="BQ6" s="22"/>
    </row>
    <row r="7" spans="1:69" s="176" customFormat="1" ht="30" customHeight="1">
      <c r="A7" s="172">
        <v>2</v>
      </c>
      <c r="B7" s="172">
        <v>1867</v>
      </c>
      <c r="C7" s="172" t="s">
        <v>145</v>
      </c>
      <c r="D7" s="173">
        <v>1520000</v>
      </c>
      <c r="E7" s="173">
        <v>1520000</v>
      </c>
      <c r="F7" s="173">
        <f t="shared" si="0"/>
        <v>0</v>
      </c>
      <c r="G7" s="173">
        <v>400000</v>
      </c>
      <c r="H7" s="173">
        <v>369131.07</v>
      </c>
      <c r="I7" s="173"/>
      <c r="J7" s="173"/>
      <c r="K7" s="173">
        <f t="shared" si="1"/>
        <v>0</v>
      </c>
      <c r="L7" s="173">
        <f t="shared" si="2"/>
        <v>369131.07</v>
      </c>
      <c r="M7" s="173">
        <f>Q7+T7</f>
        <v>30868.929999999993</v>
      </c>
      <c r="N7" s="173">
        <v>170000</v>
      </c>
      <c r="O7" s="173">
        <f t="shared" ref="O7:O14" si="9">N7-AH7</f>
        <v>170000</v>
      </c>
      <c r="P7" s="173">
        <f t="shared" si="4"/>
        <v>950000</v>
      </c>
      <c r="Q7" s="173">
        <f t="shared" si="5"/>
        <v>30868.929999999993</v>
      </c>
      <c r="R7" s="173"/>
      <c r="S7" s="173"/>
      <c r="T7" s="173">
        <f t="shared" ref="T7:T14" si="10">SUM(R7:S7)</f>
        <v>0</v>
      </c>
      <c r="U7" s="173">
        <f t="shared" si="6"/>
        <v>0</v>
      </c>
      <c r="V7" s="173">
        <f t="shared" si="7"/>
        <v>170000</v>
      </c>
      <c r="W7" s="173">
        <f t="shared" si="8"/>
        <v>170000</v>
      </c>
      <c r="X7" s="173"/>
      <c r="Y7" s="173"/>
      <c r="Z7" s="173"/>
      <c r="AA7" s="173"/>
      <c r="AB7" s="172" t="s">
        <v>566</v>
      </c>
      <c r="AC7" s="172">
        <v>732000</v>
      </c>
      <c r="AD7" s="184"/>
      <c r="AE7" s="172"/>
      <c r="AF7" s="172"/>
      <c r="AG7" s="172"/>
      <c r="AH7" s="173">
        <f t="shared" ref="AH7:AH14" si="11">SUM(AD7:AG7)</f>
        <v>0</v>
      </c>
      <c r="AI7" s="173">
        <f t="shared" ref="AI7:AI14" si="12">V7-AH7</f>
        <v>170000</v>
      </c>
      <c r="AJ7" s="173">
        <f t="shared" ref="AJ7:AJ14" si="13">AI7</f>
        <v>170000</v>
      </c>
      <c r="AK7" s="173"/>
      <c r="AL7" s="173"/>
      <c r="AM7" s="173"/>
      <c r="AN7" s="173"/>
      <c r="AO7" s="3"/>
      <c r="AP7" s="3"/>
      <c r="AQ7" s="184"/>
      <c r="AR7" s="173">
        <v>170000</v>
      </c>
      <c r="AS7" s="173">
        <f t="shared" ref="AS7:AS14" si="14">M7</f>
        <v>30868.929999999993</v>
      </c>
      <c r="AT7" s="173">
        <f t="shared" ref="AT7:AT14" si="15">SUM(AR7:AS7)</f>
        <v>200868.93</v>
      </c>
      <c r="AU7" s="173">
        <f t="shared" ref="AU7:AU14" si="16">D7-L7-AT7</f>
        <v>950000</v>
      </c>
      <c r="AV7" s="173">
        <f t="shared" ref="AV7:AV14" si="17">AR7+AS7-M7</f>
        <v>170000</v>
      </c>
      <c r="AW7" s="173">
        <f t="shared" ref="AW7:AW14" si="18">AR7+AS7-M7-AX7</f>
        <v>170000</v>
      </c>
      <c r="AX7" s="173"/>
      <c r="AY7" s="172"/>
      <c r="AZ7" s="172"/>
      <c r="BA7" s="172"/>
      <c r="BB7" s="173">
        <f t="shared" ref="BB7:BB14" si="19">AS7-M7</f>
        <v>0</v>
      </c>
      <c r="BC7" s="4">
        <f t="shared" ref="BC7:BC14" si="20">AR7</f>
        <v>170000</v>
      </c>
      <c r="BD7" s="4">
        <v>170000</v>
      </c>
      <c r="BE7" s="4"/>
      <c r="BF7" s="4"/>
      <c r="BG7" s="4"/>
      <c r="BH7" s="4">
        <f t="shared" ref="BH7:BH14" si="21">SUM(BD7:BG7)</f>
        <v>170000</v>
      </c>
      <c r="BI7" s="4"/>
      <c r="BJ7" s="4">
        <f t="shared" ref="BJ7:BJ14" si="22">BH7+BI7</f>
        <v>170000</v>
      </c>
      <c r="BK7" s="4">
        <f t="shared" ref="BK7:BK14" si="23">AV7-BJ7</f>
        <v>0</v>
      </c>
      <c r="BL7" s="4">
        <f t="shared" ref="BL7:BL14" si="24">BJ7</f>
        <v>170000</v>
      </c>
      <c r="BM7" s="4"/>
      <c r="BN7" s="4"/>
      <c r="BO7" s="4"/>
      <c r="BP7" s="4"/>
      <c r="BQ7" s="22"/>
    </row>
    <row r="8" spans="1:69" s="176" customFormat="1" ht="30" customHeight="1">
      <c r="A8" s="172">
        <v>3</v>
      </c>
      <c r="B8" s="172">
        <v>1869</v>
      </c>
      <c r="C8" s="172" t="s">
        <v>146</v>
      </c>
      <c r="D8" s="173">
        <v>8200000</v>
      </c>
      <c r="E8" s="173">
        <v>8200000</v>
      </c>
      <c r="F8" s="173">
        <f t="shared" si="0"/>
        <v>0</v>
      </c>
      <c r="G8" s="173">
        <v>100000</v>
      </c>
      <c r="H8" s="173">
        <v>94426.02</v>
      </c>
      <c r="I8" s="173"/>
      <c r="J8" s="173"/>
      <c r="K8" s="173">
        <f t="shared" si="1"/>
        <v>0</v>
      </c>
      <c r="L8" s="173">
        <f t="shared" si="2"/>
        <v>94426.02</v>
      </c>
      <c r="M8" s="173">
        <f t="shared" si="3"/>
        <v>5573.9799999999959</v>
      </c>
      <c r="N8" s="173">
        <v>100000</v>
      </c>
      <c r="O8" s="173">
        <f t="shared" si="9"/>
        <v>100000</v>
      </c>
      <c r="P8" s="173">
        <f t="shared" si="4"/>
        <v>8000000</v>
      </c>
      <c r="Q8" s="173">
        <f t="shared" si="5"/>
        <v>5573.9799999999959</v>
      </c>
      <c r="R8" s="173"/>
      <c r="S8" s="173"/>
      <c r="T8" s="173">
        <f t="shared" si="10"/>
        <v>0</v>
      </c>
      <c r="U8" s="173">
        <f t="shared" si="6"/>
        <v>0</v>
      </c>
      <c r="V8" s="173">
        <f t="shared" si="7"/>
        <v>100000</v>
      </c>
      <c r="W8" s="173">
        <f t="shared" si="8"/>
        <v>100000</v>
      </c>
      <c r="X8" s="173"/>
      <c r="Y8" s="173"/>
      <c r="Z8" s="173"/>
      <c r="AA8" s="173"/>
      <c r="AB8" s="172" t="s">
        <v>567</v>
      </c>
      <c r="AC8" s="172">
        <v>742000</v>
      </c>
      <c r="AD8" s="184"/>
      <c r="AE8" s="172"/>
      <c r="AF8" s="172"/>
      <c r="AG8" s="172"/>
      <c r="AH8" s="173">
        <f t="shared" si="11"/>
        <v>0</v>
      </c>
      <c r="AI8" s="173">
        <f t="shared" si="12"/>
        <v>100000</v>
      </c>
      <c r="AJ8" s="173">
        <f t="shared" si="13"/>
        <v>100000</v>
      </c>
      <c r="AK8" s="173"/>
      <c r="AL8" s="173"/>
      <c r="AM8" s="173"/>
      <c r="AN8" s="173"/>
      <c r="AO8" s="3"/>
      <c r="AP8" s="3"/>
      <c r="AQ8" s="184"/>
      <c r="AR8" s="173">
        <v>100000</v>
      </c>
      <c r="AS8" s="173">
        <f t="shared" si="14"/>
        <v>5573.9799999999959</v>
      </c>
      <c r="AT8" s="173">
        <f t="shared" si="15"/>
        <v>105573.98</v>
      </c>
      <c r="AU8" s="173">
        <f t="shared" si="16"/>
        <v>8000000</v>
      </c>
      <c r="AV8" s="173">
        <f t="shared" si="17"/>
        <v>100000</v>
      </c>
      <c r="AW8" s="173">
        <f t="shared" si="18"/>
        <v>100000</v>
      </c>
      <c r="AX8" s="173"/>
      <c r="AY8" s="172"/>
      <c r="AZ8" s="172"/>
      <c r="BA8" s="172"/>
      <c r="BB8" s="173">
        <f t="shared" si="19"/>
        <v>0</v>
      </c>
      <c r="BC8" s="4">
        <f t="shared" si="20"/>
        <v>100000</v>
      </c>
      <c r="BD8" s="4">
        <v>100000</v>
      </c>
      <c r="BE8" s="4"/>
      <c r="BF8" s="4"/>
      <c r="BG8" s="4"/>
      <c r="BH8" s="4">
        <f t="shared" si="21"/>
        <v>100000</v>
      </c>
      <c r="BI8" s="4"/>
      <c r="BJ8" s="4">
        <f t="shared" si="22"/>
        <v>100000</v>
      </c>
      <c r="BK8" s="4">
        <f t="shared" si="23"/>
        <v>0</v>
      </c>
      <c r="BL8" s="4">
        <f t="shared" si="24"/>
        <v>100000</v>
      </c>
      <c r="BM8" s="4"/>
      <c r="BN8" s="4"/>
      <c r="BO8" s="4"/>
      <c r="BP8" s="4"/>
      <c r="BQ8" s="22"/>
    </row>
    <row r="9" spans="1:69" s="176" customFormat="1" ht="30" customHeight="1">
      <c r="A9" s="172">
        <v>4</v>
      </c>
      <c r="B9" s="172">
        <v>1870</v>
      </c>
      <c r="C9" s="172" t="s">
        <v>1008</v>
      </c>
      <c r="D9" s="173">
        <v>7230000</v>
      </c>
      <c r="E9" s="173">
        <v>7230000</v>
      </c>
      <c r="F9" s="173">
        <f t="shared" si="0"/>
        <v>0</v>
      </c>
      <c r="G9" s="173">
        <v>7230000</v>
      </c>
      <c r="H9" s="173">
        <v>7229579.7300000004</v>
      </c>
      <c r="I9" s="173"/>
      <c r="J9" s="173"/>
      <c r="K9" s="173">
        <f t="shared" si="1"/>
        <v>0</v>
      </c>
      <c r="L9" s="173">
        <f t="shared" si="2"/>
        <v>7229579.7300000004</v>
      </c>
      <c r="M9" s="173">
        <f t="shared" si="3"/>
        <v>420.26999999955297</v>
      </c>
      <c r="N9" s="173"/>
      <c r="O9" s="173">
        <f t="shared" si="9"/>
        <v>0</v>
      </c>
      <c r="P9" s="173">
        <f t="shared" si="4"/>
        <v>0</v>
      </c>
      <c r="Q9" s="173">
        <f t="shared" si="5"/>
        <v>420.26999999955297</v>
      </c>
      <c r="R9" s="173"/>
      <c r="S9" s="173"/>
      <c r="T9" s="173">
        <f t="shared" si="10"/>
        <v>0</v>
      </c>
      <c r="U9" s="173">
        <f t="shared" si="6"/>
        <v>0</v>
      </c>
      <c r="V9" s="173">
        <f t="shared" si="7"/>
        <v>0</v>
      </c>
      <c r="W9" s="173">
        <f t="shared" si="8"/>
        <v>0</v>
      </c>
      <c r="X9" s="173"/>
      <c r="Y9" s="173"/>
      <c r="Z9" s="173"/>
      <c r="AA9" s="173"/>
      <c r="AB9" s="172" t="s">
        <v>568</v>
      </c>
      <c r="AC9" s="172">
        <v>742000</v>
      </c>
      <c r="AD9" s="184"/>
      <c r="AE9" s="172"/>
      <c r="AF9" s="172"/>
      <c r="AG9" s="172"/>
      <c r="AH9" s="173">
        <f t="shared" si="11"/>
        <v>0</v>
      </c>
      <c r="AI9" s="173">
        <f t="shared" si="12"/>
        <v>0</v>
      </c>
      <c r="AJ9" s="173">
        <f t="shared" si="13"/>
        <v>0</v>
      </c>
      <c r="AK9" s="173"/>
      <c r="AL9" s="173"/>
      <c r="AM9" s="173"/>
      <c r="AN9" s="173"/>
      <c r="AO9" s="3"/>
      <c r="AP9" s="3"/>
      <c r="AQ9" s="180">
        <f>SUM(AQ6:AQ8)</f>
        <v>0</v>
      </c>
      <c r="AR9" s="173"/>
      <c r="AS9" s="173">
        <f t="shared" si="14"/>
        <v>420.26999999955297</v>
      </c>
      <c r="AT9" s="173">
        <f t="shared" si="15"/>
        <v>420.26999999955297</v>
      </c>
      <c r="AU9" s="173">
        <f t="shared" si="16"/>
        <v>0</v>
      </c>
      <c r="AV9" s="173">
        <f t="shared" si="17"/>
        <v>0</v>
      </c>
      <c r="AW9" s="173">
        <f t="shared" si="18"/>
        <v>0</v>
      </c>
      <c r="AX9" s="173"/>
      <c r="AY9" s="180">
        <f>SUM(AY6:AY8)</f>
        <v>0</v>
      </c>
      <c r="AZ9" s="180">
        <f>SUM(AZ6:AZ8)</f>
        <v>0</v>
      </c>
      <c r="BA9" s="180">
        <f>SUM(BA6:BA8)</f>
        <v>0</v>
      </c>
      <c r="BB9" s="173">
        <f t="shared" si="19"/>
        <v>0</v>
      </c>
      <c r="BC9" s="4">
        <f t="shared" si="20"/>
        <v>0</v>
      </c>
      <c r="BD9" s="4"/>
      <c r="BE9" s="4"/>
      <c r="BF9" s="4"/>
      <c r="BG9" s="4"/>
      <c r="BH9" s="4">
        <f t="shared" si="21"/>
        <v>0</v>
      </c>
      <c r="BI9" s="4"/>
      <c r="BJ9" s="4">
        <f t="shared" si="22"/>
        <v>0</v>
      </c>
      <c r="BK9" s="4">
        <f t="shared" si="23"/>
        <v>0</v>
      </c>
      <c r="BL9" s="4">
        <f t="shared" si="24"/>
        <v>0</v>
      </c>
      <c r="BM9" s="4"/>
      <c r="BN9" s="4"/>
      <c r="BO9" s="4"/>
      <c r="BP9" s="4"/>
      <c r="BQ9" s="22"/>
    </row>
    <row r="10" spans="1:69" s="176" customFormat="1" ht="30" customHeight="1">
      <c r="A10" s="172">
        <v>5</v>
      </c>
      <c r="B10" s="172">
        <v>1932</v>
      </c>
      <c r="C10" s="172" t="s">
        <v>1009</v>
      </c>
      <c r="D10" s="173">
        <v>11800000</v>
      </c>
      <c r="E10" s="173">
        <v>11800000</v>
      </c>
      <c r="F10" s="173">
        <f t="shared" si="0"/>
        <v>0</v>
      </c>
      <c r="G10" s="173">
        <v>5000000</v>
      </c>
      <c r="H10" s="173">
        <v>4999999.87</v>
      </c>
      <c r="I10" s="173"/>
      <c r="J10" s="173"/>
      <c r="K10" s="173">
        <f t="shared" si="1"/>
        <v>0</v>
      </c>
      <c r="L10" s="173">
        <f t="shared" si="2"/>
        <v>4999999.87</v>
      </c>
      <c r="M10" s="173">
        <f t="shared" si="3"/>
        <v>0.12999999988824129</v>
      </c>
      <c r="N10" s="173">
        <v>800000</v>
      </c>
      <c r="O10" s="173">
        <f t="shared" si="9"/>
        <v>800000</v>
      </c>
      <c r="P10" s="173">
        <f t="shared" si="4"/>
        <v>6000000</v>
      </c>
      <c r="Q10" s="173">
        <f t="shared" si="5"/>
        <v>0.12999999988824129</v>
      </c>
      <c r="R10" s="173"/>
      <c r="S10" s="173"/>
      <c r="T10" s="173">
        <f t="shared" si="10"/>
        <v>0</v>
      </c>
      <c r="U10" s="173">
        <f t="shared" si="6"/>
        <v>0</v>
      </c>
      <c r="V10" s="173">
        <f t="shared" si="7"/>
        <v>800000</v>
      </c>
      <c r="W10" s="173">
        <f t="shared" si="8"/>
        <v>0</v>
      </c>
      <c r="X10" s="173"/>
      <c r="Y10" s="173"/>
      <c r="Z10" s="173"/>
      <c r="AA10" s="289">
        <v>800000</v>
      </c>
      <c r="AB10" s="172" t="s">
        <v>569</v>
      </c>
      <c r="AC10" s="172">
        <v>746000</v>
      </c>
      <c r="AD10" s="184"/>
      <c r="AE10" s="172"/>
      <c r="AF10" s="172"/>
      <c r="AG10" s="172"/>
      <c r="AH10" s="173">
        <f t="shared" si="11"/>
        <v>0</v>
      </c>
      <c r="AI10" s="173">
        <f t="shared" si="12"/>
        <v>800000</v>
      </c>
      <c r="AJ10" s="173"/>
      <c r="AK10" s="173"/>
      <c r="AL10" s="173"/>
      <c r="AM10" s="173"/>
      <c r="AN10" s="173">
        <f>AI10</f>
        <v>800000</v>
      </c>
      <c r="AO10" s="3"/>
      <c r="AP10" s="3"/>
      <c r="AQ10" s="184"/>
      <c r="AR10" s="173"/>
      <c r="AS10" s="173">
        <f t="shared" si="14"/>
        <v>0.12999999988824129</v>
      </c>
      <c r="AT10" s="173">
        <f t="shared" si="15"/>
        <v>0.12999999988824129</v>
      </c>
      <c r="AU10" s="173">
        <f t="shared" si="16"/>
        <v>6800000</v>
      </c>
      <c r="AV10" s="173">
        <f t="shared" si="17"/>
        <v>0</v>
      </c>
      <c r="AW10" s="173">
        <f t="shared" si="18"/>
        <v>0</v>
      </c>
      <c r="AX10" s="173"/>
      <c r="AY10" s="172"/>
      <c r="AZ10" s="172"/>
      <c r="BA10" s="172"/>
      <c r="BB10" s="173">
        <f t="shared" si="19"/>
        <v>0</v>
      </c>
      <c r="BC10" s="4">
        <f t="shared" si="20"/>
        <v>0</v>
      </c>
      <c r="BD10" s="4"/>
      <c r="BE10" s="4"/>
      <c r="BF10" s="4"/>
      <c r="BG10" s="4"/>
      <c r="BH10" s="4">
        <f t="shared" si="21"/>
        <v>0</v>
      </c>
      <c r="BI10" s="4"/>
      <c r="BJ10" s="4">
        <f t="shared" si="22"/>
        <v>0</v>
      </c>
      <c r="BK10" s="4">
        <f t="shared" si="23"/>
        <v>0</v>
      </c>
      <c r="BL10" s="4">
        <f t="shared" si="24"/>
        <v>0</v>
      </c>
      <c r="BM10" s="4"/>
      <c r="BN10" s="4"/>
      <c r="BO10" s="4"/>
      <c r="BP10" s="4"/>
      <c r="BQ10" s="22"/>
    </row>
    <row r="11" spans="1:69" s="176" customFormat="1" ht="30" customHeight="1">
      <c r="A11" s="172">
        <v>6</v>
      </c>
      <c r="B11" s="172">
        <v>1979</v>
      </c>
      <c r="C11" s="172" t="s">
        <v>167</v>
      </c>
      <c r="D11" s="191">
        <v>195000</v>
      </c>
      <c r="E11" s="191">
        <v>195000</v>
      </c>
      <c r="F11" s="173">
        <f t="shared" si="0"/>
        <v>0</v>
      </c>
      <c r="G11" s="173">
        <v>100000</v>
      </c>
      <c r="H11" s="173">
        <v>64729.08</v>
      </c>
      <c r="I11" s="173"/>
      <c r="J11" s="173"/>
      <c r="K11" s="173">
        <f t="shared" si="1"/>
        <v>0</v>
      </c>
      <c r="L11" s="173">
        <f t="shared" si="2"/>
        <v>64729.08</v>
      </c>
      <c r="M11" s="173">
        <f t="shared" si="3"/>
        <v>35270.92</v>
      </c>
      <c r="N11" s="173">
        <v>95000</v>
      </c>
      <c r="O11" s="173">
        <f t="shared" si="9"/>
        <v>95000</v>
      </c>
      <c r="P11" s="173">
        <f t="shared" si="4"/>
        <v>0</v>
      </c>
      <c r="Q11" s="173">
        <f t="shared" si="5"/>
        <v>35270.92</v>
      </c>
      <c r="R11" s="173"/>
      <c r="S11" s="173"/>
      <c r="T11" s="173">
        <f t="shared" si="10"/>
        <v>0</v>
      </c>
      <c r="U11" s="173">
        <f t="shared" si="6"/>
        <v>0</v>
      </c>
      <c r="V11" s="173">
        <f t="shared" si="7"/>
        <v>95000</v>
      </c>
      <c r="W11" s="173">
        <f t="shared" si="8"/>
        <v>95000</v>
      </c>
      <c r="X11" s="173"/>
      <c r="Y11" s="173"/>
      <c r="Z11" s="173"/>
      <c r="AA11" s="173"/>
      <c r="AB11" s="172" t="s">
        <v>566</v>
      </c>
      <c r="AC11" s="172">
        <v>732000</v>
      </c>
      <c r="AD11" s="184"/>
      <c r="AE11" s="172"/>
      <c r="AF11" s="172"/>
      <c r="AG11" s="172"/>
      <c r="AH11" s="173">
        <f t="shared" si="11"/>
        <v>0</v>
      </c>
      <c r="AI11" s="173">
        <f t="shared" si="12"/>
        <v>95000</v>
      </c>
      <c r="AJ11" s="173">
        <f t="shared" si="13"/>
        <v>95000</v>
      </c>
      <c r="AK11" s="173"/>
      <c r="AL11" s="173"/>
      <c r="AM11" s="173"/>
      <c r="AN11" s="173"/>
      <c r="AO11" s="172"/>
      <c r="AP11" s="172"/>
      <c r="AQ11" s="184"/>
      <c r="AR11" s="173">
        <v>95000</v>
      </c>
      <c r="AS11" s="173">
        <f t="shared" si="14"/>
        <v>35270.92</v>
      </c>
      <c r="AT11" s="173">
        <f t="shared" si="15"/>
        <v>130270.92</v>
      </c>
      <c r="AU11" s="173">
        <f t="shared" si="16"/>
        <v>0</v>
      </c>
      <c r="AV11" s="173">
        <f t="shared" si="17"/>
        <v>95000</v>
      </c>
      <c r="AW11" s="173">
        <f t="shared" si="18"/>
        <v>95000</v>
      </c>
      <c r="AX11" s="173"/>
      <c r="AY11" s="184"/>
      <c r="AZ11" s="184"/>
      <c r="BA11" s="184"/>
      <c r="BB11" s="173">
        <f t="shared" si="19"/>
        <v>0</v>
      </c>
      <c r="BC11" s="4">
        <f t="shared" si="20"/>
        <v>95000</v>
      </c>
      <c r="BD11" s="4">
        <v>95000</v>
      </c>
      <c r="BE11" s="4"/>
      <c r="BF11" s="4"/>
      <c r="BG11" s="4"/>
      <c r="BH11" s="4">
        <f t="shared" si="21"/>
        <v>95000</v>
      </c>
      <c r="BI11" s="4"/>
      <c r="BJ11" s="4">
        <f t="shared" si="22"/>
        <v>95000</v>
      </c>
      <c r="BK11" s="4">
        <f t="shared" si="23"/>
        <v>0</v>
      </c>
      <c r="BL11" s="4">
        <f t="shared" si="24"/>
        <v>95000</v>
      </c>
      <c r="BM11" s="4"/>
      <c r="BN11" s="4"/>
      <c r="BO11" s="4"/>
      <c r="BP11" s="4"/>
      <c r="BQ11" s="22"/>
    </row>
    <row r="12" spans="1:69" s="176" customFormat="1" ht="30" customHeight="1">
      <c r="A12" s="172">
        <v>7</v>
      </c>
      <c r="B12" s="172">
        <v>1980</v>
      </c>
      <c r="C12" s="172" t="s">
        <v>185</v>
      </c>
      <c r="D12" s="191">
        <v>1150000</v>
      </c>
      <c r="E12" s="191">
        <v>1150000</v>
      </c>
      <c r="F12" s="173">
        <f t="shared" si="0"/>
        <v>0</v>
      </c>
      <c r="G12" s="173">
        <v>450000</v>
      </c>
      <c r="H12" s="173">
        <v>440480.33</v>
      </c>
      <c r="I12" s="173"/>
      <c r="J12" s="173"/>
      <c r="K12" s="173">
        <f t="shared" si="1"/>
        <v>0</v>
      </c>
      <c r="L12" s="173">
        <f t="shared" si="2"/>
        <v>440480.33</v>
      </c>
      <c r="M12" s="173">
        <f t="shared" si="3"/>
        <v>9519.6699999999837</v>
      </c>
      <c r="N12" s="173">
        <v>700000</v>
      </c>
      <c r="O12" s="173">
        <f t="shared" si="9"/>
        <v>700000</v>
      </c>
      <c r="P12" s="173">
        <f t="shared" si="4"/>
        <v>0</v>
      </c>
      <c r="Q12" s="173">
        <f t="shared" si="5"/>
        <v>9519.6699999999837</v>
      </c>
      <c r="R12" s="173"/>
      <c r="S12" s="173"/>
      <c r="T12" s="173">
        <f t="shared" si="10"/>
        <v>0</v>
      </c>
      <c r="U12" s="173">
        <f t="shared" si="6"/>
        <v>0</v>
      </c>
      <c r="V12" s="173">
        <f t="shared" si="7"/>
        <v>700000</v>
      </c>
      <c r="W12" s="173">
        <f t="shared" si="8"/>
        <v>700000</v>
      </c>
      <c r="X12" s="173"/>
      <c r="Y12" s="173"/>
      <c r="Z12" s="173"/>
      <c r="AA12" s="173"/>
      <c r="AB12" s="172" t="s">
        <v>570</v>
      </c>
      <c r="AC12" s="172">
        <v>732000</v>
      </c>
      <c r="AD12" s="184"/>
      <c r="AE12" s="172"/>
      <c r="AF12" s="172"/>
      <c r="AG12" s="172"/>
      <c r="AH12" s="173">
        <f t="shared" si="11"/>
        <v>0</v>
      </c>
      <c r="AI12" s="173">
        <f t="shared" si="12"/>
        <v>700000</v>
      </c>
      <c r="AJ12" s="173">
        <f t="shared" si="13"/>
        <v>700000</v>
      </c>
      <c r="AK12" s="173"/>
      <c r="AL12" s="173"/>
      <c r="AM12" s="173"/>
      <c r="AN12" s="173"/>
      <c r="AO12" s="172"/>
      <c r="AP12" s="172"/>
      <c r="AQ12" s="184"/>
      <c r="AR12" s="173">
        <v>700000</v>
      </c>
      <c r="AS12" s="173">
        <f t="shared" si="14"/>
        <v>9519.6699999999837</v>
      </c>
      <c r="AT12" s="173">
        <f t="shared" si="15"/>
        <v>709519.66999999993</v>
      </c>
      <c r="AU12" s="173">
        <f t="shared" si="16"/>
        <v>0</v>
      </c>
      <c r="AV12" s="173">
        <f t="shared" si="17"/>
        <v>700000</v>
      </c>
      <c r="AW12" s="173">
        <f t="shared" si="18"/>
        <v>700000</v>
      </c>
      <c r="AX12" s="173"/>
      <c r="AY12" s="184"/>
      <c r="AZ12" s="184"/>
      <c r="BA12" s="184"/>
      <c r="BB12" s="173">
        <f t="shared" si="19"/>
        <v>0</v>
      </c>
      <c r="BC12" s="4">
        <f t="shared" si="20"/>
        <v>700000</v>
      </c>
      <c r="BD12" s="4">
        <v>700000</v>
      </c>
      <c r="BE12" s="4"/>
      <c r="BF12" s="4"/>
      <c r="BG12" s="4"/>
      <c r="BH12" s="4">
        <f t="shared" si="21"/>
        <v>700000</v>
      </c>
      <c r="BI12" s="4"/>
      <c r="BJ12" s="4">
        <f t="shared" si="22"/>
        <v>700000</v>
      </c>
      <c r="BK12" s="4">
        <f t="shared" si="23"/>
        <v>0</v>
      </c>
      <c r="BL12" s="4">
        <f t="shared" si="24"/>
        <v>700000</v>
      </c>
      <c r="BM12" s="4"/>
      <c r="BN12" s="4"/>
      <c r="BO12" s="4"/>
      <c r="BP12" s="4"/>
      <c r="BQ12" s="22"/>
    </row>
    <row r="13" spans="1:69" s="176" customFormat="1" ht="30" customHeight="1">
      <c r="A13" s="172">
        <v>8</v>
      </c>
      <c r="B13" s="172">
        <v>1981</v>
      </c>
      <c r="C13" s="172" t="s">
        <v>168</v>
      </c>
      <c r="D13" s="191">
        <v>1100000</v>
      </c>
      <c r="E13" s="191">
        <v>1100000</v>
      </c>
      <c r="F13" s="173">
        <f t="shared" si="0"/>
        <v>0</v>
      </c>
      <c r="G13" s="173">
        <v>950000</v>
      </c>
      <c r="H13" s="173">
        <v>826983.96</v>
      </c>
      <c r="I13" s="173"/>
      <c r="J13" s="173"/>
      <c r="K13" s="173">
        <f t="shared" si="1"/>
        <v>0</v>
      </c>
      <c r="L13" s="173">
        <f t="shared" si="2"/>
        <v>826983.96</v>
      </c>
      <c r="M13" s="173">
        <f t="shared" si="3"/>
        <v>123016.04000000004</v>
      </c>
      <c r="N13" s="173">
        <v>150000</v>
      </c>
      <c r="O13" s="173">
        <f t="shared" si="9"/>
        <v>150000</v>
      </c>
      <c r="P13" s="173">
        <f t="shared" si="4"/>
        <v>0</v>
      </c>
      <c r="Q13" s="173">
        <f t="shared" si="5"/>
        <v>123016.04000000004</v>
      </c>
      <c r="R13" s="173"/>
      <c r="S13" s="173"/>
      <c r="T13" s="173"/>
      <c r="U13" s="173">
        <f t="shared" si="6"/>
        <v>0</v>
      </c>
      <c r="V13" s="173">
        <f t="shared" si="7"/>
        <v>150000</v>
      </c>
      <c r="W13" s="173">
        <f t="shared" si="8"/>
        <v>150000</v>
      </c>
      <c r="X13" s="173"/>
      <c r="Y13" s="173"/>
      <c r="Z13" s="173"/>
      <c r="AA13" s="173"/>
      <c r="AB13" s="172" t="s">
        <v>566</v>
      </c>
      <c r="AC13" s="172">
        <v>732000</v>
      </c>
      <c r="AD13" s="184"/>
      <c r="AE13" s="172"/>
      <c r="AF13" s="172"/>
      <c r="AG13" s="172"/>
      <c r="AH13" s="173">
        <f t="shared" si="11"/>
        <v>0</v>
      </c>
      <c r="AI13" s="173">
        <f t="shared" si="12"/>
        <v>150000</v>
      </c>
      <c r="AJ13" s="173">
        <f t="shared" si="13"/>
        <v>150000</v>
      </c>
      <c r="AK13" s="173"/>
      <c r="AL13" s="173"/>
      <c r="AM13" s="173"/>
      <c r="AN13" s="173"/>
      <c r="AO13" s="172"/>
      <c r="AP13" s="172"/>
      <c r="AQ13" s="184"/>
      <c r="AR13" s="173">
        <v>150000</v>
      </c>
      <c r="AS13" s="173">
        <f t="shared" si="14"/>
        <v>123016.04000000004</v>
      </c>
      <c r="AT13" s="173">
        <f t="shared" si="15"/>
        <v>273016.04000000004</v>
      </c>
      <c r="AU13" s="173">
        <f t="shared" si="16"/>
        <v>0</v>
      </c>
      <c r="AV13" s="173">
        <f t="shared" si="17"/>
        <v>150000</v>
      </c>
      <c r="AW13" s="173">
        <f t="shared" si="18"/>
        <v>150000</v>
      </c>
      <c r="AX13" s="173"/>
      <c r="AY13" s="184"/>
      <c r="AZ13" s="184"/>
      <c r="BA13" s="184"/>
      <c r="BB13" s="173">
        <f t="shared" si="19"/>
        <v>0</v>
      </c>
      <c r="BC13" s="4">
        <f t="shared" si="20"/>
        <v>150000</v>
      </c>
      <c r="BD13" s="4">
        <v>150000</v>
      </c>
      <c r="BE13" s="4"/>
      <c r="BF13" s="4"/>
      <c r="BG13" s="4"/>
      <c r="BH13" s="4">
        <f t="shared" si="21"/>
        <v>150000</v>
      </c>
      <c r="BI13" s="4"/>
      <c r="BJ13" s="4">
        <f t="shared" si="22"/>
        <v>150000</v>
      </c>
      <c r="BK13" s="4">
        <f t="shared" si="23"/>
        <v>0</v>
      </c>
      <c r="BL13" s="4">
        <f t="shared" si="24"/>
        <v>150000</v>
      </c>
      <c r="BM13" s="4"/>
      <c r="BN13" s="4"/>
      <c r="BO13" s="4"/>
      <c r="BP13" s="4"/>
      <c r="BQ13" s="22"/>
    </row>
    <row r="14" spans="1:69" s="176" customFormat="1" ht="30" customHeight="1">
      <c r="A14" s="172">
        <v>9</v>
      </c>
      <c r="B14" s="172">
        <v>2052</v>
      </c>
      <c r="C14" s="172" t="s">
        <v>1576</v>
      </c>
      <c r="D14" s="191">
        <v>355000</v>
      </c>
      <c r="E14" s="191">
        <v>355000</v>
      </c>
      <c r="F14" s="173">
        <f t="shared" si="0"/>
        <v>0</v>
      </c>
      <c r="G14" s="173">
        <v>355000</v>
      </c>
      <c r="H14" s="173">
        <v>126340.11</v>
      </c>
      <c r="I14" s="173"/>
      <c r="J14" s="173"/>
      <c r="K14" s="173">
        <f t="shared" si="1"/>
        <v>0</v>
      </c>
      <c r="L14" s="173">
        <f t="shared" si="2"/>
        <v>126340.11</v>
      </c>
      <c r="M14" s="173">
        <f t="shared" si="3"/>
        <v>228659.89</v>
      </c>
      <c r="N14" s="173"/>
      <c r="O14" s="173">
        <f t="shared" si="9"/>
        <v>0</v>
      </c>
      <c r="P14" s="173">
        <f t="shared" si="4"/>
        <v>0</v>
      </c>
      <c r="Q14" s="173">
        <f t="shared" si="5"/>
        <v>228659.89</v>
      </c>
      <c r="R14" s="173"/>
      <c r="S14" s="173"/>
      <c r="T14" s="173">
        <f t="shared" si="10"/>
        <v>0</v>
      </c>
      <c r="U14" s="173">
        <f t="shared" si="6"/>
        <v>0</v>
      </c>
      <c r="V14" s="173">
        <f t="shared" si="7"/>
        <v>0</v>
      </c>
      <c r="W14" s="173">
        <f t="shared" si="8"/>
        <v>0</v>
      </c>
      <c r="X14" s="173"/>
      <c r="Y14" s="173"/>
      <c r="Z14" s="173"/>
      <c r="AA14" s="173"/>
      <c r="AB14" s="172" t="s">
        <v>566</v>
      </c>
      <c r="AC14" s="172">
        <v>732000</v>
      </c>
      <c r="AD14" s="184"/>
      <c r="AE14" s="172"/>
      <c r="AF14" s="172"/>
      <c r="AG14" s="172"/>
      <c r="AH14" s="173">
        <f t="shared" si="11"/>
        <v>0</v>
      </c>
      <c r="AI14" s="173">
        <f t="shared" si="12"/>
        <v>0</v>
      </c>
      <c r="AJ14" s="173">
        <f t="shared" si="13"/>
        <v>0</v>
      </c>
      <c r="AK14" s="173"/>
      <c r="AL14" s="173"/>
      <c r="AM14" s="173"/>
      <c r="AN14" s="173"/>
      <c r="AO14" s="172"/>
      <c r="AP14" s="172"/>
      <c r="AQ14" s="184"/>
      <c r="AR14" s="173"/>
      <c r="AS14" s="173">
        <f t="shared" si="14"/>
        <v>228659.89</v>
      </c>
      <c r="AT14" s="173">
        <f t="shared" si="15"/>
        <v>228659.89</v>
      </c>
      <c r="AU14" s="173">
        <f t="shared" si="16"/>
        <v>0</v>
      </c>
      <c r="AV14" s="173">
        <f t="shared" si="17"/>
        <v>0</v>
      </c>
      <c r="AW14" s="173">
        <f t="shared" si="18"/>
        <v>0</v>
      </c>
      <c r="AX14" s="173"/>
      <c r="AY14" s="184"/>
      <c r="AZ14" s="184"/>
      <c r="BA14" s="184"/>
      <c r="BB14" s="173">
        <f t="shared" si="19"/>
        <v>0</v>
      </c>
      <c r="BC14" s="4">
        <f t="shared" si="20"/>
        <v>0</v>
      </c>
      <c r="BD14" s="4"/>
      <c r="BE14" s="4"/>
      <c r="BF14" s="4"/>
      <c r="BG14" s="4"/>
      <c r="BH14" s="4">
        <f t="shared" si="21"/>
        <v>0</v>
      </c>
      <c r="BI14" s="4"/>
      <c r="BJ14" s="4">
        <f t="shared" si="22"/>
        <v>0</v>
      </c>
      <c r="BK14" s="4">
        <f t="shared" si="23"/>
        <v>0</v>
      </c>
      <c r="BL14" s="4">
        <f t="shared" si="24"/>
        <v>0</v>
      </c>
      <c r="BM14" s="4"/>
      <c r="BN14" s="4"/>
      <c r="BO14" s="4"/>
      <c r="BP14" s="4"/>
      <c r="BQ14" s="22"/>
    </row>
    <row r="15" spans="1:69" s="70" customFormat="1" ht="30" customHeight="1">
      <c r="A15" s="33">
        <v>9</v>
      </c>
      <c r="B15" s="33"/>
      <c r="C15" s="178" t="s">
        <v>299</v>
      </c>
      <c r="D15" s="73">
        <f>SUBTOTAL(9,D6:D14)</f>
        <v>40043000</v>
      </c>
      <c r="E15" s="73">
        <f t="shared" ref="E15:BA15" si="25">SUBTOTAL(9,E6:E14)</f>
        <v>40043000</v>
      </c>
      <c r="F15" s="73">
        <f t="shared" si="25"/>
        <v>0</v>
      </c>
      <c r="G15" s="73">
        <f t="shared" si="25"/>
        <v>15315000</v>
      </c>
      <c r="H15" s="73">
        <f t="shared" si="25"/>
        <v>14878987.530000001</v>
      </c>
      <c r="I15" s="73">
        <f t="shared" si="25"/>
        <v>0</v>
      </c>
      <c r="J15" s="73">
        <f t="shared" si="25"/>
        <v>0</v>
      </c>
      <c r="K15" s="73">
        <f t="shared" si="25"/>
        <v>0</v>
      </c>
      <c r="L15" s="73">
        <f t="shared" si="25"/>
        <v>14878987.530000001</v>
      </c>
      <c r="M15" s="73">
        <f t="shared" si="25"/>
        <v>436012.46999999951</v>
      </c>
      <c r="N15" s="73">
        <f t="shared" si="25"/>
        <v>3015000</v>
      </c>
      <c r="O15" s="73">
        <f t="shared" si="25"/>
        <v>3015000</v>
      </c>
      <c r="P15" s="73">
        <f t="shared" si="25"/>
        <v>21713000</v>
      </c>
      <c r="Q15" s="73">
        <f t="shared" si="25"/>
        <v>436012.46999999951</v>
      </c>
      <c r="R15" s="73">
        <f t="shared" si="25"/>
        <v>0</v>
      </c>
      <c r="S15" s="73">
        <f t="shared" si="25"/>
        <v>0</v>
      </c>
      <c r="T15" s="73">
        <f t="shared" si="25"/>
        <v>0</v>
      </c>
      <c r="U15" s="73">
        <f t="shared" si="25"/>
        <v>0</v>
      </c>
      <c r="V15" s="73">
        <f t="shared" si="25"/>
        <v>3015000</v>
      </c>
      <c r="W15" s="73">
        <f t="shared" si="25"/>
        <v>1215000</v>
      </c>
      <c r="X15" s="73">
        <f t="shared" si="25"/>
        <v>1000000</v>
      </c>
      <c r="Y15" s="73">
        <f t="shared" si="25"/>
        <v>0</v>
      </c>
      <c r="Z15" s="73">
        <f t="shared" si="25"/>
        <v>0</v>
      </c>
      <c r="AA15" s="73">
        <f t="shared" si="25"/>
        <v>800000</v>
      </c>
      <c r="AB15" s="73">
        <f t="shared" si="25"/>
        <v>0</v>
      </c>
      <c r="AC15" s="73">
        <f t="shared" si="25"/>
        <v>6622000</v>
      </c>
      <c r="AD15" s="73">
        <f t="shared" si="25"/>
        <v>0</v>
      </c>
      <c r="AE15" s="73">
        <f t="shared" si="25"/>
        <v>0</v>
      </c>
      <c r="AF15" s="73">
        <f t="shared" si="25"/>
        <v>0</v>
      </c>
      <c r="AG15" s="73">
        <f t="shared" si="25"/>
        <v>0</v>
      </c>
      <c r="AH15" s="73">
        <f t="shared" si="25"/>
        <v>0</v>
      </c>
      <c r="AI15" s="73">
        <f t="shared" si="25"/>
        <v>3015000</v>
      </c>
      <c r="AJ15" s="73">
        <f t="shared" si="25"/>
        <v>1215000</v>
      </c>
      <c r="AK15" s="73">
        <f t="shared" si="25"/>
        <v>1000000</v>
      </c>
      <c r="AL15" s="73">
        <f t="shared" si="25"/>
        <v>0</v>
      </c>
      <c r="AM15" s="73">
        <f t="shared" si="25"/>
        <v>0</v>
      </c>
      <c r="AN15" s="73">
        <f t="shared" si="25"/>
        <v>800000</v>
      </c>
      <c r="AO15" s="73">
        <f t="shared" si="25"/>
        <v>0</v>
      </c>
      <c r="AP15" s="73">
        <f t="shared" si="25"/>
        <v>0</v>
      </c>
      <c r="AQ15" s="73">
        <f t="shared" si="25"/>
        <v>0</v>
      </c>
      <c r="AR15" s="73">
        <f t="shared" si="25"/>
        <v>2215000</v>
      </c>
      <c r="AS15" s="73">
        <f t="shared" si="25"/>
        <v>436012.46999999951</v>
      </c>
      <c r="AT15" s="73">
        <f t="shared" si="25"/>
        <v>2651012.4699999993</v>
      </c>
      <c r="AU15" s="73">
        <f t="shared" si="25"/>
        <v>22513000</v>
      </c>
      <c r="AV15" s="73">
        <f t="shared" si="25"/>
        <v>2215000</v>
      </c>
      <c r="AW15" s="73">
        <f t="shared" si="25"/>
        <v>2215000</v>
      </c>
      <c r="AX15" s="73">
        <f t="shared" si="25"/>
        <v>0</v>
      </c>
      <c r="AY15" s="73">
        <f t="shared" si="25"/>
        <v>0</v>
      </c>
      <c r="AZ15" s="73">
        <f t="shared" si="25"/>
        <v>0</v>
      </c>
      <c r="BA15" s="73">
        <f t="shared" si="25"/>
        <v>0</v>
      </c>
      <c r="BB15" s="73">
        <f t="shared" ref="BB15:BP15" si="26">SUM(BB6:BB14)</f>
        <v>0</v>
      </c>
      <c r="BC15" s="73">
        <f t="shared" si="26"/>
        <v>2215000</v>
      </c>
      <c r="BD15" s="73">
        <f t="shared" si="26"/>
        <v>2215000</v>
      </c>
      <c r="BE15" s="73">
        <f>SUM(BE6:BE14)</f>
        <v>0</v>
      </c>
      <c r="BF15" s="73">
        <f>SUM(BF6:BF14)</f>
        <v>0</v>
      </c>
      <c r="BG15" s="73">
        <f>SUM(BG6:BG14)</f>
        <v>0</v>
      </c>
      <c r="BH15" s="73">
        <f t="shared" si="26"/>
        <v>2215000</v>
      </c>
      <c r="BI15" s="73">
        <f t="shared" si="26"/>
        <v>0</v>
      </c>
      <c r="BJ15" s="73">
        <f t="shared" si="26"/>
        <v>2215000</v>
      </c>
      <c r="BK15" s="73">
        <f t="shared" si="26"/>
        <v>0</v>
      </c>
      <c r="BL15" s="73">
        <f t="shared" si="26"/>
        <v>2215000</v>
      </c>
      <c r="BM15" s="73">
        <f t="shared" si="26"/>
        <v>0</v>
      </c>
      <c r="BN15" s="73">
        <f t="shared" si="26"/>
        <v>0</v>
      </c>
      <c r="BO15" s="73">
        <f t="shared" si="26"/>
        <v>0</v>
      </c>
      <c r="BP15" s="73">
        <f t="shared" si="26"/>
        <v>0</v>
      </c>
      <c r="BQ15" s="265"/>
    </row>
    <row r="16" spans="1:69" hidden="1">
      <c r="M16" s="299">
        <f>Q15+T15-U15</f>
        <v>436012.46999999951</v>
      </c>
      <c r="P16" s="167">
        <f>L15+M15+O15+P15</f>
        <v>40043000</v>
      </c>
      <c r="Q16" s="299">
        <f>G15-L15</f>
        <v>436012.46999999881</v>
      </c>
      <c r="V16" s="167">
        <f>N15-U15</f>
        <v>3015000</v>
      </c>
      <c r="AO16" s="435"/>
      <c r="AP16" s="436"/>
    </row>
    <row r="17" spans="3:69" ht="18.5" hidden="1" thickBot="1">
      <c r="AO17" s="480"/>
      <c r="AP17" s="481"/>
    </row>
    <row r="18" spans="3:69" hidden="1">
      <c r="L18" s="167" t="s">
        <v>1010</v>
      </c>
      <c r="N18" s="167">
        <v>2015000</v>
      </c>
      <c r="AO18" s="435"/>
      <c r="AP18" s="436"/>
    </row>
    <row r="19" spans="3:69" hidden="1">
      <c r="L19" s="167" t="s">
        <v>1011</v>
      </c>
      <c r="N19" s="167">
        <v>1000000</v>
      </c>
    </row>
    <row r="20" spans="3:69" hidden="1">
      <c r="N20" s="167">
        <f>SUM(N18:N19)</f>
        <v>3015000</v>
      </c>
    </row>
    <row r="21" spans="3:69" ht="18.5" hidden="1" thickBot="1">
      <c r="C21" s="438" t="s">
        <v>1002</v>
      </c>
      <c r="AR21" s="439">
        <f>AR15</f>
        <v>2215000</v>
      </c>
      <c r="AS21" s="439">
        <f>AS15-M15+0.01</f>
        <v>0.01</v>
      </c>
      <c r="AT21" s="440"/>
      <c r="AU21" s="440"/>
      <c r="AV21" s="440"/>
    </row>
    <row r="22" spans="3:69" hidden="1"/>
    <row r="23" spans="3:69" ht="18.5" hidden="1" thickBot="1">
      <c r="C23" s="438" t="s">
        <v>233</v>
      </c>
      <c r="AR23" s="439">
        <f>AR21+AS21</f>
        <v>2215000.0099999998</v>
      </c>
      <c r="AW23" s="482">
        <f>AW15</f>
        <v>2215000</v>
      </c>
      <c r="AX23" s="482">
        <f>AX15</f>
        <v>0</v>
      </c>
    </row>
    <row r="24" spans="3:69" hidden="1">
      <c r="AW24" s="441" t="s">
        <v>1003</v>
      </c>
      <c r="AX24" s="380"/>
      <c r="AY24" s="380"/>
      <c r="AZ24" s="380"/>
      <c r="BA24" s="380"/>
      <c r="BB24" s="380"/>
      <c r="BC24" s="381"/>
      <c r="BD24" s="184"/>
      <c r="BE24" s="184"/>
      <c r="BF24" s="184"/>
      <c r="BG24" s="184"/>
      <c r="BH24" s="184"/>
      <c r="BK24" s="184"/>
      <c r="BL24" s="184"/>
      <c r="BM24" s="184"/>
      <c r="BN24" s="184"/>
      <c r="BO24" s="184"/>
      <c r="BP24" s="441"/>
    </row>
    <row r="25" spans="3:69" hidden="1">
      <c r="AW25" s="441" t="s">
        <v>1006</v>
      </c>
      <c r="AX25" s="380"/>
      <c r="AY25" s="380"/>
      <c r="AZ25" s="380"/>
      <c r="BA25" s="380"/>
      <c r="BB25" s="380"/>
      <c r="BC25" s="381" t="s">
        <v>1004</v>
      </c>
      <c r="BD25" s="187">
        <f>BD13+BD12+BD11+BD8+BD7+BD6</f>
        <v>2215000</v>
      </c>
      <c r="BE25" s="187">
        <f>BE13+BE12+BE11+BE8+BE7+BE6</f>
        <v>0</v>
      </c>
      <c r="BF25" s="187">
        <f>BF13+BF12+BF11+BF8+BF7+BF6</f>
        <v>0</v>
      </c>
      <c r="BG25" s="187">
        <f>BG13+BG12+BG11+BG8+BG7+BG6</f>
        <v>0</v>
      </c>
      <c r="BH25" s="187">
        <f t="shared" ref="BH25:BP25" si="27">BH13+BH12+BH11+BH8+BH7+BH6</f>
        <v>2215000</v>
      </c>
      <c r="BI25" s="299"/>
      <c r="BK25" s="187">
        <f t="shared" si="27"/>
        <v>0</v>
      </c>
      <c r="BL25" s="187">
        <f t="shared" si="27"/>
        <v>2215000</v>
      </c>
      <c r="BM25" s="187">
        <f t="shared" si="27"/>
        <v>0</v>
      </c>
      <c r="BN25" s="187">
        <f t="shared" si="27"/>
        <v>0</v>
      </c>
      <c r="BO25" s="187">
        <f t="shared" si="27"/>
        <v>0</v>
      </c>
      <c r="BP25" s="483">
        <f t="shared" si="27"/>
        <v>0</v>
      </c>
      <c r="BQ25" s="299"/>
    </row>
    <row r="26" spans="3:69" hidden="1">
      <c r="AW26" s="441" t="s">
        <v>1005</v>
      </c>
      <c r="AX26" s="380"/>
      <c r="AY26" s="380"/>
      <c r="AZ26" s="380"/>
      <c r="BA26" s="380"/>
      <c r="BB26" s="380"/>
      <c r="BC26" s="381"/>
      <c r="BD26" s="184"/>
      <c r="BE26" s="184"/>
      <c r="BF26" s="184"/>
      <c r="BG26" s="184"/>
      <c r="BH26" s="184"/>
      <c r="BK26" s="184"/>
      <c r="BL26" s="184"/>
      <c r="BM26" s="184"/>
      <c r="BN26" s="184"/>
      <c r="BO26" s="184"/>
      <c r="BP26" s="441"/>
    </row>
    <row r="27" spans="3:69" hidden="1">
      <c r="AW27" s="484" t="s">
        <v>105</v>
      </c>
      <c r="AX27" s="485"/>
      <c r="AY27" s="485"/>
      <c r="AZ27" s="485"/>
      <c r="BA27" s="485"/>
      <c r="BB27" s="485"/>
      <c r="BC27" s="486"/>
      <c r="BD27" s="443">
        <f>SUM(BD24:BD26)</f>
        <v>2215000</v>
      </c>
      <c r="BE27" s="443">
        <f>SUM(BE24:BE26)</f>
        <v>0</v>
      </c>
      <c r="BF27" s="443">
        <f>SUM(BF24:BF26)</f>
        <v>0</v>
      </c>
      <c r="BG27" s="443">
        <f>SUM(BG24:BG26)</f>
        <v>0</v>
      </c>
      <c r="BH27" s="443">
        <f t="shared" ref="BH27:BP27" si="28">SUM(BH24:BH26)</f>
        <v>2215000</v>
      </c>
      <c r="BI27" s="440"/>
      <c r="BK27" s="443">
        <f t="shared" si="28"/>
        <v>0</v>
      </c>
      <c r="BL27" s="443">
        <f t="shared" si="28"/>
        <v>2215000</v>
      </c>
      <c r="BM27" s="443">
        <f t="shared" si="28"/>
        <v>0</v>
      </c>
      <c r="BN27" s="443">
        <f t="shared" si="28"/>
        <v>0</v>
      </c>
      <c r="BO27" s="443">
        <f t="shared" si="28"/>
        <v>0</v>
      </c>
      <c r="BP27" s="487">
        <f t="shared" si="28"/>
        <v>0</v>
      </c>
      <c r="BQ27" s="440"/>
    </row>
    <row r="28" spans="3:69">
      <c r="AO28" s="294"/>
      <c r="AP28" s="294"/>
      <c r="BC28" s="167"/>
    </row>
    <row r="29" spans="3:69">
      <c r="AO29" s="294"/>
      <c r="AP29" s="294"/>
    </row>
    <row r="30" spans="3:69">
      <c r="AO30" s="294"/>
      <c r="AP30" s="294"/>
    </row>
    <row r="31" spans="3:69">
      <c r="AO31" s="294"/>
      <c r="AP31" s="294"/>
    </row>
    <row r="32" spans="3:69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294"/>
      <c r="AP87" s="294"/>
    </row>
    <row r="88" spans="41:42">
      <c r="AO88" s="294"/>
      <c r="AP88" s="294"/>
    </row>
    <row r="89" spans="41:42">
      <c r="AO89" s="294"/>
      <c r="AP89" s="294"/>
    </row>
    <row r="90" spans="41:42">
      <c r="AO90" s="294"/>
      <c r="AP90" s="294"/>
    </row>
    <row r="91" spans="41:42">
      <c r="AO91" s="294"/>
      <c r="AP91" s="294"/>
    </row>
    <row r="92" spans="41:42">
      <c r="AO92" s="294"/>
      <c r="AP92" s="294"/>
    </row>
    <row r="93" spans="41:42">
      <c r="AO93" s="294"/>
      <c r="AP93" s="294"/>
    </row>
    <row r="94" spans="41:42">
      <c r="AO94" s="294"/>
      <c r="AP94" s="294"/>
    </row>
    <row r="95" spans="41:42">
      <c r="AO95" s="294"/>
      <c r="AP95" s="294"/>
    </row>
    <row r="96" spans="41:42">
      <c r="AO96" s="294"/>
      <c r="AP96" s="294"/>
    </row>
    <row r="97" spans="41:42">
      <c r="AO97" s="294"/>
      <c r="AP97" s="294"/>
    </row>
    <row r="98" spans="41:42">
      <c r="AO98" s="294"/>
      <c r="AP98" s="294"/>
    </row>
    <row r="99" spans="41:42">
      <c r="AO99" s="294"/>
      <c r="AP99" s="294"/>
    </row>
    <row r="100" spans="41:42">
      <c r="AO100" s="294"/>
      <c r="AP100" s="294"/>
    </row>
    <row r="101" spans="41:42">
      <c r="AO101" s="294"/>
      <c r="AP101" s="294"/>
    </row>
    <row r="102" spans="41:42">
      <c r="AO102" s="294"/>
      <c r="AP102" s="294"/>
    </row>
    <row r="103" spans="41:42">
      <c r="AO103" s="294"/>
      <c r="AP103" s="294"/>
    </row>
    <row r="104" spans="41:42">
      <c r="AO104" s="294"/>
      <c r="AP104" s="294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  <row r="129" spans="41:42">
      <c r="AO129" s="17"/>
      <c r="AP129" s="17"/>
    </row>
    <row r="130" spans="41:42">
      <c r="AO130" s="17"/>
      <c r="AP130" s="17"/>
    </row>
    <row r="131" spans="41:42">
      <c r="AO131" s="17"/>
      <c r="AP131" s="17"/>
    </row>
    <row r="132" spans="41:42">
      <c r="AO132" s="17"/>
      <c r="AP132" s="17"/>
    </row>
    <row r="133" spans="41:42">
      <c r="AO133" s="17"/>
      <c r="AP133" s="17"/>
    </row>
    <row r="134" spans="41:42">
      <c r="AO134" s="17"/>
      <c r="AP134" s="17"/>
    </row>
    <row r="135" spans="41:42">
      <c r="AO135" s="17"/>
      <c r="AP135" s="17"/>
    </row>
    <row r="136" spans="41:42">
      <c r="AO136" s="17"/>
      <c r="AP136" s="17"/>
    </row>
    <row r="137" spans="41:42">
      <c r="AO137" s="17"/>
      <c r="AP137" s="17"/>
    </row>
    <row r="138" spans="41:42">
      <c r="AO138" s="17"/>
      <c r="AP138" s="17"/>
    </row>
    <row r="139" spans="41:42">
      <c r="AO139" s="17"/>
      <c r="AP139" s="17"/>
    </row>
    <row r="140" spans="41:42">
      <c r="AO140" s="17"/>
      <c r="AP140" s="17"/>
    </row>
    <row r="141" spans="41:42">
      <c r="AO141" s="17"/>
      <c r="AP141" s="17"/>
    </row>
    <row r="142" spans="41:42">
      <c r="AO142" s="17"/>
      <c r="AP142" s="17"/>
    </row>
    <row r="143" spans="41:42">
      <c r="AO143" s="17"/>
      <c r="AP143" s="17"/>
    </row>
    <row r="144" spans="41:42">
      <c r="AO144" s="17"/>
      <c r="AP144" s="17"/>
    </row>
    <row r="145" spans="41:42">
      <c r="AO145" s="17"/>
      <c r="AP145" s="17"/>
    </row>
    <row r="146" spans="41:42">
      <c r="AO146" s="17"/>
      <c r="AP146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O1:AP3">
    <cfRule type="cellIs" dxfId="85" priority="6" operator="equal">
      <formula>0</formula>
    </cfRule>
  </conditionalFormatting>
  <conditionalFormatting sqref="AR1:BA3">
    <cfRule type="cellIs" dxfId="84" priority="5" operator="equal">
      <formula>0</formula>
    </cfRule>
  </conditionalFormatting>
  <conditionalFormatting sqref="AR17:BA18">
    <cfRule type="cellIs" dxfId="83" priority="4" operator="equal">
      <formula>0</formula>
    </cfRule>
  </conditionalFormatting>
  <conditionalFormatting sqref="AQ1:AQ3">
    <cfRule type="cellIs" dxfId="82" priority="3" operator="equal">
      <formula>0</formula>
    </cfRule>
  </conditionalFormatting>
  <conditionalFormatting sqref="AQ17:AQ18">
    <cfRule type="cellIs" dxfId="81" priority="2" operator="equal">
      <formula>0</formula>
    </cfRule>
  </conditionalFormatting>
  <conditionalFormatting sqref="AQ12:AQ14">
    <cfRule type="cellIs" dxfId="8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46"/>
  <sheetViews>
    <sheetView showZeros="0" rightToLeft="1" zoomScaleNormal="100" workbookViewId="0">
      <pane xSplit="3" ySplit="5" topLeftCell="AV6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5.08984375" style="454" customWidth="1"/>
    <col min="2" max="2" width="5" style="455" bestFit="1" customWidth="1"/>
    <col min="3" max="3" width="19.36328125" style="455" customWidth="1"/>
    <col min="4" max="5" width="10.08984375" style="467" hidden="1" customWidth="1"/>
    <col min="6" max="6" width="9.90625" style="467" hidden="1" customWidth="1"/>
    <col min="7" max="8" width="10.08984375" style="467" hidden="1" customWidth="1"/>
    <col min="9" max="11" width="9.08984375" style="467" hidden="1" customWidth="1"/>
    <col min="12" max="12" width="10.08984375" style="467" hidden="1" customWidth="1"/>
    <col min="13" max="13" width="9.08984375" style="467" hidden="1" customWidth="1"/>
    <col min="14" max="16" width="10.08984375" style="467" hidden="1" customWidth="1"/>
    <col min="17" max="17" width="9.08984375" style="467" hidden="1" customWidth="1"/>
    <col min="18" max="19" width="10.6328125" style="467" hidden="1" customWidth="1"/>
    <col min="20" max="20" width="6.6328125" style="467" hidden="1" customWidth="1"/>
    <col min="21" max="21" width="9.08984375" style="467" hidden="1" customWidth="1"/>
    <col min="22" max="22" width="10.08984375" style="455" hidden="1" customWidth="1"/>
    <col min="23" max="24" width="9.08984375" style="455" hidden="1" customWidth="1"/>
    <col min="25" max="25" width="9" style="455" hidden="1" customWidth="1"/>
    <col min="26" max="26" width="7.54296875" style="455" hidden="1" customWidth="1"/>
    <col min="27" max="27" width="9.08984375" style="455" hidden="1" customWidth="1"/>
    <col min="28" max="28" width="52.453125" style="454" hidden="1" customWidth="1"/>
    <col min="29" max="29" width="9.08984375" style="455" hidden="1" customWidth="1"/>
    <col min="30" max="30" width="6.08984375" style="454" hidden="1" customWidth="1"/>
    <col min="31" max="31" width="9.08984375" style="455" hidden="1" customWidth="1"/>
    <col min="32" max="32" width="5.08984375" style="455" hidden="1" customWidth="1"/>
    <col min="33" max="33" width="6.90625" style="455" hidden="1" customWidth="1"/>
    <col min="34" max="36" width="10.6328125" style="455" hidden="1" customWidth="1"/>
    <col min="37" max="39" width="10.6328125" style="454" hidden="1" customWidth="1"/>
    <col min="40" max="40" width="10.6328125" style="455" hidden="1" customWidth="1"/>
    <col min="41" max="41" width="15.6328125" style="12" hidden="1" customWidth="1"/>
    <col min="42" max="42" width="16.36328125" style="12" hidden="1" customWidth="1"/>
    <col min="43" max="44" width="11.6328125" style="166" hidden="1" customWidth="1"/>
    <col min="45" max="45" width="11.90625" style="166" hidden="1" customWidth="1"/>
    <col min="46" max="47" width="13.6328125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456" customWidth="1"/>
    <col min="56" max="61" width="11.81640625" style="456" hidden="1" customWidth="1"/>
    <col min="62" max="65" width="11.81640625" style="456" customWidth="1"/>
    <col min="66" max="67" width="11.81640625" style="456" hidden="1" customWidth="1"/>
    <col min="68" max="68" width="11.81640625" style="456" customWidth="1"/>
    <col min="69" max="16384" width="9.08984375" style="456"/>
  </cols>
  <sheetData>
    <row r="1" spans="1:68" ht="18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1"/>
      <c r="Z1" s="451"/>
      <c r="AA1" s="452"/>
      <c r="AB1" s="453"/>
      <c r="AC1" s="452"/>
      <c r="AK1" s="453"/>
      <c r="AL1" s="453"/>
      <c r="AM1" s="453"/>
      <c r="AN1" s="452"/>
      <c r="AO1" s="28"/>
      <c r="AP1" s="28"/>
      <c r="AS1" s="284"/>
      <c r="AT1" s="284"/>
      <c r="AU1" s="284"/>
      <c r="AV1" s="284"/>
      <c r="AW1" s="284"/>
      <c r="AX1" s="284"/>
      <c r="AY1" s="284"/>
      <c r="AZ1" s="284"/>
      <c r="BA1" s="284"/>
    </row>
    <row r="2" spans="1:68" ht="18">
      <c r="A2" s="450" t="s">
        <v>1572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</row>
    <row r="3" spans="1:68" ht="18">
      <c r="A3" s="450"/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</row>
    <row r="4" spans="1:68" ht="20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ht="70">
      <c r="A5" s="457" t="s">
        <v>0</v>
      </c>
      <c r="B5" s="458" t="s">
        <v>836</v>
      </c>
      <c r="C5" s="458" t="s">
        <v>2</v>
      </c>
      <c r="D5" s="458" t="s">
        <v>3</v>
      </c>
      <c r="E5" s="458" t="s">
        <v>4</v>
      </c>
      <c r="F5" s="458" t="s">
        <v>5</v>
      </c>
      <c r="G5" s="458" t="s">
        <v>6</v>
      </c>
      <c r="H5" s="458" t="s">
        <v>7</v>
      </c>
      <c r="I5" s="458" t="s">
        <v>9</v>
      </c>
      <c r="J5" s="458" t="s">
        <v>178</v>
      </c>
      <c r="K5" s="458" t="s">
        <v>10</v>
      </c>
      <c r="L5" s="458" t="s">
        <v>11</v>
      </c>
      <c r="M5" s="432" t="s">
        <v>970</v>
      </c>
      <c r="N5" s="433" t="s">
        <v>971</v>
      </c>
      <c r="O5" s="433" t="s">
        <v>972</v>
      </c>
      <c r="P5" s="458" t="s">
        <v>628</v>
      </c>
      <c r="Q5" s="458" t="s">
        <v>12</v>
      </c>
      <c r="R5" s="458" t="s">
        <v>630</v>
      </c>
      <c r="S5" s="458" t="s">
        <v>631</v>
      </c>
      <c r="T5" s="458" t="s">
        <v>632</v>
      </c>
      <c r="U5" s="458" t="s">
        <v>629</v>
      </c>
      <c r="V5" s="446" t="s">
        <v>973</v>
      </c>
      <c r="W5" s="458" t="s">
        <v>13</v>
      </c>
      <c r="X5" s="458" t="s">
        <v>14</v>
      </c>
      <c r="Y5" s="458" t="s">
        <v>15</v>
      </c>
      <c r="Z5" s="458" t="s">
        <v>301</v>
      </c>
      <c r="AA5" s="458" t="s">
        <v>91</v>
      </c>
      <c r="AB5" s="447" t="s">
        <v>344</v>
      </c>
      <c r="AC5" s="458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ht="30" customHeight="1">
      <c r="A6" s="459">
        <v>1</v>
      </c>
      <c r="B6" s="459">
        <v>1002</v>
      </c>
      <c r="C6" s="459" t="s">
        <v>151</v>
      </c>
      <c r="D6" s="460">
        <v>2290000</v>
      </c>
      <c r="E6" s="460">
        <v>2290000</v>
      </c>
      <c r="F6" s="460">
        <f t="shared" ref="F6:F13" si="0">D6-E6</f>
        <v>0</v>
      </c>
      <c r="G6" s="460">
        <v>2160000</v>
      </c>
      <c r="H6" s="460">
        <v>2141709.2599999998</v>
      </c>
      <c r="I6" s="460"/>
      <c r="J6" s="460">
        <v>14316.37</v>
      </c>
      <c r="K6" s="460">
        <f>SUM(I6:J6)</f>
        <v>14316.37</v>
      </c>
      <c r="L6" s="460">
        <f t="shared" ref="L6:L13" si="1">H6+K6</f>
        <v>2156025.63</v>
      </c>
      <c r="M6" s="460">
        <f>Q6+T6</f>
        <v>3974.3700000001118</v>
      </c>
      <c r="N6" s="460">
        <v>100000</v>
      </c>
      <c r="O6" s="460">
        <f>N6-AH6</f>
        <v>100000</v>
      </c>
      <c r="P6" s="460">
        <f>D6-L6-M6-O6</f>
        <v>30000</v>
      </c>
      <c r="Q6" s="460">
        <f t="shared" ref="Q6:Q13" si="2">G6-L6</f>
        <v>3974.3700000001118</v>
      </c>
      <c r="R6" s="460"/>
      <c r="S6" s="460"/>
      <c r="T6" s="460">
        <f t="shared" ref="T6:T13" si="3">SUM(R6:S6)</f>
        <v>0</v>
      </c>
      <c r="U6" s="460">
        <f t="shared" ref="U6:U13" si="4">Q6-M6+T6</f>
        <v>0</v>
      </c>
      <c r="V6" s="460">
        <f t="shared" ref="V6:V13" si="5">N6-U6</f>
        <v>100000</v>
      </c>
      <c r="W6" s="460"/>
      <c r="X6" s="460">
        <f>V6-W6-Y6-Z6-AA6</f>
        <v>100000</v>
      </c>
      <c r="Y6" s="460"/>
      <c r="Z6" s="460"/>
      <c r="AA6" s="459"/>
      <c r="AB6" s="459" t="s">
        <v>476</v>
      </c>
      <c r="AC6" s="459">
        <v>760000</v>
      </c>
      <c r="AD6" s="461"/>
      <c r="AE6" s="462"/>
      <c r="AF6" s="462"/>
      <c r="AG6" s="462"/>
      <c r="AH6" s="460">
        <f>SUM(AD6:AG6)</f>
        <v>0</v>
      </c>
      <c r="AI6" s="460">
        <f>V6-AH6</f>
        <v>100000</v>
      </c>
      <c r="AJ6" s="460"/>
      <c r="AK6" s="460">
        <f>AI6-AJ6-AN6</f>
        <v>100000</v>
      </c>
      <c r="AL6" s="460"/>
      <c r="AM6" s="460"/>
      <c r="AN6" s="460"/>
      <c r="AO6" s="3"/>
      <c r="AP6" s="3"/>
      <c r="AQ6" s="173"/>
      <c r="AR6" s="173"/>
      <c r="AS6" s="173">
        <f>M6</f>
        <v>3974.3700000001118</v>
      </c>
      <c r="AT6" s="173">
        <f>SUM(AR6:AS6)</f>
        <v>3974.3700000001118</v>
      </c>
      <c r="AU6" s="173">
        <f>D6-L6-AT6</f>
        <v>130000</v>
      </c>
      <c r="AV6" s="173">
        <f>AR6+AS6-M6</f>
        <v>0</v>
      </c>
      <c r="AW6" s="192"/>
      <c r="AX6" s="173"/>
      <c r="AY6" s="172"/>
      <c r="AZ6" s="172"/>
      <c r="BA6" s="172"/>
      <c r="BB6" s="173">
        <f>AS6-M6</f>
        <v>0</v>
      </c>
      <c r="BC6" s="4">
        <f>AR6</f>
        <v>0</v>
      </c>
      <c r="BD6" s="4"/>
      <c r="BE6" s="4"/>
      <c r="BF6" s="4"/>
      <c r="BG6" s="4"/>
      <c r="BH6" s="4">
        <f>SUM(BD6)</f>
        <v>0</v>
      </c>
      <c r="BI6" s="463"/>
      <c r="BJ6" s="464">
        <f>BH6+BI6</f>
        <v>0</v>
      </c>
      <c r="BK6" s="4">
        <f>AV6-BJ6</f>
        <v>0</v>
      </c>
      <c r="BL6" s="4"/>
      <c r="BM6" s="4">
        <f>BJ6-BL6-BP6</f>
        <v>0</v>
      </c>
      <c r="BN6" s="4"/>
      <c r="BO6" s="4"/>
      <c r="BP6" s="4"/>
    </row>
    <row r="7" spans="1:68" ht="30" customHeight="1">
      <c r="A7" s="459">
        <v>2</v>
      </c>
      <c r="B7" s="459">
        <v>1497</v>
      </c>
      <c r="C7" s="459" t="s">
        <v>66</v>
      </c>
      <c r="D7" s="460">
        <v>8820000</v>
      </c>
      <c r="E7" s="460">
        <v>8820000</v>
      </c>
      <c r="F7" s="460">
        <f t="shared" si="0"/>
        <v>0</v>
      </c>
      <c r="G7" s="460">
        <v>2923000</v>
      </c>
      <c r="H7" s="460">
        <v>2728401.2</v>
      </c>
      <c r="I7" s="460">
        <v>136200</v>
      </c>
      <c r="J7" s="460">
        <v>47537.95</v>
      </c>
      <c r="K7" s="460">
        <f t="shared" ref="K7:K13" si="6">SUM(I7:J7)</f>
        <v>183737.95</v>
      </c>
      <c r="L7" s="460">
        <f t="shared" si="1"/>
        <v>2912139.1500000004</v>
      </c>
      <c r="M7" s="460">
        <f>Q7+T7</f>
        <v>10860.849999999627</v>
      </c>
      <c r="N7" s="460">
        <v>100000</v>
      </c>
      <c r="O7" s="460">
        <f t="shared" ref="O7:O14" si="7">N7-AH7</f>
        <v>100000</v>
      </c>
      <c r="P7" s="460">
        <f t="shared" ref="P7:P14" si="8">D7-L7-M7-O7</f>
        <v>5797000</v>
      </c>
      <c r="Q7" s="460">
        <f t="shared" si="2"/>
        <v>10860.849999999627</v>
      </c>
      <c r="R7" s="460"/>
      <c r="S7" s="460"/>
      <c r="T7" s="460">
        <f t="shared" si="3"/>
        <v>0</v>
      </c>
      <c r="U7" s="460">
        <f t="shared" si="4"/>
        <v>0</v>
      </c>
      <c r="V7" s="460">
        <f t="shared" si="5"/>
        <v>100000</v>
      </c>
      <c r="W7" s="460"/>
      <c r="X7" s="460">
        <f>V7-W7-Y7-Z7-AA7</f>
        <v>100000</v>
      </c>
      <c r="Y7" s="460"/>
      <c r="Z7" s="460"/>
      <c r="AA7" s="459"/>
      <c r="AB7" s="459" t="s">
        <v>770</v>
      </c>
      <c r="AC7" s="459">
        <v>610000</v>
      </c>
      <c r="AD7" s="461"/>
      <c r="AE7" s="462"/>
      <c r="AF7" s="462"/>
      <c r="AG7" s="462"/>
      <c r="AH7" s="460">
        <f t="shared" ref="AH7:AH14" si="9">SUM(AD7:AG7)</f>
        <v>0</v>
      </c>
      <c r="AI7" s="460">
        <f t="shared" ref="AI7:AI14" si="10">V7-AH7</f>
        <v>100000</v>
      </c>
      <c r="AJ7" s="460"/>
      <c r="AK7" s="460">
        <f t="shared" ref="AK7:AK14" si="11">AI7-AJ7-AN7</f>
        <v>100000</v>
      </c>
      <c r="AL7" s="460"/>
      <c r="AM7" s="460"/>
      <c r="AN7" s="460"/>
      <c r="AO7" s="3"/>
      <c r="AP7" s="173">
        <v>50000</v>
      </c>
      <c r="AQ7" s="173"/>
      <c r="AR7" s="173">
        <v>50000</v>
      </c>
      <c r="AS7" s="173">
        <f t="shared" ref="AS7:AS14" si="12">M7</f>
        <v>10860.849999999627</v>
      </c>
      <c r="AT7" s="173">
        <f t="shared" ref="AT7:AT14" si="13">SUM(AR7:AS7)</f>
        <v>60860.849999999627</v>
      </c>
      <c r="AU7" s="173">
        <f t="shared" ref="AU7:AU14" si="14">D7-L7-AT7</f>
        <v>5847000</v>
      </c>
      <c r="AV7" s="173">
        <f t="shared" ref="AV7:AV14" si="15">AR7+AS7-M7</f>
        <v>50000</v>
      </c>
      <c r="AW7" s="309"/>
      <c r="AX7" s="173">
        <f>AR7+AS7-M7-AW7-BA7</f>
        <v>50000</v>
      </c>
      <c r="AY7" s="172"/>
      <c r="AZ7" s="172"/>
      <c r="BA7" s="172"/>
      <c r="BB7" s="173">
        <f t="shared" ref="BB7:BB14" si="16">AS7-M7</f>
        <v>0</v>
      </c>
      <c r="BC7" s="4">
        <f t="shared" ref="BC7:BC14" si="17">AR7</f>
        <v>50000</v>
      </c>
      <c r="BD7" s="4">
        <v>50000</v>
      </c>
      <c r="BE7" s="4"/>
      <c r="BF7" s="4"/>
      <c r="BG7" s="4"/>
      <c r="BH7" s="4">
        <f>SUM(BD7:BG7)</f>
        <v>50000</v>
      </c>
      <c r="BI7" s="463"/>
      <c r="BJ7" s="464">
        <f t="shared" ref="BJ7:BJ14" si="18">BH7+BI7</f>
        <v>50000</v>
      </c>
      <c r="BK7" s="4">
        <f t="shared" ref="BK7:BK14" si="19">AV7-BJ7</f>
        <v>0</v>
      </c>
      <c r="BL7" s="4"/>
      <c r="BM7" s="4">
        <f t="shared" ref="BM7:BM14" si="20">BJ7-BL7-BP7</f>
        <v>50000</v>
      </c>
      <c r="BN7" s="4"/>
      <c r="BO7" s="4"/>
      <c r="BP7" s="4"/>
    </row>
    <row r="8" spans="1:68" ht="30" customHeight="1">
      <c r="A8" s="459">
        <v>3</v>
      </c>
      <c r="B8" s="459">
        <v>1647</v>
      </c>
      <c r="C8" s="459" t="s">
        <v>445</v>
      </c>
      <c r="D8" s="460">
        <v>4700000</v>
      </c>
      <c r="E8" s="460">
        <v>4700000</v>
      </c>
      <c r="F8" s="460">
        <f t="shared" si="0"/>
        <v>0</v>
      </c>
      <c r="G8" s="460">
        <v>4150000</v>
      </c>
      <c r="H8" s="460">
        <v>4081632.81</v>
      </c>
      <c r="I8" s="460"/>
      <c r="J8" s="460">
        <v>22803.3</v>
      </c>
      <c r="K8" s="460">
        <f t="shared" si="6"/>
        <v>22803.3</v>
      </c>
      <c r="L8" s="460">
        <f t="shared" si="1"/>
        <v>4104436.11</v>
      </c>
      <c r="M8" s="460">
        <f t="shared" ref="M8:M13" si="21">Q8+T8</f>
        <v>45563.89000000013</v>
      </c>
      <c r="N8" s="460">
        <v>50000</v>
      </c>
      <c r="O8" s="460">
        <f t="shared" si="7"/>
        <v>50000</v>
      </c>
      <c r="P8" s="460">
        <f t="shared" si="8"/>
        <v>500000</v>
      </c>
      <c r="Q8" s="460">
        <f t="shared" si="2"/>
        <v>45563.89000000013</v>
      </c>
      <c r="R8" s="460"/>
      <c r="S8" s="460"/>
      <c r="T8" s="460">
        <f t="shared" si="3"/>
        <v>0</v>
      </c>
      <c r="U8" s="460">
        <f t="shared" si="4"/>
        <v>0</v>
      </c>
      <c r="V8" s="460">
        <f t="shared" si="5"/>
        <v>50000</v>
      </c>
      <c r="W8" s="460"/>
      <c r="X8" s="460">
        <f>V8-W8-Y8-Z8-AA8</f>
        <v>50000</v>
      </c>
      <c r="Y8" s="460"/>
      <c r="Z8" s="460"/>
      <c r="AA8" s="459"/>
      <c r="AB8" s="459" t="s">
        <v>495</v>
      </c>
      <c r="AC8" s="459">
        <v>810000</v>
      </c>
      <c r="AD8" s="461"/>
      <c r="AE8" s="462"/>
      <c r="AF8" s="462"/>
      <c r="AG8" s="462"/>
      <c r="AH8" s="460">
        <f t="shared" si="9"/>
        <v>0</v>
      </c>
      <c r="AI8" s="460">
        <f t="shared" si="10"/>
        <v>50000</v>
      </c>
      <c r="AJ8" s="460"/>
      <c r="AK8" s="460">
        <f t="shared" si="11"/>
        <v>50000</v>
      </c>
      <c r="AL8" s="460"/>
      <c r="AM8" s="460"/>
      <c r="AN8" s="460"/>
      <c r="AO8" s="3"/>
      <c r="AP8" s="173"/>
      <c r="AQ8" s="173"/>
      <c r="AR8" s="173">
        <v>50000</v>
      </c>
      <c r="AS8" s="173">
        <f t="shared" si="12"/>
        <v>45563.89000000013</v>
      </c>
      <c r="AT8" s="173">
        <f t="shared" si="13"/>
        <v>95563.89000000013</v>
      </c>
      <c r="AU8" s="173">
        <f t="shared" si="14"/>
        <v>500000</v>
      </c>
      <c r="AV8" s="173">
        <f t="shared" si="15"/>
        <v>50000</v>
      </c>
      <c r="AW8" s="172"/>
      <c r="AX8" s="173">
        <f>AR8+AS8-M8-AW8-BA8</f>
        <v>50000</v>
      </c>
      <c r="AY8" s="172"/>
      <c r="AZ8" s="172"/>
      <c r="BA8" s="172"/>
      <c r="BB8" s="173">
        <f t="shared" si="16"/>
        <v>0</v>
      </c>
      <c r="BC8" s="4">
        <f t="shared" si="17"/>
        <v>50000</v>
      </c>
      <c r="BD8" s="4">
        <v>50000</v>
      </c>
      <c r="BE8" s="4"/>
      <c r="BF8" s="4"/>
      <c r="BG8" s="4"/>
      <c r="BH8" s="4">
        <f t="shared" ref="BH8:BH14" si="22">SUM(BD8:BG8)</f>
        <v>50000</v>
      </c>
      <c r="BI8" s="463"/>
      <c r="BJ8" s="464">
        <f t="shared" si="18"/>
        <v>50000</v>
      </c>
      <c r="BK8" s="4">
        <f t="shared" si="19"/>
        <v>0</v>
      </c>
      <c r="BL8" s="4"/>
      <c r="BM8" s="4">
        <f t="shared" si="20"/>
        <v>50000</v>
      </c>
      <c r="BN8" s="4"/>
      <c r="BO8" s="4"/>
      <c r="BP8" s="4"/>
    </row>
    <row r="9" spans="1:68" ht="30" customHeight="1">
      <c r="A9" s="459">
        <v>4</v>
      </c>
      <c r="B9" s="459">
        <v>1871</v>
      </c>
      <c r="C9" s="459" t="s">
        <v>571</v>
      </c>
      <c r="D9" s="460">
        <v>8000000</v>
      </c>
      <c r="E9" s="460">
        <v>8000000</v>
      </c>
      <c r="F9" s="460">
        <f t="shared" si="0"/>
        <v>0</v>
      </c>
      <c r="G9" s="460">
        <v>4990000</v>
      </c>
      <c r="H9" s="460">
        <v>876575.7</v>
      </c>
      <c r="I9" s="460"/>
      <c r="J9" s="460">
        <v>3531864.96</v>
      </c>
      <c r="K9" s="460">
        <f t="shared" si="6"/>
        <v>3531864.96</v>
      </c>
      <c r="L9" s="460">
        <f t="shared" si="1"/>
        <v>4408440.66</v>
      </c>
      <c r="M9" s="460">
        <f>Q9+T9</f>
        <v>581559.33999999985</v>
      </c>
      <c r="N9" s="460">
        <v>5000000</v>
      </c>
      <c r="O9" s="460">
        <f t="shared" si="7"/>
        <v>2500000</v>
      </c>
      <c r="P9" s="460">
        <f t="shared" si="8"/>
        <v>510000</v>
      </c>
      <c r="Q9" s="460">
        <f t="shared" si="2"/>
        <v>581559.33999999985</v>
      </c>
      <c r="R9" s="460"/>
      <c r="S9" s="460"/>
      <c r="T9" s="460">
        <f t="shared" si="3"/>
        <v>0</v>
      </c>
      <c r="U9" s="460"/>
      <c r="V9" s="460">
        <f t="shared" si="5"/>
        <v>5000000</v>
      </c>
      <c r="W9" s="460">
        <f>V9-X9-Z9-AA9</f>
        <v>5000000</v>
      </c>
      <c r="X9" s="460"/>
      <c r="Y9" s="460"/>
      <c r="Z9" s="460"/>
      <c r="AA9" s="459"/>
      <c r="AB9" s="459" t="s">
        <v>444</v>
      </c>
      <c r="AC9" s="459">
        <v>760000</v>
      </c>
      <c r="AD9" s="461"/>
      <c r="AE9" s="460">
        <v>2500000</v>
      </c>
      <c r="AF9" s="462"/>
      <c r="AG9" s="462"/>
      <c r="AH9" s="460">
        <f t="shared" si="9"/>
        <v>2500000</v>
      </c>
      <c r="AI9" s="460">
        <f t="shared" si="10"/>
        <v>2500000</v>
      </c>
      <c r="AJ9" s="460">
        <f>AI9</f>
        <v>2500000</v>
      </c>
      <c r="AK9" s="460"/>
      <c r="AL9" s="460"/>
      <c r="AM9" s="460"/>
      <c r="AN9" s="460"/>
      <c r="AO9" s="3"/>
      <c r="AP9" s="173"/>
      <c r="AQ9" s="173">
        <f>SUM(AQ6:AQ8)</f>
        <v>0</v>
      </c>
      <c r="AR9" s="173"/>
      <c r="AS9" s="173">
        <f t="shared" si="12"/>
        <v>581559.33999999985</v>
      </c>
      <c r="AT9" s="173">
        <f t="shared" si="13"/>
        <v>581559.33999999985</v>
      </c>
      <c r="AU9" s="173">
        <f t="shared" si="14"/>
        <v>3010000</v>
      </c>
      <c r="AV9" s="173">
        <f t="shared" si="15"/>
        <v>0</v>
      </c>
      <c r="AW9" s="180"/>
      <c r="AX9" s="173">
        <f t="shared" ref="AX9:AX14" si="23">AR9+AS9-M9-AW9-BA9</f>
        <v>0</v>
      </c>
      <c r="AY9" s="180">
        <f>SUM(AY6:AY8)</f>
        <v>0</v>
      </c>
      <c r="AZ9" s="180">
        <f>SUM(AZ6:AZ8)</f>
        <v>0</v>
      </c>
      <c r="BA9" s="180">
        <f>SUM(BA6:BA8)</f>
        <v>0</v>
      </c>
      <c r="BB9" s="173">
        <f t="shared" si="16"/>
        <v>0</v>
      </c>
      <c r="BC9" s="4">
        <f t="shared" si="17"/>
        <v>0</v>
      </c>
      <c r="BD9" s="4"/>
      <c r="BE9" s="4"/>
      <c r="BF9" s="4"/>
      <c r="BG9" s="4"/>
      <c r="BH9" s="4">
        <f t="shared" si="22"/>
        <v>0</v>
      </c>
      <c r="BI9" s="463"/>
      <c r="BJ9" s="464">
        <f t="shared" si="18"/>
        <v>0</v>
      </c>
      <c r="BK9" s="4">
        <f t="shared" si="19"/>
        <v>0</v>
      </c>
      <c r="BL9" s="4"/>
      <c r="BM9" s="4">
        <f t="shared" si="20"/>
        <v>0</v>
      </c>
      <c r="BN9" s="4"/>
      <c r="BO9" s="4"/>
      <c r="BP9" s="4"/>
    </row>
    <row r="10" spans="1:68" ht="42">
      <c r="A10" s="459">
        <v>5</v>
      </c>
      <c r="B10" s="459">
        <v>1982</v>
      </c>
      <c r="C10" s="459" t="s">
        <v>572</v>
      </c>
      <c r="D10" s="460">
        <v>17700000</v>
      </c>
      <c r="E10" s="460">
        <v>17700000</v>
      </c>
      <c r="F10" s="460">
        <f t="shared" si="0"/>
        <v>0</v>
      </c>
      <c r="G10" s="460">
        <v>10150000</v>
      </c>
      <c r="H10" s="460">
        <v>7342134.0099999998</v>
      </c>
      <c r="I10" s="460"/>
      <c r="J10" s="460">
        <v>2147908.33</v>
      </c>
      <c r="K10" s="460">
        <f t="shared" si="6"/>
        <v>2147908.33</v>
      </c>
      <c r="L10" s="460">
        <f t="shared" si="1"/>
        <v>9490042.3399999999</v>
      </c>
      <c r="M10" s="460">
        <f t="shared" si="21"/>
        <v>659957.66000000015</v>
      </c>
      <c r="N10" s="460">
        <v>5000000</v>
      </c>
      <c r="O10" s="460">
        <f t="shared" si="7"/>
        <v>5000000</v>
      </c>
      <c r="P10" s="460">
        <f t="shared" si="8"/>
        <v>2550000</v>
      </c>
      <c r="Q10" s="460">
        <f t="shared" si="2"/>
        <v>659957.66000000015</v>
      </c>
      <c r="R10" s="460"/>
      <c r="S10" s="460"/>
      <c r="T10" s="460">
        <f t="shared" si="3"/>
        <v>0</v>
      </c>
      <c r="U10" s="460">
        <f t="shared" si="4"/>
        <v>0</v>
      </c>
      <c r="V10" s="460">
        <f t="shared" si="5"/>
        <v>5000000</v>
      </c>
      <c r="W10" s="460">
        <f>V10*0.4-1500000-500000</f>
        <v>0</v>
      </c>
      <c r="X10" s="460">
        <f>V10-W10-Y10-Z10-AA10</f>
        <v>3500000</v>
      </c>
      <c r="Y10" s="460"/>
      <c r="Z10" s="460"/>
      <c r="AA10" s="460">
        <v>1500000</v>
      </c>
      <c r="AB10" s="459" t="s">
        <v>827</v>
      </c>
      <c r="AC10" s="459">
        <v>722000</v>
      </c>
      <c r="AD10" s="461"/>
      <c r="AE10" s="462"/>
      <c r="AF10" s="462"/>
      <c r="AG10" s="462"/>
      <c r="AH10" s="460">
        <f t="shared" si="9"/>
        <v>0</v>
      </c>
      <c r="AI10" s="460">
        <f t="shared" si="10"/>
        <v>5000000</v>
      </c>
      <c r="AJ10" s="460"/>
      <c r="AK10" s="460">
        <f t="shared" si="11"/>
        <v>3500000</v>
      </c>
      <c r="AL10" s="460"/>
      <c r="AM10" s="460"/>
      <c r="AN10" s="460">
        <v>1500000</v>
      </c>
      <c r="AO10" s="3"/>
      <c r="AP10" s="173"/>
      <c r="AQ10" s="173"/>
      <c r="AR10" s="173"/>
      <c r="AS10" s="173">
        <f t="shared" si="12"/>
        <v>659957.66000000015</v>
      </c>
      <c r="AT10" s="173">
        <f t="shared" si="13"/>
        <v>659957.66000000015</v>
      </c>
      <c r="AU10" s="173">
        <f t="shared" si="14"/>
        <v>7550000</v>
      </c>
      <c r="AV10" s="173">
        <f t="shared" si="15"/>
        <v>0</v>
      </c>
      <c r="AW10" s="172"/>
      <c r="AX10" s="173">
        <f t="shared" si="23"/>
        <v>0</v>
      </c>
      <c r="AY10" s="172"/>
      <c r="AZ10" s="172"/>
      <c r="BA10" s="172"/>
      <c r="BB10" s="173">
        <f t="shared" si="16"/>
        <v>0</v>
      </c>
      <c r="BC10" s="4">
        <f t="shared" si="17"/>
        <v>0</v>
      </c>
      <c r="BD10" s="4"/>
      <c r="BE10" s="4"/>
      <c r="BF10" s="4"/>
      <c r="BG10" s="4"/>
      <c r="BH10" s="4">
        <f t="shared" si="22"/>
        <v>0</v>
      </c>
      <c r="BI10" s="463"/>
      <c r="BJ10" s="464">
        <f t="shared" si="18"/>
        <v>0</v>
      </c>
      <c r="BK10" s="4">
        <f t="shared" si="19"/>
        <v>0</v>
      </c>
      <c r="BL10" s="4"/>
      <c r="BM10" s="4">
        <f t="shared" si="20"/>
        <v>0</v>
      </c>
      <c r="BN10" s="4"/>
      <c r="BO10" s="4"/>
      <c r="BP10" s="4"/>
    </row>
    <row r="11" spans="1:68" ht="30" customHeight="1">
      <c r="A11" s="459">
        <v>6</v>
      </c>
      <c r="B11" s="459">
        <v>2081</v>
      </c>
      <c r="C11" s="459" t="s">
        <v>446</v>
      </c>
      <c r="D11" s="460">
        <v>1500000</v>
      </c>
      <c r="E11" s="460">
        <v>1500000</v>
      </c>
      <c r="F11" s="460">
        <f t="shared" si="0"/>
        <v>0</v>
      </c>
      <c r="G11" s="460">
        <v>0</v>
      </c>
      <c r="H11" s="460">
        <v>0</v>
      </c>
      <c r="I11" s="460"/>
      <c r="J11" s="460"/>
      <c r="K11" s="460">
        <f t="shared" si="6"/>
        <v>0</v>
      </c>
      <c r="L11" s="460">
        <f t="shared" si="1"/>
        <v>0</v>
      </c>
      <c r="M11" s="460">
        <f t="shared" si="21"/>
        <v>0</v>
      </c>
      <c r="N11" s="460">
        <v>0</v>
      </c>
      <c r="O11" s="460">
        <f t="shared" si="7"/>
        <v>0</v>
      </c>
      <c r="P11" s="460">
        <f t="shared" si="8"/>
        <v>1500000</v>
      </c>
      <c r="Q11" s="460">
        <f t="shared" si="2"/>
        <v>0</v>
      </c>
      <c r="R11" s="460"/>
      <c r="S11" s="460"/>
      <c r="T11" s="460">
        <f t="shared" si="3"/>
        <v>0</v>
      </c>
      <c r="U11" s="460">
        <f t="shared" si="4"/>
        <v>0</v>
      </c>
      <c r="V11" s="460">
        <f t="shared" si="5"/>
        <v>0</v>
      </c>
      <c r="W11" s="460"/>
      <c r="X11" s="460">
        <f>V11-W11-Y11-Z11-AA11</f>
        <v>0</v>
      </c>
      <c r="Y11" s="460"/>
      <c r="Z11" s="460"/>
      <c r="AA11" s="459"/>
      <c r="AB11" s="459" t="s">
        <v>835</v>
      </c>
      <c r="AC11" s="459">
        <v>760000</v>
      </c>
      <c r="AD11" s="461"/>
      <c r="AE11" s="462"/>
      <c r="AF11" s="462"/>
      <c r="AG11" s="462"/>
      <c r="AH11" s="460">
        <f t="shared" si="9"/>
        <v>0</v>
      </c>
      <c r="AI11" s="460">
        <f t="shared" si="10"/>
        <v>0</v>
      </c>
      <c r="AJ11" s="460"/>
      <c r="AK11" s="460">
        <f t="shared" si="11"/>
        <v>0</v>
      </c>
      <c r="AL11" s="460"/>
      <c r="AM11" s="460"/>
      <c r="AN11" s="460"/>
      <c r="AO11" s="172"/>
      <c r="AP11" s="172"/>
      <c r="AQ11" s="184"/>
      <c r="AR11" s="184"/>
      <c r="AS11" s="173">
        <f t="shared" si="12"/>
        <v>0</v>
      </c>
      <c r="AT11" s="173">
        <f t="shared" si="13"/>
        <v>0</v>
      </c>
      <c r="AU11" s="173">
        <f t="shared" si="14"/>
        <v>1500000</v>
      </c>
      <c r="AV11" s="173">
        <f t="shared" si="15"/>
        <v>0</v>
      </c>
      <c r="AW11" s="184"/>
      <c r="AX11" s="173">
        <f t="shared" si="23"/>
        <v>0</v>
      </c>
      <c r="AY11" s="184"/>
      <c r="AZ11" s="184"/>
      <c r="BA11" s="184"/>
      <c r="BB11" s="173">
        <f t="shared" si="16"/>
        <v>0</v>
      </c>
      <c r="BC11" s="4">
        <f t="shared" si="17"/>
        <v>0</v>
      </c>
      <c r="BD11" s="4"/>
      <c r="BE11" s="4"/>
      <c r="BF11" s="4"/>
      <c r="BG11" s="4"/>
      <c r="BH11" s="4">
        <f t="shared" si="22"/>
        <v>0</v>
      </c>
      <c r="BI11" s="463"/>
      <c r="BJ11" s="464">
        <f t="shared" si="18"/>
        <v>0</v>
      </c>
      <c r="BK11" s="4">
        <f t="shared" si="19"/>
        <v>0</v>
      </c>
      <c r="BL11" s="4"/>
      <c r="BM11" s="4">
        <f t="shared" si="20"/>
        <v>0</v>
      </c>
      <c r="BN11" s="4"/>
      <c r="BO11" s="4"/>
      <c r="BP11" s="4"/>
    </row>
    <row r="12" spans="1:68" ht="30" customHeight="1">
      <c r="A12" s="459">
        <v>7</v>
      </c>
      <c r="B12" s="459">
        <v>2082</v>
      </c>
      <c r="C12" s="459" t="s">
        <v>447</v>
      </c>
      <c r="D12" s="460">
        <v>1000000</v>
      </c>
      <c r="E12" s="460">
        <v>1000000</v>
      </c>
      <c r="F12" s="460">
        <f t="shared" si="0"/>
        <v>0</v>
      </c>
      <c r="G12" s="460">
        <v>100000</v>
      </c>
      <c r="H12" s="460">
        <v>27573.98</v>
      </c>
      <c r="I12" s="460"/>
      <c r="J12" s="460">
        <v>22560.52</v>
      </c>
      <c r="K12" s="460">
        <f t="shared" si="6"/>
        <v>22560.52</v>
      </c>
      <c r="L12" s="460">
        <f t="shared" si="1"/>
        <v>50134.5</v>
      </c>
      <c r="M12" s="460">
        <f t="shared" si="21"/>
        <v>49865.5</v>
      </c>
      <c r="N12" s="460">
        <v>900000</v>
      </c>
      <c r="O12" s="460">
        <f t="shared" si="7"/>
        <v>900000</v>
      </c>
      <c r="P12" s="460">
        <f t="shared" si="8"/>
        <v>0</v>
      </c>
      <c r="Q12" s="460">
        <f t="shared" si="2"/>
        <v>49865.5</v>
      </c>
      <c r="R12" s="460"/>
      <c r="S12" s="460"/>
      <c r="T12" s="460">
        <f t="shared" si="3"/>
        <v>0</v>
      </c>
      <c r="U12" s="460">
        <f t="shared" si="4"/>
        <v>0</v>
      </c>
      <c r="V12" s="460">
        <f t="shared" si="5"/>
        <v>900000</v>
      </c>
      <c r="W12" s="460">
        <f>V12-X12-Z12-AA12</f>
        <v>0</v>
      </c>
      <c r="X12" s="460">
        <v>900000</v>
      </c>
      <c r="Y12" s="460"/>
      <c r="Z12" s="460"/>
      <c r="AA12" s="459"/>
      <c r="AB12" s="459" t="s">
        <v>573</v>
      </c>
      <c r="AC12" s="459">
        <v>760000</v>
      </c>
      <c r="AD12" s="461"/>
      <c r="AE12" s="462"/>
      <c r="AF12" s="462"/>
      <c r="AG12" s="462"/>
      <c r="AH12" s="460">
        <f t="shared" si="9"/>
        <v>0</v>
      </c>
      <c r="AI12" s="460">
        <f t="shared" si="10"/>
        <v>900000</v>
      </c>
      <c r="AJ12" s="460"/>
      <c r="AK12" s="460">
        <f t="shared" si="11"/>
        <v>900000</v>
      </c>
      <c r="AL12" s="461"/>
      <c r="AM12" s="461"/>
      <c r="AN12" s="459"/>
      <c r="AO12" s="172"/>
      <c r="AP12" s="172"/>
      <c r="AQ12" s="184"/>
      <c r="AR12" s="184"/>
      <c r="AS12" s="173">
        <f t="shared" si="12"/>
        <v>49865.5</v>
      </c>
      <c r="AT12" s="173">
        <f t="shared" si="13"/>
        <v>49865.5</v>
      </c>
      <c r="AU12" s="173">
        <f t="shared" si="14"/>
        <v>900000</v>
      </c>
      <c r="AV12" s="173">
        <f t="shared" si="15"/>
        <v>0</v>
      </c>
      <c r="AW12" s="184"/>
      <c r="AX12" s="173">
        <f t="shared" si="23"/>
        <v>0</v>
      </c>
      <c r="AY12" s="184"/>
      <c r="AZ12" s="184"/>
      <c r="BA12" s="184"/>
      <c r="BB12" s="173">
        <f t="shared" si="16"/>
        <v>0</v>
      </c>
      <c r="BC12" s="4">
        <f t="shared" si="17"/>
        <v>0</v>
      </c>
      <c r="BD12" s="4"/>
      <c r="BE12" s="4"/>
      <c r="BF12" s="4"/>
      <c r="BG12" s="4"/>
      <c r="BH12" s="4">
        <f t="shared" si="22"/>
        <v>0</v>
      </c>
      <c r="BI12" s="463"/>
      <c r="BJ12" s="464">
        <f t="shared" si="18"/>
        <v>0</v>
      </c>
      <c r="BK12" s="4">
        <f t="shared" si="19"/>
        <v>0</v>
      </c>
      <c r="BL12" s="4"/>
      <c r="BM12" s="4">
        <f t="shared" si="20"/>
        <v>0</v>
      </c>
      <c r="BN12" s="4"/>
      <c r="BO12" s="4"/>
      <c r="BP12" s="4"/>
    </row>
    <row r="13" spans="1:68" ht="30" customHeight="1">
      <c r="A13" s="459">
        <v>8</v>
      </c>
      <c r="B13" s="459">
        <v>2083</v>
      </c>
      <c r="C13" s="459" t="s">
        <v>471</v>
      </c>
      <c r="D13" s="460">
        <v>5580000</v>
      </c>
      <c r="E13" s="460">
        <v>5580000</v>
      </c>
      <c r="F13" s="460">
        <f t="shared" si="0"/>
        <v>0</v>
      </c>
      <c r="G13" s="460">
        <v>3000000</v>
      </c>
      <c r="H13" s="460">
        <v>181608</v>
      </c>
      <c r="I13" s="460"/>
      <c r="J13" s="460"/>
      <c r="K13" s="460">
        <f t="shared" si="6"/>
        <v>0</v>
      </c>
      <c r="L13" s="460">
        <f t="shared" si="1"/>
        <v>181608</v>
      </c>
      <c r="M13" s="460">
        <f t="shared" si="21"/>
        <v>2818392</v>
      </c>
      <c r="N13" s="460">
        <v>2580000</v>
      </c>
      <c r="O13" s="460">
        <f t="shared" si="7"/>
        <v>2580000</v>
      </c>
      <c r="P13" s="460">
        <f t="shared" si="8"/>
        <v>0</v>
      </c>
      <c r="Q13" s="460">
        <f t="shared" si="2"/>
        <v>2818392</v>
      </c>
      <c r="R13" s="460"/>
      <c r="S13" s="460"/>
      <c r="T13" s="460">
        <f t="shared" si="3"/>
        <v>0</v>
      </c>
      <c r="U13" s="460">
        <f t="shared" si="4"/>
        <v>0</v>
      </c>
      <c r="V13" s="460">
        <f t="shared" si="5"/>
        <v>2580000</v>
      </c>
      <c r="W13" s="460"/>
      <c r="X13" s="460">
        <f>V13-W13-Y13-Z13-AA13</f>
        <v>0</v>
      </c>
      <c r="Y13" s="460"/>
      <c r="Z13" s="460"/>
      <c r="AA13" s="460">
        <v>2580000</v>
      </c>
      <c r="AB13" s="459" t="s">
        <v>935</v>
      </c>
      <c r="AC13" s="459">
        <v>810000</v>
      </c>
      <c r="AD13" s="461"/>
      <c r="AE13" s="462"/>
      <c r="AF13" s="462"/>
      <c r="AG13" s="462"/>
      <c r="AH13" s="460">
        <f t="shared" si="9"/>
        <v>0</v>
      </c>
      <c r="AI13" s="460">
        <f t="shared" si="10"/>
        <v>2580000</v>
      </c>
      <c r="AJ13" s="460"/>
      <c r="AK13" s="460">
        <f t="shared" si="11"/>
        <v>0</v>
      </c>
      <c r="AL13" s="461"/>
      <c r="AM13" s="461"/>
      <c r="AN13" s="210">
        <v>2580000</v>
      </c>
      <c r="AO13" s="172"/>
      <c r="AP13" s="172"/>
      <c r="AQ13" s="184"/>
      <c r="AR13" s="173">
        <v>2580000</v>
      </c>
      <c r="AS13" s="173">
        <f t="shared" si="12"/>
        <v>2818392</v>
      </c>
      <c r="AT13" s="173">
        <f t="shared" si="13"/>
        <v>5398392</v>
      </c>
      <c r="AU13" s="173">
        <f t="shared" si="14"/>
        <v>0</v>
      </c>
      <c r="AV13" s="173">
        <f t="shared" si="15"/>
        <v>2580000</v>
      </c>
      <c r="AW13" s="184"/>
      <c r="AX13" s="173">
        <f t="shared" si="23"/>
        <v>0</v>
      </c>
      <c r="AY13" s="184"/>
      <c r="AZ13" s="184"/>
      <c r="BA13" s="465">
        <v>2580000</v>
      </c>
      <c r="BB13" s="173">
        <f t="shared" si="16"/>
        <v>0</v>
      </c>
      <c r="BC13" s="4">
        <f t="shared" si="17"/>
        <v>2580000</v>
      </c>
      <c r="BD13" s="4"/>
      <c r="BE13" s="4"/>
      <c r="BF13" s="4"/>
      <c r="BG13" s="4">
        <v>2580000</v>
      </c>
      <c r="BH13" s="4">
        <f t="shared" si="22"/>
        <v>2580000</v>
      </c>
      <c r="BI13" s="463"/>
      <c r="BJ13" s="4">
        <f t="shared" si="18"/>
        <v>2580000</v>
      </c>
      <c r="BK13" s="4">
        <f t="shared" si="19"/>
        <v>0</v>
      </c>
      <c r="BL13" s="4"/>
      <c r="BM13" s="4">
        <f t="shared" si="20"/>
        <v>0</v>
      </c>
      <c r="BN13" s="4"/>
      <c r="BO13" s="4"/>
      <c r="BP13" s="4">
        <v>2580000</v>
      </c>
    </row>
    <row r="14" spans="1:68" s="5" customFormat="1" ht="30" customHeight="1">
      <c r="A14" s="459">
        <v>9</v>
      </c>
      <c r="B14" s="404">
        <v>2170</v>
      </c>
      <c r="C14" s="3" t="s">
        <v>771</v>
      </c>
      <c r="D14" s="4">
        <v>200000</v>
      </c>
      <c r="E14" s="4">
        <v>200000</v>
      </c>
      <c r="F14" s="4">
        <f>D14-E14</f>
        <v>0</v>
      </c>
      <c r="G14" s="4">
        <v>80000</v>
      </c>
      <c r="H14" s="4">
        <v>0</v>
      </c>
      <c r="I14" s="4"/>
      <c r="J14" s="4">
        <v>57330</v>
      </c>
      <c r="K14" s="4">
        <f>SUM(I14:J14)</f>
        <v>57330</v>
      </c>
      <c r="L14" s="4">
        <f>H14+K14</f>
        <v>57330</v>
      </c>
      <c r="M14" s="460">
        <f>Q14+T14</f>
        <v>22670</v>
      </c>
      <c r="N14" s="4">
        <v>200000</v>
      </c>
      <c r="O14" s="460">
        <f t="shared" si="7"/>
        <v>120000</v>
      </c>
      <c r="P14" s="460">
        <f t="shared" si="8"/>
        <v>0</v>
      </c>
      <c r="Q14" s="4">
        <f>G14-L14</f>
        <v>22670</v>
      </c>
      <c r="R14" s="4"/>
      <c r="S14" s="4"/>
      <c r="T14" s="4"/>
      <c r="U14" s="4">
        <f>Q14-M14+T14</f>
        <v>0</v>
      </c>
      <c r="V14" s="4">
        <f>N14-U14</f>
        <v>200000</v>
      </c>
      <c r="W14" s="4">
        <f>V14-AA14-X14-Z14</f>
        <v>0</v>
      </c>
      <c r="X14" s="4">
        <v>200000</v>
      </c>
      <c r="Y14" s="4"/>
      <c r="Z14" s="4"/>
      <c r="AA14" s="4"/>
      <c r="AB14" s="3" t="s">
        <v>772</v>
      </c>
      <c r="AC14" s="459">
        <v>760000</v>
      </c>
      <c r="AD14" s="376"/>
      <c r="AE14" s="4">
        <v>80000</v>
      </c>
      <c r="AF14" s="462"/>
      <c r="AG14" s="462"/>
      <c r="AH14" s="460">
        <f t="shared" si="9"/>
        <v>80000</v>
      </c>
      <c r="AI14" s="460">
        <f t="shared" si="10"/>
        <v>120000</v>
      </c>
      <c r="AJ14" s="460"/>
      <c r="AK14" s="460">
        <f t="shared" si="11"/>
        <v>120000</v>
      </c>
      <c r="AL14" s="3"/>
      <c r="AM14" s="3"/>
      <c r="AN14" s="3"/>
      <c r="AO14" s="172"/>
      <c r="AP14" s="172"/>
      <c r="AQ14" s="184"/>
      <c r="AR14" s="184"/>
      <c r="AS14" s="173">
        <f t="shared" si="12"/>
        <v>22670</v>
      </c>
      <c r="AT14" s="173">
        <f t="shared" si="13"/>
        <v>22670</v>
      </c>
      <c r="AU14" s="173">
        <f t="shared" si="14"/>
        <v>120000</v>
      </c>
      <c r="AV14" s="173">
        <f t="shared" si="15"/>
        <v>0</v>
      </c>
      <c r="AW14" s="184"/>
      <c r="AX14" s="173">
        <f t="shared" si="23"/>
        <v>0</v>
      </c>
      <c r="AY14" s="184"/>
      <c r="AZ14" s="184"/>
      <c r="BA14" s="184"/>
      <c r="BB14" s="173">
        <f t="shared" si="16"/>
        <v>0</v>
      </c>
      <c r="BC14" s="4">
        <f t="shared" si="17"/>
        <v>0</v>
      </c>
      <c r="BD14" s="4"/>
      <c r="BE14" s="4"/>
      <c r="BF14" s="4"/>
      <c r="BG14" s="4"/>
      <c r="BH14" s="4">
        <f t="shared" si="22"/>
        <v>0</v>
      </c>
      <c r="BI14" s="3"/>
      <c r="BJ14" s="464">
        <f t="shared" si="18"/>
        <v>0</v>
      </c>
      <c r="BK14" s="4">
        <f t="shared" si="19"/>
        <v>0</v>
      </c>
      <c r="BL14" s="4"/>
      <c r="BM14" s="4">
        <f t="shared" si="20"/>
        <v>0</v>
      </c>
      <c r="BN14" s="4"/>
      <c r="BO14" s="4"/>
      <c r="BP14" s="4"/>
    </row>
    <row r="15" spans="1:68" s="70" customFormat="1" ht="30" customHeight="1">
      <c r="A15" s="33">
        <v>9</v>
      </c>
      <c r="B15" s="33"/>
      <c r="C15" s="466" t="s">
        <v>494</v>
      </c>
      <c r="D15" s="73">
        <f>SUBTOTAL(9,D6:D14)</f>
        <v>49790000</v>
      </c>
      <c r="E15" s="73">
        <f t="shared" ref="E15:BA15" si="24">SUBTOTAL(9,E6:E14)</f>
        <v>49790000</v>
      </c>
      <c r="F15" s="73">
        <f t="shared" si="24"/>
        <v>0</v>
      </c>
      <c r="G15" s="73">
        <f t="shared" si="24"/>
        <v>27553000</v>
      </c>
      <c r="H15" s="73">
        <f t="shared" si="24"/>
        <v>17379634.959999997</v>
      </c>
      <c r="I15" s="73">
        <f t="shared" si="24"/>
        <v>136200</v>
      </c>
      <c r="J15" s="73">
        <f t="shared" si="24"/>
        <v>5844321.4299999997</v>
      </c>
      <c r="K15" s="73">
        <f t="shared" si="24"/>
        <v>5980521.4299999997</v>
      </c>
      <c r="L15" s="73">
        <f t="shared" si="24"/>
        <v>23360156.390000001</v>
      </c>
      <c r="M15" s="73">
        <f t="shared" si="24"/>
        <v>4192843.61</v>
      </c>
      <c r="N15" s="73">
        <f t="shared" si="24"/>
        <v>13930000</v>
      </c>
      <c r="O15" s="73">
        <f t="shared" si="24"/>
        <v>11350000</v>
      </c>
      <c r="P15" s="73">
        <f t="shared" si="24"/>
        <v>10887000</v>
      </c>
      <c r="Q15" s="73">
        <f t="shared" si="24"/>
        <v>4192843.61</v>
      </c>
      <c r="R15" s="73">
        <f t="shared" si="24"/>
        <v>0</v>
      </c>
      <c r="S15" s="73">
        <f t="shared" si="24"/>
        <v>0</v>
      </c>
      <c r="T15" s="73">
        <f t="shared" si="24"/>
        <v>0</v>
      </c>
      <c r="U15" s="73">
        <f t="shared" si="24"/>
        <v>0</v>
      </c>
      <c r="V15" s="73">
        <f t="shared" si="24"/>
        <v>13930000</v>
      </c>
      <c r="W15" s="73">
        <f t="shared" si="24"/>
        <v>5000000</v>
      </c>
      <c r="X15" s="73">
        <f t="shared" si="24"/>
        <v>4850000</v>
      </c>
      <c r="Y15" s="73">
        <f t="shared" si="24"/>
        <v>0</v>
      </c>
      <c r="Z15" s="73">
        <f t="shared" si="24"/>
        <v>0</v>
      </c>
      <c r="AA15" s="73">
        <f t="shared" si="24"/>
        <v>4080000</v>
      </c>
      <c r="AB15" s="73">
        <f t="shared" si="24"/>
        <v>0</v>
      </c>
      <c r="AC15" s="73">
        <f t="shared" si="24"/>
        <v>6752000</v>
      </c>
      <c r="AD15" s="73">
        <f t="shared" si="24"/>
        <v>0</v>
      </c>
      <c r="AE15" s="73">
        <f t="shared" si="24"/>
        <v>2580000</v>
      </c>
      <c r="AF15" s="73">
        <f t="shared" si="24"/>
        <v>0</v>
      </c>
      <c r="AG15" s="73">
        <f t="shared" si="24"/>
        <v>0</v>
      </c>
      <c r="AH15" s="73">
        <f t="shared" si="24"/>
        <v>2580000</v>
      </c>
      <c r="AI15" s="73">
        <f t="shared" si="24"/>
        <v>11350000</v>
      </c>
      <c r="AJ15" s="73">
        <f t="shared" si="24"/>
        <v>2500000</v>
      </c>
      <c r="AK15" s="73">
        <f t="shared" si="24"/>
        <v>4770000</v>
      </c>
      <c r="AL15" s="73">
        <f t="shared" si="24"/>
        <v>0</v>
      </c>
      <c r="AM15" s="73">
        <f t="shared" si="24"/>
        <v>0</v>
      </c>
      <c r="AN15" s="73">
        <f t="shared" si="24"/>
        <v>4080000</v>
      </c>
      <c r="AO15" s="73">
        <f t="shared" si="24"/>
        <v>0</v>
      </c>
      <c r="AP15" s="73">
        <f t="shared" si="24"/>
        <v>50000</v>
      </c>
      <c r="AQ15" s="73">
        <f t="shared" si="24"/>
        <v>0</v>
      </c>
      <c r="AR15" s="73">
        <f t="shared" si="24"/>
        <v>2680000</v>
      </c>
      <c r="AS15" s="73">
        <f t="shared" si="24"/>
        <v>4192843.61</v>
      </c>
      <c r="AT15" s="73">
        <f t="shared" si="24"/>
        <v>6872843.6099999994</v>
      </c>
      <c r="AU15" s="73">
        <f t="shared" si="24"/>
        <v>19557000</v>
      </c>
      <c r="AV15" s="73">
        <f t="shared" si="24"/>
        <v>2680000</v>
      </c>
      <c r="AW15" s="73">
        <f t="shared" si="24"/>
        <v>0</v>
      </c>
      <c r="AX15" s="73">
        <f t="shared" si="24"/>
        <v>100000</v>
      </c>
      <c r="AY15" s="73">
        <f t="shared" si="24"/>
        <v>0</v>
      </c>
      <c r="AZ15" s="73">
        <f t="shared" si="24"/>
        <v>0</v>
      </c>
      <c r="BA15" s="73">
        <f t="shared" si="24"/>
        <v>2580000</v>
      </c>
      <c r="BB15" s="73">
        <f t="shared" ref="BB15:BP15" si="25">SUM(BB6:BB14)</f>
        <v>0</v>
      </c>
      <c r="BC15" s="73">
        <f t="shared" si="25"/>
        <v>2680000</v>
      </c>
      <c r="BD15" s="73">
        <f t="shared" si="25"/>
        <v>100000</v>
      </c>
      <c r="BE15" s="73">
        <f>SUM(BE6:BE14)</f>
        <v>0</v>
      </c>
      <c r="BF15" s="73">
        <f>SUM(BF6:BF14)</f>
        <v>0</v>
      </c>
      <c r="BG15" s="73">
        <f>SUM(BG6:BG14)</f>
        <v>2580000</v>
      </c>
      <c r="BH15" s="73">
        <f t="shared" si="25"/>
        <v>2680000</v>
      </c>
      <c r="BI15" s="73">
        <f t="shared" si="25"/>
        <v>0</v>
      </c>
      <c r="BJ15" s="73">
        <f t="shared" si="25"/>
        <v>2680000</v>
      </c>
      <c r="BK15" s="73">
        <f t="shared" si="25"/>
        <v>0</v>
      </c>
      <c r="BL15" s="73">
        <f t="shared" si="25"/>
        <v>0</v>
      </c>
      <c r="BM15" s="73">
        <f t="shared" si="25"/>
        <v>100000</v>
      </c>
      <c r="BN15" s="73">
        <f t="shared" si="25"/>
        <v>0</v>
      </c>
      <c r="BO15" s="73">
        <f t="shared" si="25"/>
        <v>0</v>
      </c>
      <c r="BP15" s="73">
        <f t="shared" si="25"/>
        <v>2580000</v>
      </c>
    </row>
    <row r="16" spans="1:68" hidden="1">
      <c r="L16" s="467">
        <f>H15+K15</f>
        <v>23360156.389999997</v>
      </c>
      <c r="M16" s="467">
        <f>Q16+T15-U15</f>
        <v>4192843.6100000031</v>
      </c>
      <c r="P16" s="467">
        <f>L15+M15+O15+P15</f>
        <v>49790000</v>
      </c>
      <c r="Q16" s="467">
        <f>G15-L16</f>
        <v>4192843.6100000031</v>
      </c>
      <c r="V16" s="467">
        <f>N15-U15</f>
        <v>13930000</v>
      </c>
      <c r="AB16" s="455"/>
      <c r="AO16" s="435"/>
      <c r="AP16" s="436"/>
    </row>
    <row r="17" spans="1:68" hidden="1">
      <c r="AB17" s="455"/>
      <c r="AO17" s="455"/>
      <c r="AP17" s="455"/>
    </row>
    <row r="18" spans="1:68" ht="14.5" hidden="1" thickBot="1">
      <c r="A18" s="456"/>
      <c r="B18" s="456"/>
      <c r="C18" s="438" t="s">
        <v>1002</v>
      </c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W18" s="456"/>
      <c r="X18" s="456"/>
      <c r="Y18" s="456"/>
      <c r="Z18" s="456"/>
      <c r="AA18" s="456"/>
      <c r="AB18" s="456"/>
      <c r="AC18" s="456"/>
      <c r="AK18" s="456"/>
      <c r="AL18" s="456"/>
      <c r="AM18" s="456"/>
      <c r="AN18" s="456"/>
      <c r="AO18" s="455"/>
      <c r="AP18" s="455"/>
      <c r="AR18" s="439">
        <f>AR15</f>
        <v>2680000</v>
      </c>
      <c r="AS18" s="439">
        <f>AS15-M15+0.01</f>
        <v>0.01</v>
      </c>
      <c r="AT18" s="440"/>
      <c r="AU18" s="440"/>
      <c r="AV18" s="440"/>
    </row>
    <row r="19" spans="1:68" hidden="1">
      <c r="A19" s="456"/>
      <c r="B19" s="456"/>
      <c r="C19" s="16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K19" s="456"/>
      <c r="AL19" s="456"/>
      <c r="AM19" s="456"/>
      <c r="AN19" s="456"/>
    </row>
    <row r="20" spans="1:68" ht="14.5" hidden="1" thickBot="1">
      <c r="A20" s="456"/>
      <c r="B20" s="456"/>
      <c r="C20" s="438" t="s">
        <v>233</v>
      </c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K20" s="456"/>
      <c r="AL20" s="456"/>
      <c r="AM20" s="456"/>
      <c r="AN20" s="456"/>
      <c r="AR20" s="439">
        <f>AR18+AS18</f>
        <v>2680000.0099999998</v>
      </c>
      <c r="AW20" s="167">
        <f>AW15</f>
        <v>0</v>
      </c>
      <c r="AX20" s="439">
        <f>AX15</f>
        <v>100000</v>
      </c>
      <c r="AY20" s="167">
        <f>AY15</f>
        <v>0</v>
      </c>
      <c r="AZ20" s="167">
        <f>AZ15</f>
        <v>0</v>
      </c>
      <c r="BA20" s="439">
        <f>BA15</f>
        <v>2580000</v>
      </c>
    </row>
    <row r="21" spans="1:68" hidden="1"/>
    <row r="22" spans="1:68" hidden="1"/>
    <row r="23" spans="1:68" hidden="1"/>
    <row r="24" spans="1:68" hidden="1">
      <c r="BA24" s="468" t="s">
        <v>1003</v>
      </c>
      <c r="BB24" s="469"/>
      <c r="BC24" s="470"/>
      <c r="BD24" s="463"/>
      <c r="BE24" s="463"/>
      <c r="BF24" s="463"/>
      <c r="BG24" s="463"/>
      <c r="BH24" s="463"/>
      <c r="BK24" s="463"/>
      <c r="BL24" s="463"/>
      <c r="BM24" s="463"/>
      <c r="BN24" s="463"/>
      <c r="BO24" s="463"/>
      <c r="BP24" s="463"/>
    </row>
    <row r="25" spans="1:68" hidden="1">
      <c r="BA25" s="441" t="s">
        <v>1006</v>
      </c>
      <c r="BB25" s="380" t="s">
        <v>1004</v>
      </c>
      <c r="BC25" s="471"/>
      <c r="BD25" s="472">
        <f>BD7+BD8</f>
        <v>100000</v>
      </c>
      <c r="BE25" s="472">
        <f>BE7+BE8</f>
        <v>0</v>
      </c>
      <c r="BF25" s="472">
        <f>BF7+BF8</f>
        <v>0</v>
      </c>
      <c r="BG25" s="472">
        <f>BG7+BG8</f>
        <v>0</v>
      </c>
      <c r="BH25" s="4">
        <f t="shared" ref="BH25:BP25" si="26">BH7+BH8</f>
        <v>100000</v>
      </c>
      <c r="BK25" s="4">
        <f t="shared" si="26"/>
        <v>0</v>
      </c>
      <c r="BL25" s="4">
        <f t="shared" si="26"/>
        <v>0</v>
      </c>
      <c r="BM25" s="4">
        <f t="shared" si="26"/>
        <v>100000</v>
      </c>
      <c r="BN25" s="4">
        <f t="shared" si="26"/>
        <v>0</v>
      </c>
      <c r="BO25" s="4">
        <f t="shared" si="26"/>
        <v>0</v>
      </c>
      <c r="BP25" s="4">
        <f t="shared" si="26"/>
        <v>0</v>
      </c>
    </row>
    <row r="26" spans="1:68" hidden="1">
      <c r="BA26" s="473" t="s">
        <v>1005</v>
      </c>
      <c r="BB26" s="474"/>
      <c r="BC26" s="475"/>
      <c r="BD26" s="4"/>
      <c r="BE26" s="4"/>
      <c r="BF26" s="4"/>
      <c r="BG26" s="4"/>
      <c r="BH26" s="4"/>
      <c r="BK26" s="4"/>
      <c r="BL26" s="4"/>
      <c r="BM26" s="4"/>
      <c r="BN26" s="4"/>
      <c r="BO26" s="4"/>
      <c r="BP26" s="4"/>
    </row>
    <row r="27" spans="1:68" hidden="1">
      <c r="BA27" s="442" t="s">
        <v>105</v>
      </c>
      <c r="BB27" s="476"/>
      <c r="BC27" s="477"/>
      <c r="BD27" s="8">
        <f>SUM(BD25:BD26)</f>
        <v>100000</v>
      </c>
      <c r="BE27" s="8">
        <f>SUM(BE25:BE26)</f>
        <v>0</v>
      </c>
      <c r="BF27" s="8">
        <f>SUM(BF25:BF26)</f>
        <v>0</v>
      </c>
      <c r="BG27" s="8">
        <f>SUM(BG25:BG26)</f>
        <v>0</v>
      </c>
      <c r="BH27" s="8">
        <f t="shared" ref="BH27:BP27" si="27">SUM(BH25:BH26)</f>
        <v>100000</v>
      </c>
      <c r="BK27" s="8">
        <f t="shared" si="27"/>
        <v>0</v>
      </c>
      <c r="BL27" s="8">
        <f t="shared" si="27"/>
        <v>0</v>
      </c>
      <c r="BM27" s="8">
        <f t="shared" si="27"/>
        <v>100000</v>
      </c>
      <c r="BN27" s="8">
        <f t="shared" si="27"/>
        <v>0</v>
      </c>
      <c r="BO27" s="8">
        <f t="shared" si="27"/>
        <v>0</v>
      </c>
      <c r="BP27" s="8">
        <f t="shared" si="27"/>
        <v>0</v>
      </c>
    </row>
    <row r="28" spans="1:68" hidden="1">
      <c r="AO28" s="294"/>
      <c r="AP28" s="294"/>
    </row>
    <row r="29" spans="1:68">
      <c r="AO29" s="294"/>
      <c r="AP29" s="294"/>
    </row>
    <row r="30" spans="1:68">
      <c r="AO30" s="294"/>
      <c r="AP30" s="294"/>
    </row>
    <row r="31" spans="1:68">
      <c r="AO31" s="294"/>
      <c r="AP31" s="294"/>
    </row>
    <row r="32" spans="1:68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294"/>
      <c r="AP87" s="294"/>
    </row>
    <row r="88" spans="41:42">
      <c r="AO88" s="294"/>
      <c r="AP88" s="294"/>
    </row>
    <row r="89" spans="41:42">
      <c r="AO89" s="294"/>
      <c r="AP89" s="294"/>
    </row>
    <row r="90" spans="41:42">
      <c r="AO90" s="294"/>
      <c r="AP90" s="294"/>
    </row>
    <row r="91" spans="41:42">
      <c r="AO91" s="294"/>
      <c r="AP91" s="294"/>
    </row>
    <row r="92" spans="41:42">
      <c r="AO92" s="294"/>
      <c r="AP92" s="294"/>
    </row>
    <row r="93" spans="41:42">
      <c r="AO93" s="294"/>
      <c r="AP93" s="294"/>
    </row>
    <row r="94" spans="41:42">
      <c r="AO94" s="294"/>
      <c r="AP94" s="294"/>
    </row>
    <row r="95" spans="41:42">
      <c r="AO95" s="294"/>
      <c r="AP95" s="294"/>
    </row>
    <row r="96" spans="41:42">
      <c r="AO96" s="294"/>
      <c r="AP96" s="294"/>
    </row>
    <row r="97" spans="41:42">
      <c r="AO97" s="294"/>
      <c r="AP97" s="294"/>
    </row>
    <row r="98" spans="41:42">
      <c r="AO98" s="294"/>
      <c r="AP98" s="294"/>
    </row>
    <row r="99" spans="41:42">
      <c r="AO99" s="294"/>
      <c r="AP99" s="294"/>
    </row>
    <row r="100" spans="41:42">
      <c r="AO100" s="294"/>
      <c r="AP100" s="294"/>
    </row>
    <row r="101" spans="41:42">
      <c r="AO101" s="294"/>
      <c r="AP101" s="294"/>
    </row>
    <row r="102" spans="41:42">
      <c r="AO102" s="294"/>
      <c r="AP102" s="294"/>
    </row>
    <row r="103" spans="41:42">
      <c r="AO103" s="294"/>
      <c r="AP103" s="294"/>
    </row>
    <row r="104" spans="41:42">
      <c r="AO104" s="294"/>
      <c r="AP104" s="294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  <row r="129" spans="41:42">
      <c r="AO129" s="17"/>
      <c r="AP129" s="17"/>
    </row>
    <row r="130" spans="41:42">
      <c r="AO130" s="17"/>
      <c r="AP130" s="17"/>
    </row>
    <row r="131" spans="41:42">
      <c r="AO131" s="17"/>
      <c r="AP131" s="17"/>
    </row>
    <row r="132" spans="41:42">
      <c r="AO132" s="17"/>
      <c r="AP132" s="17"/>
    </row>
    <row r="133" spans="41:42">
      <c r="AO133" s="17"/>
      <c r="AP133" s="17"/>
    </row>
    <row r="134" spans="41:42">
      <c r="AO134" s="17"/>
      <c r="AP134" s="17"/>
    </row>
    <row r="135" spans="41:42">
      <c r="AO135" s="17"/>
      <c r="AP135" s="17"/>
    </row>
    <row r="136" spans="41:42">
      <c r="AO136" s="17"/>
      <c r="AP136" s="17"/>
    </row>
    <row r="137" spans="41:42">
      <c r="AO137" s="17"/>
      <c r="AP137" s="17"/>
    </row>
    <row r="138" spans="41:42">
      <c r="AO138" s="17"/>
      <c r="AP138" s="17"/>
    </row>
    <row r="139" spans="41:42">
      <c r="AO139" s="17"/>
      <c r="AP139" s="17"/>
    </row>
    <row r="140" spans="41:42">
      <c r="AO140" s="17"/>
      <c r="AP140" s="17"/>
    </row>
    <row r="141" spans="41:42">
      <c r="AO141" s="17"/>
      <c r="AP141" s="17"/>
    </row>
    <row r="142" spans="41:42">
      <c r="AO142" s="17"/>
      <c r="AP142" s="17"/>
    </row>
    <row r="143" spans="41:42">
      <c r="AO143" s="17"/>
      <c r="AP143" s="17"/>
    </row>
    <row r="144" spans="41:42">
      <c r="AO144" s="17"/>
      <c r="AP144" s="17"/>
    </row>
    <row r="145" spans="41:42">
      <c r="AO145" s="17"/>
      <c r="AP145" s="17"/>
    </row>
    <row r="146" spans="41:42">
      <c r="AO146" s="17"/>
      <c r="AP146" s="17"/>
    </row>
  </sheetData>
  <mergeCells count="5">
    <mergeCell ref="D4:AU4"/>
    <mergeCell ref="AW4:BA4"/>
    <mergeCell ref="BB4:BC4"/>
    <mergeCell ref="BD4:BJ4"/>
    <mergeCell ref="BL4:BP4"/>
  </mergeCells>
  <conditionalFormatting sqref="F6">
    <cfRule type="cellIs" dxfId="79" priority="61" operator="equal">
      <formula>0</formula>
    </cfRule>
  </conditionalFormatting>
  <conditionalFormatting sqref="Z7:AA9 A1:AC3 B5:L5 A7:J7 W7:X9 K7:N13 F10:F11 B8:J9 A21:X1048576 W18:X18 Y18:AB1048576 AC16:AD1048576 AG6:AG8 AD14 AG10:AG13 AH5:AN5 A16:Y17 P5:X5 Q7:V13 O7:P14 A4:C4 AG1:AN3 BB1:BD3 AG16:AN1048576 BB16:BD24 D18:U18 A18:B20 D19:X20 A6:X6 AC5:AD9 Y5:Y9 Z5:AB6 AE5:AF8 A8:A14 BL16:XFD24 BL1:XFD3 BQ4:XFD9 BB28:BD1048576 BL28:XFD1048576 BQ25:XFD27">
    <cfRule type="cellIs" dxfId="78" priority="60" operator="equal">
      <formula>0</formula>
    </cfRule>
  </conditionalFormatting>
  <conditionalFormatting sqref="AB9">
    <cfRule type="cellIs" dxfId="77" priority="57" operator="equal">
      <formula>0</formula>
    </cfRule>
  </conditionalFormatting>
  <conditionalFormatting sqref="AB7">
    <cfRule type="cellIs" dxfId="76" priority="59" operator="equal">
      <formula>0</formula>
    </cfRule>
  </conditionalFormatting>
  <conditionalFormatting sqref="AB8">
    <cfRule type="cellIs" dxfId="75" priority="58" operator="equal">
      <formula>0</formula>
    </cfRule>
  </conditionalFormatting>
  <conditionalFormatting sqref="Z16:AB17">
    <cfRule type="cellIs" dxfId="74" priority="56" operator="equal">
      <formula>0</formula>
    </cfRule>
  </conditionalFormatting>
  <conditionalFormatting sqref="AD1:AD3">
    <cfRule type="cellIs" dxfId="73" priority="55" operator="equal">
      <formula>0</formula>
    </cfRule>
  </conditionalFormatting>
  <conditionalFormatting sqref="AC10 B10:E10 G10:J10 W10:AA10 BQ10:XFD10">
    <cfRule type="cellIs" dxfId="72" priority="54" operator="equal">
      <formula>0</formula>
    </cfRule>
  </conditionalFormatting>
  <conditionalFormatting sqref="AB10">
    <cfRule type="cellIs" dxfId="71" priority="53" operator="equal">
      <formula>0</formula>
    </cfRule>
  </conditionalFormatting>
  <conditionalFormatting sqref="AD10">
    <cfRule type="cellIs" dxfId="70" priority="52" operator="equal">
      <formula>0</formula>
    </cfRule>
  </conditionalFormatting>
  <conditionalFormatting sqref="AB13:AC13 AB11:AC11">
    <cfRule type="cellIs" dxfId="69" priority="51" operator="equal">
      <formula>0</formula>
    </cfRule>
  </conditionalFormatting>
  <conditionalFormatting sqref="B13:J13 B11:C11 AL13:AN13 BQ13:XFD13">
    <cfRule type="cellIs" dxfId="68" priority="50" operator="equal">
      <formula>0</formula>
    </cfRule>
  </conditionalFormatting>
  <conditionalFormatting sqref="B11 E11 G11:J11 BQ11:XFD11">
    <cfRule type="cellIs" dxfId="67" priority="49" operator="equal">
      <formula>0</formula>
    </cfRule>
  </conditionalFormatting>
  <conditionalFormatting sqref="Z11:AA11 W11 Z13">
    <cfRule type="cellIs" dxfId="66" priority="48" operator="equal">
      <formula>0</formula>
    </cfRule>
  </conditionalFormatting>
  <conditionalFormatting sqref="C11">
    <cfRule type="cellIs" dxfId="65" priority="47" operator="equal">
      <formula>0</formula>
    </cfRule>
  </conditionalFormatting>
  <conditionalFormatting sqref="D11">
    <cfRule type="cellIs" dxfId="64" priority="46" operator="equal">
      <formula>0</formula>
    </cfRule>
  </conditionalFormatting>
  <conditionalFormatting sqref="Y11 Y13">
    <cfRule type="cellIs" dxfId="63" priority="45" operator="equal">
      <formula>0</formula>
    </cfRule>
  </conditionalFormatting>
  <conditionalFormatting sqref="W13">
    <cfRule type="cellIs" dxfId="62" priority="44" operator="equal">
      <formula>0</formula>
    </cfRule>
  </conditionalFormatting>
  <conditionalFormatting sqref="AB12">
    <cfRule type="cellIs" dxfId="61" priority="43" operator="equal">
      <formula>0</formula>
    </cfRule>
  </conditionalFormatting>
  <conditionalFormatting sqref="B12:J12 AL12:AN12 BQ12:XFD12">
    <cfRule type="cellIs" dxfId="60" priority="42" operator="equal">
      <formula>0</formula>
    </cfRule>
  </conditionalFormatting>
  <conditionalFormatting sqref="X12">
    <cfRule type="cellIs" dxfId="59" priority="39" operator="equal">
      <formula>0</formula>
    </cfRule>
  </conditionalFormatting>
  <conditionalFormatting sqref="Z12:AA12">
    <cfRule type="cellIs" dxfId="58" priority="41" operator="equal">
      <formula>0</formula>
    </cfRule>
  </conditionalFormatting>
  <conditionalFormatting sqref="Y12">
    <cfRule type="cellIs" dxfId="57" priority="40" operator="equal">
      <formula>0</formula>
    </cfRule>
  </conditionalFormatting>
  <conditionalFormatting sqref="W12">
    <cfRule type="cellIs" dxfId="56" priority="38" operator="equal">
      <formula>0</formula>
    </cfRule>
  </conditionalFormatting>
  <conditionalFormatting sqref="X11">
    <cfRule type="cellIs" dxfId="55" priority="37" operator="equal">
      <formula>0</formula>
    </cfRule>
  </conditionalFormatting>
  <conditionalFormatting sqref="AA13">
    <cfRule type="cellIs" dxfId="54" priority="35" operator="equal">
      <formula>0</formula>
    </cfRule>
  </conditionalFormatting>
  <conditionalFormatting sqref="X13">
    <cfRule type="cellIs" dxfId="53" priority="36" operator="equal">
      <formula>0</formula>
    </cfRule>
  </conditionalFormatting>
  <conditionalFormatting sqref="AD11:AD13">
    <cfRule type="cellIs" dxfId="52" priority="34" operator="equal">
      <formula>0</formula>
    </cfRule>
  </conditionalFormatting>
  <conditionalFormatting sqref="AC12">
    <cfRule type="cellIs" dxfId="51" priority="33" operator="equal">
      <formula>0</formula>
    </cfRule>
  </conditionalFormatting>
  <conditionalFormatting sqref="M14">
    <cfRule type="cellIs" dxfId="50" priority="32" operator="equal">
      <formula>0</formula>
    </cfRule>
  </conditionalFormatting>
  <conditionalFormatting sqref="AC14">
    <cfRule type="cellIs" dxfId="49" priority="31" operator="equal">
      <formula>0</formula>
    </cfRule>
  </conditionalFormatting>
  <conditionalFormatting sqref="AH6:AN6 AL7:AN11 AH7:AK14">
    <cfRule type="cellIs" dxfId="48" priority="30" operator="equal">
      <formula>0</formula>
    </cfRule>
  </conditionalFormatting>
  <conditionalFormatting sqref="AE1:AE3 AE10:AE13 AE16:AE1048576">
    <cfRule type="cellIs" dxfId="47" priority="29" operator="equal">
      <formula>0</formula>
    </cfRule>
  </conditionalFormatting>
  <conditionalFormatting sqref="AE9">
    <cfRule type="cellIs" dxfId="46" priority="28" operator="equal">
      <formula>0</formula>
    </cfRule>
  </conditionalFormatting>
  <conditionalFormatting sqref="AG14">
    <cfRule type="cellIs" dxfId="45" priority="27" operator="equal">
      <formula>0</formula>
    </cfRule>
  </conditionalFormatting>
  <conditionalFormatting sqref="AG9">
    <cfRule type="cellIs" dxfId="44" priority="26" operator="equal">
      <formula>0</formula>
    </cfRule>
  </conditionalFormatting>
  <conditionalFormatting sqref="AF1:AF3 AF10:AF13 AF16:AF1048576">
    <cfRule type="cellIs" dxfId="43" priority="25" operator="equal">
      <formula>0</formula>
    </cfRule>
  </conditionalFormatting>
  <conditionalFormatting sqref="AF14">
    <cfRule type="cellIs" dxfId="42" priority="24" operator="equal">
      <formula>0</formula>
    </cfRule>
  </conditionalFormatting>
  <conditionalFormatting sqref="AF9">
    <cfRule type="cellIs" dxfId="41" priority="23" operator="equal">
      <formula>0</formula>
    </cfRule>
  </conditionalFormatting>
  <conditionalFormatting sqref="AO1:AP3">
    <cfRule type="cellIs" dxfId="40" priority="22" operator="equal">
      <formula>0</formula>
    </cfRule>
  </conditionalFormatting>
  <conditionalFormatting sqref="AO17:AP18">
    <cfRule type="cellIs" dxfId="39" priority="21" operator="equal">
      <formula>0</formula>
    </cfRule>
  </conditionalFormatting>
  <conditionalFormatting sqref="AR1:BA3">
    <cfRule type="cellIs" dxfId="38" priority="20" operator="equal">
      <formula>0</formula>
    </cfRule>
  </conditionalFormatting>
  <conditionalFormatting sqref="AR17:BA18">
    <cfRule type="cellIs" dxfId="37" priority="19" operator="equal">
      <formula>0</formula>
    </cfRule>
  </conditionalFormatting>
  <conditionalFormatting sqref="AR12 AW12:AW14 AR14">
    <cfRule type="cellIs" dxfId="36" priority="18" operator="equal">
      <formula>0</formula>
    </cfRule>
  </conditionalFormatting>
  <conditionalFormatting sqref="AQ1:AQ3">
    <cfRule type="cellIs" dxfId="35" priority="17" operator="equal">
      <formula>0</formula>
    </cfRule>
  </conditionalFormatting>
  <conditionalFormatting sqref="AQ17:AQ18">
    <cfRule type="cellIs" dxfId="34" priority="16" operator="equal">
      <formula>0</formula>
    </cfRule>
  </conditionalFormatting>
  <conditionalFormatting sqref="AQ12:AQ14">
    <cfRule type="cellIs" dxfId="33" priority="15" operator="equal">
      <formula>0</formula>
    </cfRule>
  </conditionalFormatting>
  <conditionalFormatting sqref="AR20">
    <cfRule type="cellIs" dxfId="32" priority="14" operator="equal">
      <formula>0</formula>
    </cfRule>
  </conditionalFormatting>
  <conditionalFormatting sqref="AX20">
    <cfRule type="cellIs" dxfId="31" priority="13" operator="equal">
      <formula>0</formula>
    </cfRule>
  </conditionalFormatting>
  <conditionalFormatting sqref="BA20">
    <cfRule type="cellIs" dxfId="30" priority="12" operator="equal">
      <formula>0</formula>
    </cfRule>
  </conditionalFormatting>
  <conditionalFormatting sqref="BK1:BK3 BK16:BK24 BK28:BK1048576">
    <cfRule type="cellIs" dxfId="29" priority="11" operator="equal">
      <formula>0</formula>
    </cfRule>
  </conditionalFormatting>
  <conditionalFormatting sqref="BH1:BH3 BH16:BH24 BH28:BH1048576">
    <cfRule type="cellIs" dxfId="28" priority="10" operator="equal">
      <formula>0</formula>
    </cfRule>
  </conditionalFormatting>
  <conditionalFormatting sqref="BB26:BC27 BC25">
    <cfRule type="cellIs" dxfId="27" priority="9" operator="equal">
      <formula>0</formula>
    </cfRule>
  </conditionalFormatting>
  <conditionalFormatting sqref="BG1:BG3 BG16:BG24 BG28:BG1048576">
    <cfRule type="cellIs" dxfId="26" priority="8" operator="equal">
      <formula>0</formula>
    </cfRule>
  </conditionalFormatting>
  <conditionalFormatting sqref="BE1:BE3 BE16:BE24 BE28:BE1048576">
    <cfRule type="cellIs" dxfId="25" priority="7" operator="equal">
      <formula>0</formula>
    </cfRule>
  </conditionalFormatting>
  <conditionalFormatting sqref="BF1:BF3 BF16:BF24 BF28:BF1048576">
    <cfRule type="cellIs" dxfId="24" priority="6" operator="equal">
      <formula>0</formula>
    </cfRule>
  </conditionalFormatting>
  <conditionalFormatting sqref="BI1:BJ3 BI16:BJ1048576 BI6:BJ6 BI7:BI9 BJ7:BJ12 BJ14 BJ5">
    <cfRule type="cellIs" dxfId="23" priority="5" operator="equal">
      <formula>0</formula>
    </cfRule>
  </conditionalFormatting>
  <conditionalFormatting sqref="BI10">
    <cfRule type="cellIs" dxfId="22" priority="4" operator="equal">
      <formula>0</formula>
    </cfRule>
  </conditionalFormatting>
  <conditionalFormatting sqref="BI13">
    <cfRule type="cellIs" dxfId="21" priority="3" operator="equal">
      <formula>0</formula>
    </cfRule>
  </conditionalFormatting>
  <conditionalFormatting sqref="BI11">
    <cfRule type="cellIs" dxfId="20" priority="2" operator="equal">
      <formula>0</formula>
    </cfRule>
  </conditionalFormatting>
  <conditionalFormatting sqref="BI12">
    <cfRule type="cellIs" dxfId="1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46"/>
  <sheetViews>
    <sheetView showZeros="0" rightToLeft="1" zoomScaleNormal="100" workbookViewId="0">
      <pane xSplit="3" ySplit="5" topLeftCell="AV6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4"/>
  <cols>
    <col min="1" max="1" width="4.36328125" style="165" customWidth="1"/>
    <col min="2" max="2" width="5" style="164" bestFit="1" customWidth="1"/>
    <col min="3" max="3" width="31.54296875" style="164" customWidth="1"/>
    <col min="4" max="5" width="11.08984375" style="168" hidden="1" customWidth="1"/>
    <col min="6" max="6" width="7.6328125" style="168" hidden="1" customWidth="1"/>
    <col min="7" max="8" width="10.08984375" style="168" hidden="1" customWidth="1"/>
    <col min="9" max="9" width="7.54296875" style="168" hidden="1" customWidth="1"/>
    <col min="10" max="10" width="6.54296875" style="168" hidden="1" customWidth="1"/>
    <col min="11" max="11" width="8.54296875" style="168" hidden="1" customWidth="1"/>
    <col min="12" max="13" width="10.08984375" style="168" hidden="1" customWidth="1"/>
    <col min="14" max="15" width="9.08984375" style="168" hidden="1" customWidth="1"/>
    <col min="16" max="16" width="11.08984375" style="168" hidden="1" customWidth="1"/>
    <col min="17" max="17" width="10.08984375" style="168" hidden="1" customWidth="1"/>
    <col min="18" max="19" width="11.54296875" style="168" hidden="1" customWidth="1"/>
    <col min="20" max="20" width="6.6328125" style="168" hidden="1" customWidth="1"/>
    <col min="21" max="21" width="9.08984375" style="168" hidden="1" customWidth="1"/>
    <col min="22" max="23" width="9.08984375" style="164" hidden="1" customWidth="1"/>
    <col min="24" max="24" width="11.08984375" style="164" hidden="1" customWidth="1"/>
    <col min="25" max="25" width="9" style="164" hidden="1" customWidth="1"/>
    <col min="26" max="26" width="7.54296875" style="164" hidden="1" customWidth="1"/>
    <col min="27" max="27" width="6.453125" style="164" hidden="1" customWidth="1"/>
    <col min="28" max="28" width="40.54296875" style="164" hidden="1" customWidth="1"/>
    <col min="29" max="29" width="10.08984375" style="164" hidden="1" customWidth="1"/>
    <col min="30" max="30" width="6.08984375" style="164" hidden="1" customWidth="1"/>
    <col min="31" max="31" width="8" style="164" hidden="1" customWidth="1"/>
    <col min="32" max="32" width="5.08984375" style="164" hidden="1" customWidth="1"/>
    <col min="33" max="33" width="6.90625" style="164" hidden="1" customWidth="1"/>
    <col min="34" max="34" width="7.54296875" style="164" hidden="1" customWidth="1"/>
    <col min="35" max="36" width="9.08984375" style="164" hidden="1" customWidth="1"/>
    <col min="37" max="37" width="10.08984375" style="164" hidden="1" customWidth="1"/>
    <col min="38" max="38" width="9" style="164" hidden="1" customWidth="1"/>
    <col min="39" max="39" width="7.54296875" style="164" hidden="1" customWidth="1"/>
    <col min="40" max="40" width="9.90625" style="164" hidden="1" customWidth="1"/>
    <col min="41" max="41" width="16.54296875" style="12" hidden="1" customWidth="1"/>
    <col min="42" max="42" width="16.36328125" style="12" hidden="1" customWidth="1"/>
    <col min="43" max="43" width="11.6328125" style="166" hidden="1" customWidth="1"/>
    <col min="44" max="44" width="10.08984375" style="166" hidden="1" customWidth="1"/>
    <col min="45" max="45" width="8.90625" style="166" hidden="1" customWidth="1"/>
    <col min="46" max="46" width="9.36328125" style="166" hidden="1" customWidth="1"/>
    <col min="47" max="47" width="9" style="166" hidden="1" customWidth="1"/>
    <col min="48" max="50" width="11.81640625" style="166" customWidth="1"/>
    <col min="51" max="52" width="11.81640625" style="166" hidden="1" customWidth="1"/>
    <col min="53" max="53" width="11.81640625" style="166" customWidth="1"/>
    <col min="54" max="55" width="11.81640625" style="164" customWidth="1"/>
    <col min="56" max="61" width="11.81640625" style="164" hidden="1" customWidth="1"/>
    <col min="62" max="65" width="11.81640625" style="164" customWidth="1"/>
    <col min="66" max="67" width="11.81640625" style="164" hidden="1" customWidth="1"/>
    <col min="68" max="68" width="11.81640625" style="164" customWidth="1"/>
    <col min="69" max="16384" width="9.08984375" style="164"/>
  </cols>
  <sheetData>
    <row r="1" spans="1:68" s="189" customFormat="1" ht="18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D1" s="164"/>
      <c r="AE1" s="164"/>
      <c r="AF1" s="164"/>
      <c r="AG1" s="164"/>
      <c r="AO1" s="28"/>
      <c r="AP1" s="28"/>
      <c r="AQ1" s="166"/>
      <c r="AR1" s="166"/>
      <c r="AS1" s="284"/>
      <c r="AT1" s="284"/>
      <c r="AU1" s="284"/>
      <c r="AV1" s="284"/>
      <c r="AW1" s="284"/>
      <c r="AX1" s="284"/>
      <c r="AY1" s="284"/>
      <c r="AZ1" s="284"/>
      <c r="BA1" s="284"/>
    </row>
    <row r="2" spans="1:68" ht="18">
      <c r="A2" s="208" t="s">
        <v>1597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68" ht="18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68" ht="21" customHeight="1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44" t="s">
        <v>292</v>
      </c>
      <c r="AW4" s="779" t="s">
        <v>967</v>
      </c>
      <c r="AX4" s="779"/>
      <c r="AY4" s="779"/>
      <c r="AZ4" s="779"/>
      <c r="BA4" s="779"/>
      <c r="BB4" s="780" t="s">
        <v>968</v>
      </c>
      <c r="BC4" s="782"/>
      <c r="BD4" s="775" t="s">
        <v>282</v>
      </c>
      <c r="BE4" s="775"/>
      <c r="BF4" s="775"/>
      <c r="BG4" s="775"/>
      <c r="BH4" s="775"/>
      <c r="BI4" s="775"/>
      <c r="BJ4" s="775"/>
      <c r="BK4" s="346"/>
      <c r="BL4" s="775" t="s">
        <v>969</v>
      </c>
      <c r="BM4" s="775"/>
      <c r="BN4" s="775"/>
      <c r="BO4" s="775"/>
      <c r="BP4" s="775"/>
    </row>
    <row r="5" spans="1:68" s="190" customFormat="1" ht="86.25" customHeight="1">
      <c r="A5" s="445" t="s">
        <v>0</v>
      </c>
      <c r="B5" s="445" t="s">
        <v>1</v>
      </c>
      <c r="C5" s="445" t="s">
        <v>2</v>
      </c>
      <c r="D5" s="445" t="s">
        <v>3</v>
      </c>
      <c r="E5" s="445" t="s">
        <v>4</v>
      </c>
      <c r="F5" s="445" t="s">
        <v>5</v>
      </c>
      <c r="G5" s="445" t="s">
        <v>6</v>
      </c>
      <c r="H5" s="445" t="s">
        <v>7</v>
      </c>
      <c r="I5" s="445" t="s">
        <v>9</v>
      </c>
      <c r="J5" s="445" t="s">
        <v>178</v>
      </c>
      <c r="K5" s="445" t="s">
        <v>10</v>
      </c>
      <c r="L5" s="445" t="s">
        <v>11</v>
      </c>
      <c r="M5" s="432" t="s">
        <v>970</v>
      </c>
      <c r="N5" s="433" t="s">
        <v>971</v>
      </c>
      <c r="O5" s="433" t="s">
        <v>972</v>
      </c>
      <c r="P5" s="432" t="s">
        <v>628</v>
      </c>
      <c r="Q5" s="432" t="s">
        <v>12</v>
      </c>
      <c r="R5" s="432" t="s">
        <v>630</v>
      </c>
      <c r="S5" s="432" t="s">
        <v>631</v>
      </c>
      <c r="T5" s="432" t="s">
        <v>632</v>
      </c>
      <c r="U5" s="432" t="s">
        <v>629</v>
      </c>
      <c r="V5" s="446" t="s">
        <v>973</v>
      </c>
      <c r="W5" s="431" t="s">
        <v>13</v>
      </c>
      <c r="X5" s="431" t="s">
        <v>14</v>
      </c>
      <c r="Y5" s="431" t="s">
        <v>15</v>
      </c>
      <c r="Z5" s="431" t="s">
        <v>301</v>
      </c>
      <c r="AA5" s="431" t="s">
        <v>91</v>
      </c>
      <c r="AB5" s="447" t="s">
        <v>344</v>
      </c>
      <c r="AC5" s="431" t="s">
        <v>16</v>
      </c>
      <c r="AD5" s="432" t="s">
        <v>974</v>
      </c>
      <c r="AE5" s="432" t="s">
        <v>975</v>
      </c>
      <c r="AF5" s="432" t="s">
        <v>976</v>
      </c>
      <c r="AG5" s="432" t="s">
        <v>977</v>
      </c>
      <c r="AH5" s="432" t="s">
        <v>978</v>
      </c>
      <c r="AI5" s="433" t="s">
        <v>972</v>
      </c>
      <c r="AJ5" s="432" t="s">
        <v>13</v>
      </c>
      <c r="AK5" s="432" t="s">
        <v>14</v>
      </c>
      <c r="AL5" s="432" t="s">
        <v>15</v>
      </c>
      <c r="AM5" s="432" t="s">
        <v>301</v>
      </c>
      <c r="AN5" s="432" t="s">
        <v>91</v>
      </c>
      <c r="AO5" s="430" t="s">
        <v>979</v>
      </c>
      <c r="AP5" s="430" t="s">
        <v>980</v>
      </c>
      <c r="AQ5" s="433" t="s">
        <v>981</v>
      </c>
      <c r="AR5" s="430" t="s">
        <v>982</v>
      </c>
      <c r="AS5" s="430" t="s">
        <v>983</v>
      </c>
      <c r="AT5" s="430" t="s">
        <v>984</v>
      </c>
      <c r="AU5" s="430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4" t="s">
        <v>990</v>
      </c>
      <c r="BE5" s="434" t="s">
        <v>991</v>
      </c>
      <c r="BF5" s="434" t="s">
        <v>992</v>
      </c>
      <c r="BG5" s="434" t="s">
        <v>993</v>
      </c>
      <c r="BH5" s="434" t="s">
        <v>994</v>
      </c>
      <c r="BI5" s="434" t="s">
        <v>1238</v>
      </c>
      <c r="BJ5" s="434" t="s">
        <v>996</v>
      </c>
      <c r="BK5" s="33" t="s">
        <v>1623</v>
      </c>
      <c r="BL5" s="431" t="s">
        <v>13</v>
      </c>
      <c r="BM5" s="431" t="s">
        <v>14</v>
      </c>
      <c r="BN5" s="431" t="s">
        <v>15</v>
      </c>
      <c r="BO5" s="431" t="s">
        <v>301</v>
      </c>
      <c r="BP5" s="431" t="s">
        <v>91</v>
      </c>
    </row>
    <row r="6" spans="1:68" s="170" customFormat="1" ht="30" customHeight="1">
      <c r="A6" s="171">
        <v>1</v>
      </c>
      <c r="B6" s="171">
        <v>470</v>
      </c>
      <c r="C6" s="171" t="s">
        <v>69</v>
      </c>
      <c r="D6" s="152">
        <v>2130000</v>
      </c>
      <c r="E6" s="152">
        <v>2130000</v>
      </c>
      <c r="F6" s="152">
        <f t="shared" ref="F6:F22" si="0">D6-E6</f>
        <v>0</v>
      </c>
      <c r="G6" s="152">
        <v>1830000</v>
      </c>
      <c r="H6" s="152">
        <v>1737007.43</v>
      </c>
      <c r="I6" s="152"/>
      <c r="J6" s="152"/>
      <c r="K6" s="152">
        <f t="shared" ref="K6:K22" si="1">SUM(I6:J6)</f>
        <v>0</v>
      </c>
      <c r="L6" s="152">
        <f t="shared" ref="L6:L22" si="2">H6+K6</f>
        <v>1737007.43</v>
      </c>
      <c r="M6" s="152">
        <f t="shared" ref="M6:M22" si="3">Q6+T6</f>
        <v>92992.570000000065</v>
      </c>
      <c r="N6" s="152">
        <v>300000</v>
      </c>
      <c r="O6" s="152">
        <f>N6-AH6</f>
        <v>300000</v>
      </c>
      <c r="P6" s="152">
        <f>D6-L6-M6-O6</f>
        <v>0</v>
      </c>
      <c r="Q6" s="152">
        <f t="shared" ref="Q6:Q22" si="4">G6-L6</f>
        <v>92992.570000000065</v>
      </c>
      <c r="R6" s="152"/>
      <c r="S6" s="152"/>
      <c r="T6" s="152">
        <f t="shared" ref="T6:T22" si="5">SUM(R6:S6)</f>
        <v>0</v>
      </c>
      <c r="U6" s="152">
        <f t="shared" ref="U6:U22" si="6">Q6-M6+T6</f>
        <v>0</v>
      </c>
      <c r="V6" s="152">
        <f t="shared" ref="V6:V22" si="7">N6-U6</f>
        <v>300000</v>
      </c>
      <c r="W6" s="152">
        <f t="shared" ref="W6:W22" si="8">V6-X6-Z6-AA6</f>
        <v>300000</v>
      </c>
      <c r="X6" s="152"/>
      <c r="Y6" s="152"/>
      <c r="Z6" s="152"/>
      <c r="AA6" s="171"/>
      <c r="AB6" s="418" t="s">
        <v>452</v>
      </c>
      <c r="AC6" s="171">
        <v>935000</v>
      </c>
      <c r="AD6" s="382"/>
      <c r="AE6" s="382"/>
      <c r="AF6" s="382"/>
      <c r="AG6" s="382"/>
      <c r="AH6" s="152">
        <f>SUM(AD6:AG6)</f>
        <v>0</v>
      </c>
      <c r="AI6" s="152">
        <f>V6-AH6</f>
        <v>300000</v>
      </c>
      <c r="AJ6" s="152">
        <f>AI6</f>
        <v>300000</v>
      </c>
      <c r="AK6" s="171"/>
      <c r="AL6" s="171"/>
      <c r="AM6" s="171"/>
      <c r="AN6" s="171"/>
      <c r="AO6" s="3"/>
      <c r="AP6" s="3"/>
      <c r="AQ6" s="173"/>
      <c r="AR6" s="173">
        <f>AI6</f>
        <v>300000</v>
      </c>
      <c r="AS6" s="173">
        <f>M6</f>
        <v>92992.570000000065</v>
      </c>
      <c r="AT6" s="173">
        <f>SUM(AR6:AS6)</f>
        <v>392992.57000000007</v>
      </c>
      <c r="AU6" s="173">
        <f>D6-L6-AT6</f>
        <v>0</v>
      </c>
      <c r="AV6" s="173">
        <f>AR6+AS6-M6</f>
        <v>300000</v>
      </c>
      <c r="AW6" s="173">
        <f>AR6+AS6-M6</f>
        <v>300000</v>
      </c>
      <c r="AX6" s="173"/>
      <c r="AY6" s="172"/>
      <c r="AZ6" s="172"/>
      <c r="BA6" s="172"/>
      <c r="BB6" s="173">
        <f>AS6-M6</f>
        <v>0</v>
      </c>
      <c r="BC6" s="4">
        <f>AR6</f>
        <v>300000</v>
      </c>
      <c r="BD6" s="4"/>
      <c r="BE6" s="4"/>
      <c r="BF6" s="4"/>
      <c r="BG6" s="4"/>
      <c r="BH6" s="4">
        <f t="shared" ref="BH6:BH11" si="9">SUM(BD6)</f>
        <v>0</v>
      </c>
      <c r="BI6" s="171"/>
      <c r="BJ6" s="152">
        <f>BH6+BI6</f>
        <v>0</v>
      </c>
      <c r="BK6" s="4">
        <f>AV6-BJ6</f>
        <v>300000</v>
      </c>
      <c r="BL6" s="4">
        <f>BJ6</f>
        <v>0</v>
      </c>
      <c r="BM6" s="4"/>
      <c r="BN6" s="4"/>
      <c r="BO6" s="4"/>
      <c r="BP6" s="4"/>
    </row>
    <row r="7" spans="1:68" s="170" customFormat="1" ht="30" customHeight="1">
      <c r="A7" s="171">
        <v>2</v>
      </c>
      <c r="B7" s="171">
        <v>649</v>
      </c>
      <c r="C7" s="171" t="s">
        <v>1575</v>
      </c>
      <c r="D7" s="152">
        <v>70000</v>
      </c>
      <c r="E7" s="152">
        <v>70000</v>
      </c>
      <c r="F7" s="152">
        <f t="shared" si="0"/>
        <v>0</v>
      </c>
      <c r="G7" s="152">
        <v>70000</v>
      </c>
      <c r="H7" s="152">
        <v>43111.48</v>
      </c>
      <c r="I7" s="152"/>
      <c r="J7" s="152"/>
      <c r="K7" s="152">
        <f t="shared" si="1"/>
        <v>0</v>
      </c>
      <c r="L7" s="152">
        <f t="shared" si="2"/>
        <v>43111.48</v>
      </c>
      <c r="M7" s="152">
        <f t="shared" si="3"/>
        <v>26888.519999999997</v>
      </c>
      <c r="N7" s="152"/>
      <c r="O7" s="152">
        <f t="shared" ref="O7:O22" si="10">N7-AH7</f>
        <v>0</v>
      </c>
      <c r="P7" s="152">
        <f t="shared" ref="P7:P22" si="11">D7-L7-M7-O7</f>
        <v>0</v>
      </c>
      <c r="Q7" s="152">
        <f t="shared" si="4"/>
        <v>26888.519999999997</v>
      </c>
      <c r="R7" s="152"/>
      <c r="S7" s="152"/>
      <c r="T7" s="152">
        <f t="shared" si="5"/>
        <v>0</v>
      </c>
      <c r="U7" s="152">
        <f t="shared" si="6"/>
        <v>0</v>
      </c>
      <c r="V7" s="152">
        <f t="shared" si="7"/>
        <v>0</v>
      </c>
      <c r="W7" s="152">
        <f t="shared" si="8"/>
        <v>0</v>
      </c>
      <c r="X7" s="152"/>
      <c r="Y7" s="152"/>
      <c r="Z7" s="152"/>
      <c r="AA7" s="171"/>
      <c r="AB7" s="419" t="s">
        <v>487</v>
      </c>
      <c r="AC7" s="171">
        <v>930000</v>
      </c>
      <c r="AD7" s="382"/>
      <c r="AE7" s="382"/>
      <c r="AF7" s="382"/>
      <c r="AG7" s="382"/>
      <c r="AH7" s="152">
        <f t="shared" ref="AH7:AH22" si="12">SUM(AD7:AG7)</f>
        <v>0</v>
      </c>
      <c r="AI7" s="152">
        <f t="shared" ref="AI7:AI22" si="13">V7-AH7</f>
        <v>0</v>
      </c>
      <c r="AJ7" s="152">
        <f t="shared" ref="AJ7:AJ22" si="14">AI7</f>
        <v>0</v>
      </c>
      <c r="AK7" s="171"/>
      <c r="AL7" s="171"/>
      <c r="AM7" s="171"/>
      <c r="AN7" s="171"/>
      <c r="AO7" s="3"/>
      <c r="AP7" s="3"/>
      <c r="AQ7" s="184"/>
      <c r="AR7" s="173">
        <f t="shared" ref="AR7:AR22" si="15">AI7</f>
        <v>0</v>
      </c>
      <c r="AS7" s="173">
        <f t="shared" ref="AS7:AS22" si="16">M7</f>
        <v>26888.519999999997</v>
      </c>
      <c r="AT7" s="173">
        <f t="shared" ref="AT7:AT22" si="17">SUM(AR7:AS7)</f>
        <v>26888.519999999997</v>
      </c>
      <c r="AU7" s="173">
        <f t="shared" ref="AU7:AU22" si="18">D7-L7-AT7</f>
        <v>0</v>
      </c>
      <c r="AV7" s="173">
        <f t="shared" ref="AV7:AV22" si="19">AR7+AS7-M7</f>
        <v>0</v>
      </c>
      <c r="AW7" s="173">
        <f t="shared" ref="AW7:AW22" si="20">AR7+AS7-M7</f>
        <v>0</v>
      </c>
      <c r="AX7" s="173"/>
      <c r="AY7" s="172"/>
      <c r="AZ7" s="172"/>
      <c r="BA7" s="172"/>
      <c r="BB7" s="173">
        <f t="shared" ref="BB7:BB22" si="21">AS7-M7</f>
        <v>0</v>
      </c>
      <c r="BC7" s="4">
        <f t="shared" ref="BC7:BC22" si="22">AR7</f>
        <v>0</v>
      </c>
      <c r="BD7" s="4"/>
      <c r="BE7" s="4"/>
      <c r="BF7" s="4"/>
      <c r="BG7" s="4"/>
      <c r="BH7" s="4">
        <f t="shared" si="9"/>
        <v>0</v>
      </c>
      <c r="BI7" s="171"/>
      <c r="BJ7" s="152">
        <f t="shared" ref="BJ7:BJ22" si="23">BH7+BI7</f>
        <v>0</v>
      </c>
      <c r="BK7" s="4">
        <f t="shared" ref="BK7:BK22" si="24">AV7-BJ7</f>
        <v>0</v>
      </c>
      <c r="BL7" s="4">
        <f t="shared" ref="BL7:BL22" si="25">BJ7</f>
        <v>0</v>
      </c>
      <c r="BM7" s="4"/>
      <c r="BN7" s="4"/>
      <c r="BO7" s="4"/>
      <c r="BP7" s="4"/>
    </row>
    <row r="8" spans="1:68" s="170" customFormat="1" ht="30" customHeight="1">
      <c r="A8" s="171">
        <v>3</v>
      </c>
      <c r="B8" s="171">
        <v>1066</v>
      </c>
      <c r="C8" s="171" t="s">
        <v>70</v>
      </c>
      <c r="D8" s="152">
        <v>75000</v>
      </c>
      <c r="E8" s="152">
        <v>75000</v>
      </c>
      <c r="F8" s="152">
        <f t="shared" si="0"/>
        <v>0</v>
      </c>
      <c r="G8" s="152">
        <v>75000</v>
      </c>
      <c r="H8" s="152">
        <v>40172</v>
      </c>
      <c r="I8" s="152"/>
      <c r="J8" s="152"/>
      <c r="K8" s="152">
        <f t="shared" si="1"/>
        <v>0</v>
      </c>
      <c r="L8" s="152">
        <f t="shared" si="2"/>
        <v>40172</v>
      </c>
      <c r="M8" s="152">
        <f t="shared" si="3"/>
        <v>34828</v>
      </c>
      <c r="N8" s="152"/>
      <c r="O8" s="152">
        <f t="shared" si="10"/>
        <v>0</v>
      </c>
      <c r="P8" s="152">
        <f t="shared" si="11"/>
        <v>0</v>
      </c>
      <c r="Q8" s="152">
        <f t="shared" si="4"/>
        <v>34828</v>
      </c>
      <c r="R8" s="152"/>
      <c r="S8" s="152"/>
      <c r="T8" s="152">
        <f t="shared" si="5"/>
        <v>0</v>
      </c>
      <c r="U8" s="152">
        <f t="shared" si="6"/>
        <v>0</v>
      </c>
      <c r="V8" s="152">
        <f t="shared" si="7"/>
        <v>0</v>
      </c>
      <c r="W8" s="152">
        <f t="shared" si="8"/>
        <v>0</v>
      </c>
      <c r="X8" s="152"/>
      <c r="Y8" s="152"/>
      <c r="Z8" s="152"/>
      <c r="AA8" s="171"/>
      <c r="AB8" s="419" t="s">
        <v>488</v>
      </c>
      <c r="AC8" s="171">
        <v>935000</v>
      </c>
      <c r="AD8" s="382"/>
      <c r="AE8" s="382"/>
      <c r="AF8" s="382"/>
      <c r="AG8" s="382"/>
      <c r="AH8" s="152">
        <f t="shared" si="12"/>
        <v>0</v>
      </c>
      <c r="AI8" s="152">
        <f t="shared" si="13"/>
        <v>0</v>
      </c>
      <c r="AJ8" s="152">
        <f t="shared" si="14"/>
        <v>0</v>
      </c>
      <c r="AK8" s="171"/>
      <c r="AL8" s="171"/>
      <c r="AM8" s="171"/>
      <c r="AN8" s="171"/>
      <c r="AO8" s="3"/>
      <c r="AP8" s="3"/>
      <c r="AQ8" s="184"/>
      <c r="AR8" s="173">
        <f t="shared" si="15"/>
        <v>0</v>
      </c>
      <c r="AS8" s="173">
        <f t="shared" si="16"/>
        <v>34828</v>
      </c>
      <c r="AT8" s="173">
        <f t="shared" si="17"/>
        <v>34828</v>
      </c>
      <c r="AU8" s="173">
        <f t="shared" si="18"/>
        <v>0</v>
      </c>
      <c r="AV8" s="173">
        <f t="shared" si="19"/>
        <v>0</v>
      </c>
      <c r="AW8" s="173">
        <f t="shared" si="20"/>
        <v>0</v>
      </c>
      <c r="AX8" s="173"/>
      <c r="AY8" s="172"/>
      <c r="AZ8" s="172"/>
      <c r="BA8" s="172"/>
      <c r="BB8" s="173">
        <f t="shared" si="21"/>
        <v>0</v>
      </c>
      <c r="BC8" s="4">
        <f t="shared" si="22"/>
        <v>0</v>
      </c>
      <c r="BD8" s="4"/>
      <c r="BE8" s="4"/>
      <c r="BF8" s="4"/>
      <c r="BG8" s="4"/>
      <c r="BH8" s="4">
        <f t="shared" si="9"/>
        <v>0</v>
      </c>
      <c r="BI8" s="171"/>
      <c r="BJ8" s="152">
        <f t="shared" si="23"/>
        <v>0</v>
      </c>
      <c r="BK8" s="4">
        <f t="shared" si="24"/>
        <v>0</v>
      </c>
      <c r="BL8" s="4">
        <f t="shared" si="25"/>
        <v>0</v>
      </c>
      <c r="BM8" s="4"/>
      <c r="BN8" s="4"/>
      <c r="BO8" s="4"/>
      <c r="BP8" s="4"/>
    </row>
    <row r="9" spans="1:68" s="170" customFormat="1" ht="30" customHeight="1">
      <c r="A9" s="171">
        <v>4</v>
      </c>
      <c r="B9" s="171">
        <v>1177</v>
      </c>
      <c r="C9" s="171" t="s">
        <v>71</v>
      </c>
      <c r="D9" s="152">
        <v>41850000</v>
      </c>
      <c r="E9" s="152">
        <v>41850000</v>
      </c>
      <c r="F9" s="152">
        <f t="shared" si="0"/>
        <v>0</v>
      </c>
      <c r="G9" s="152">
        <v>28957000</v>
      </c>
      <c r="H9" s="152">
        <v>26727455.199999999</v>
      </c>
      <c r="I9" s="152"/>
      <c r="J9" s="152"/>
      <c r="K9" s="152">
        <f t="shared" si="1"/>
        <v>0</v>
      </c>
      <c r="L9" s="152">
        <f t="shared" si="2"/>
        <v>26727455.199999999</v>
      </c>
      <c r="M9" s="152">
        <f t="shared" si="3"/>
        <v>2229544.8000000007</v>
      </c>
      <c r="N9" s="152"/>
      <c r="O9" s="152">
        <f t="shared" si="10"/>
        <v>0</v>
      </c>
      <c r="P9" s="152">
        <f t="shared" si="11"/>
        <v>12893000</v>
      </c>
      <c r="Q9" s="152">
        <f t="shared" si="4"/>
        <v>2229544.8000000007</v>
      </c>
      <c r="R9" s="152"/>
      <c r="S9" s="152"/>
      <c r="T9" s="152">
        <f t="shared" si="5"/>
        <v>0</v>
      </c>
      <c r="U9" s="152">
        <f t="shared" si="6"/>
        <v>0</v>
      </c>
      <c r="V9" s="152">
        <f t="shared" si="7"/>
        <v>0</v>
      </c>
      <c r="W9" s="152">
        <f t="shared" si="8"/>
        <v>0</v>
      </c>
      <c r="X9" s="152"/>
      <c r="Y9" s="152"/>
      <c r="Z9" s="152"/>
      <c r="AA9" s="171"/>
      <c r="AB9" s="419" t="s">
        <v>489</v>
      </c>
      <c r="AC9" s="171">
        <v>930000</v>
      </c>
      <c r="AD9" s="382"/>
      <c r="AE9" s="382"/>
      <c r="AF9" s="382"/>
      <c r="AG9" s="382"/>
      <c r="AH9" s="152">
        <f t="shared" si="12"/>
        <v>0</v>
      </c>
      <c r="AI9" s="152">
        <f t="shared" si="13"/>
        <v>0</v>
      </c>
      <c r="AJ9" s="152">
        <f t="shared" si="14"/>
        <v>0</v>
      </c>
      <c r="AK9" s="171"/>
      <c r="AL9" s="171"/>
      <c r="AM9" s="171"/>
      <c r="AN9" s="171"/>
      <c r="AO9" s="3"/>
      <c r="AP9" s="3"/>
      <c r="AQ9" s="180">
        <f>SUM(AQ6:AQ8)</f>
        <v>0</v>
      </c>
      <c r="AR9" s="173">
        <f t="shared" si="15"/>
        <v>0</v>
      </c>
      <c r="AS9" s="173">
        <f t="shared" si="16"/>
        <v>2229544.8000000007</v>
      </c>
      <c r="AT9" s="173">
        <f t="shared" si="17"/>
        <v>2229544.8000000007</v>
      </c>
      <c r="AU9" s="173">
        <f t="shared" si="18"/>
        <v>12893000</v>
      </c>
      <c r="AV9" s="173">
        <f t="shared" si="19"/>
        <v>0</v>
      </c>
      <c r="AW9" s="173">
        <f t="shared" si="20"/>
        <v>0</v>
      </c>
      <c r="AX9" s="180"/>
      <c r="AY9" s="180">
        <f>SUM(AY6:AY8)</f>
        <v>0</v>
      </c>
      <c r="AZ9" s="180">
        <f>SUM(AZ6:AZ8)</f>
        <v>0</v>
      </c>
      <c r="BA9" s="180">
        <f>SUM(BA6:BA8)</f>
        <v>0</v>
      </c>
      <c r="BB9" s="173">
        <f t="shared" si="21"/>
        <v>0</v>
      </c>
      <c r="BC9" s="4">
        <f t="shared" si="22"/>
        <v>0</v>
      </c>
      <c r="BD9" s="4"/>
      <c r="BE9" s="4"/>
      <c r="BF9" s="4"/>
      <c r="BG9" s="4"/>
      <c r="BH9" s="4">
        <f t="shared" si="9"/>
        <v>0</v>
      </c>
      <c r="BI9" s="171"/>
      <c r="BJ9" s="152">
        <f t="shared" si="23"/>
        <v>0</v>
      </c>
      <c r="BK9" s="4">
        <f t="shared" si="24"/>
        <v>0</v>
      </c>
      <c r="BL9" s="4">
        <f t="shared" si="25"/>
        <v>0</v>
      </c>
      <c r="BM9" s="4"/>
      <c r="BN9" s="4"/>
      <c r="BO9" s="4"/>
      <c r="BP9" s="4"/>
    </row>
    <row r="10" spans="1:68" s="170" customFormat="1" ht="30" customHeight="1">
      <c r="A10" s="171">
        <v>5</v>
      </c>
      <c r="B10" s="171">
        <v>1258</v>
      </c>
      <c r="C10" s="171" t="s">
        <v>72</v>
      </c>
      <c r="D10" s="152">
        <v>1400000</v>
      </c>
      <c r="E10" s="152">
        <v>1400000</v>
      </c>
      <c r="F10" s="152">
        <f t="shared" si="0"/>
        <v>0</v>
      </c>
      <c r="G10" s="152">
        <v>950000</v>
      </c>
      <c r="H10" s="152">
        <v>879805.02</v>
      </c>
      <c r="I10" s="152"/>
      <c r="J10" s="152"/>
      <c r="K10" s="152">
        <f t="shared" si="1"/>
        <v>0</v>
      </c>
      <c r="L10" s="152">
        <f t="shared" si="2"/>
        <v>879805.02</v>
      </c>
      <c r="M10" s="152">
        <f t="shared" si="3"/>
        <v>70194.979999999981</v>
      </c>
      <c r="N10" s="152"/>
      <c r="O10" s="152">
        <f t="shared" si="10"/>
        <v>0</v>
      </c>
      <c r="P10" s="152">
        <f t="shared" si="11"/>
        <v>450000</v>
      </c>
      <c r="Q10" s="152">
        <f t="shared" si="4"/>
        <v>70194.979999999981</v>
      </c>
      <c r="R10" s="152"/>
      <c r="S10" s="152"/>
      <c r="T10" s="152">
        <f t="shared" si="5"/>
        <v>0</v>
      </c>
      <c r="U10" s="152">
        <f t="shared" si="6"/>
        <v>0</v>
      </c>
      <c r="V10" s="152">
        <f t="shared" si="7"/>
        <v>0</v>
      </c>
      <c r="W10" s="152">
        <f t="shared" si="8"/>
        <v>0</v>
      </c>
      <c r="X10" s="152"/>
      <c r="Y10" s="152"/>
      <c r="Z10" s="152"/>
      <c r="AA10" s="171"/>
      <c r="AB10" s="420" t="s">
        <v>339</v>
      </c>
      <c r="AC10" s="171">
        <v>930000</v>
      </c>
      <c r="AD10" s="382"/>
      <c r="AE10" s="382"/>
      <c r="AF10" s="382"/>
      <c r="AG10" s="382"/>
      <c r="AH10" s="152">
        <f t="shared" si="12"/>
        <v>0</v>
      </c>
      <c r="AI10" s="152">
        <f t="shared" si="13"/>
        <v>0</v>
      </c>
      <c r="AJ10" s="152">
        <f t="shared" si="14"/>
        <v>0</v>
      </c>
      <c r="AK10" s="171"/>
      <c r="AL10" s="171"/>
      <c r="AM10" s="171"/>
      <c r="AN10" s="171"/>
      <c r="AO10" s="3"/>
      <c r="AP10" s="3"/>
      <c r="AQ10" s="184"/>
      <c r="AR10" s="173">
        <f t="shared" si="15"/>
        <v>0</v>
      </c>
      <c r="AS10" s="173">
        <f t="shared" si="16"/>
        <v>70194.979999999981</v>
      </c>
      <c r="AT10" s="173">
        <f t="shared" si="17"/>
        <v>70194.979999999981</v>
      </c>
      <c r="AU10" s="173">
        <f t="shared" si="18"/>
        <v>450000</v>
      </c>
      <c r="AV10" s="173">
        <f t="shared" si="19"/>
        <v>0</v>
      </c>
      <c r="AW10" s="173">
        <f t="shared" si="20"/>
        <v>0</v>
      </c>
      <c r="AX10" s="172"/>
      <c r="AY10" s="172"/>
      <c r="AZ10" s="172"/>
      <c r="BA10" s="172"/>
      <c r="BB10" s="173">
        <f t="shared" si="21"/>
        <v>0</v>
      </c>
      <c r="BC10" s="4">
        <f t="shared" si="22"/>
        <v>0</v>
      </c>
      <c r="BD10" s="4"/>
      <c r="BE10" s="4"/>
      <c r="BF10" s="4"/>
      <c r="BG10" s="4"/>
      <c r="BH10" s="4">
        <f t="shared" si="9"/>
        <v>0</v>
      </c>
      <c r="BI10" s="171"/>
      <c r="BJ10" s="152">
        <f t="shared" si="23"/>
        <v>0</v>
      </c>
      <c r="BK10" s="4">
        <f t="shared" si="24"/>
        <v>0</v>
      </c>
      <c r="BL10" s="4">
        <f t="shared" si="25"/>
        <v>0</v>
      </c>
      <c r="BM10" s="4"/>
      <c r="BN10" s="4"/>
      <c r="BO10" s="4"/>
      <c r="BP10" s="4"/>
    </row>
    <row r="11" spans="1:68" s="170" customFormat="1" ht="30" customHeight="1">
      <c r="A11" s="171">
        <v>6</v>
      </c>
      <c r="B11" s="171">
        <v>1330</v>
      </c>
      <c r="C11" s="171" t="s">
        <v>73</v>
      </c>
      <c r="D11" s="152">
        <v>60700000</v>
      </c>
      <c r="E11" s="152">
        <v>60700000</v>
      </c>
      <c r="F11" s="152">
        <f t="shared" si="0"/>
        <v>0</v>
      </c>
      <c r="G11" s="152">
        <v>17249825</v>
      </c>
      <c r="H11" s="152">
        <v>6515401.6299999999</v>
      </c>
      <c r="I11" s="152"/>
      <c r="J11" s="152"/>
      <c r="K11" s="152">
        <f t="shared" si="1"/>
        <v>0</v>
      </c>
      <c r="L11" s="152">
        <f t="shared" si="2"/>
        <v>6515401.6299999999</v>
      </c>
      <c r="M11" s="152">
        <f t="shared" si="3"/>
        <v>10734423.370000001</v>
      </c>
      <c r="N11" s="152"/>
      <c r="O11" s="152">
        <f t="shared" si="10"/>
        <v>0</v>
      </c>
      <c r="P11" s="152">
        <f t="shared" si="11"/>
        <v>43450175</v>
      </c>
      <c r="Q11" s="152">
        <f t="shared" si="4"/>
        <v>10734423.370000001</v>
      </c>
      <c r="R11" s="152"/>
      <c r="S11" s="152"/>
      <c r="T11" s="152">
        <f t="shared" si="5"/>
        <v>0</v>
      </c>
      <c r="U11" s="152">
        <f t="shared" si="6"/>
        <v>0</v>
      </c>
      <c r="V11" s="152">
        <f t="shared" si="7"/>
        <v>0</v>
      </c>
      <c r="W11" s="152">
        <f t="shared" si="8"/>
        <v>0</v>
      </c>
      <c r="X11" s="152"/>
      <c r="Y11" s="152"/>
      <c r="Z11" s="152"/>
      <c r="AA11" s="171"/>
      <c r="AB11" s="419" t="s">
        <v>490</v>
      </c>
      <c r="AC11" s="171">
        <v>930000</v>
      </c>
      <c r="AD11" s="382"/>
      <c r="AE11" s="382"/>
      <c r="AF11" s="382"/>
      <c r="AG11" s="382"/>
      <c r="AH11" s="152">
        <f t="shared" si="12"/>
        <v>0</v>
      </c>
      <c r="AI11" s="152">
        <f t="shared" si="13"/>
        <v>0</v>
      </c>
      <c r="AJ11" s="152">
        <f t="shared" si="14"/>
        <v>0</v>
      </c>
      <c r="AK11" s="171"/>
      <c r="AL11" s="171"/>
      <c r="AM11" s="171"/>
      <c r="AN11" s="171"/>
      <c r="AO11" s="172"/>
      <c r="AP11" s="172"/>
      <c r="AQ11" s="184"/>
      <c r="AR11" s="173">
        <f t="shared" si="15"/>
        <v>0</v>
      </c>
      <c r="AS11" s="173">
        <f t="shared" si="16"/>
        <v>10734423.370000001</v>
      </c>
      <c r="AT11" s="173">
        <f t="shared" si="17"/>
        <v>10734423.370000001</v>
      </c>
      <c r="AU11" s="173">
        <f t="shared" si="18"/>
        <v>43450175</v>
      </c>
      <c r="AV11" s="173">
        <f t="shared" si="19"/>
        <v>0</v>
      </c>
      <c r="AW11" s="173">
        <f t="shared" si="20"/>
        <v>0</v>
      </c>
      <c r="AX11" s="184"/>
      <c r="AY11" s="184"/>
      <c r="AZ11" s="184"/>
      <c r="BA11" s="184"/>
      <c r="BB11" s="173">
        <f t="shared" si="21"/>
        <v>0</v>
      </c>
      <c r="BC11" s="4">
        <f t="shared" si="22"/>
        <v>0</v>
      </c>
      <c r="BD11" s="4"/>
      <c r="BE11" s="4"/>
      <c r="BF11" s="4"/>
      <c r="BG11" s="4"/>
      <c r="BH11" s="4">
        <f t="shared" si="9"/>
        <v>0</v>
      </c>
      <c r="BI11" s="171"/>
      <c r="BJ11" s="152">
        <f t="shared" si="23"/>
        <v>0</v>
      </c>
      <c r="BK11" s="4">
        <f t="shared" si="24"/>
        <v>0</v>
      </c>
      <c r="BL11" s="4">
        <f t="shared" si="25"/>
        <v>0</v>
      </c>
      <c r="BM11" s="4"/>
      <c r="BN11" s="4"/>
      <c r="BO11" s="4"/>
      <c r="BP11" s="4"/>
    </row>
    <row r="12" spans="1:68" s="170" customFormat="1" ht="30" customHeight="1">
      <c r="A12" s="171">
        <v>7</v>
      </c>
      <c r="B12" s="171">
        <v>1369</v>
      </c>
      <c r="C12" s="171" t="s">
        <v>74</v>
      </c>
      <c r="D12" s="152">
        <v>4000000</v>
      </c>
      <c r="E12" s="152">
        <v>4000000</v>
      </c>
      <c r="F12" s="152">
        <f t="shared" si="0"/>
        <v>0</v>
      </c>
      <c r="G12" s="152">
        <v>1670700</v>
      </c>
      <c r="H12" s="152">
        <v>1341336.1299999999</v>
      </c>
      <c r="I12" s="152"/>
      <c r="J12" s="152"/>
      <c r="K12" s="152">
        <f t="shared" si="1"/>
        <v>0</v>
      </c>
      <c r="L12" s="152">
        <f t="shared" si="2"/>
        <v>1341336.1299999999</v>
      </c>
      <c r="M12" s="152">
        <f t="shared" si="3"/>
        <v>329363.87000000011</v>
      </c>
      <c r="N12" s="152">
        <v>2329300</v>
      </c>
      <c r="O12" s="152">
        <f t="shared" si="10"/>
        <v>2329300</v>
      </c>
      <c r="P12" s="152">
        <f t="shared" si="11"/>
        <v>0</v>
      </c>
      <c r="Q12" s="152">
        <f t="shared" si="4"/>
        <v>329363.87000000011</v>
      </c>
      <c r="R12" s="152"/>
      <c r="S12" s="152"/>
      <c r="T12" s="152">
        <f t="shared" si="5"/>
        <v>0</v>
      </c>
      <c r="U12" s="152">
        <f t="shared" si="6"/>
        <v>0</v>
      </c>
      <c r="V12" s="152">
        <f t="shared" si="7"/>
        <v>2329300</v>
      </c>
      <c r="W12" s="152">
        <f t="shared" si="8"/>
        <v>2329300</v>
      </c>
      <c r="X12" s="152"/>
      <c r="Y12" s="152"/>
      <c r="Z12" s="152"/>
      <c r="AA12" s="171"/>
      <c r="AB12" s="418" t="s">
        <v>453</v>
      </c>
      <c r="AC12" s="171">
        <v>930000</v>
      </c>
      <c r="AD12" s="382"/>
      <c r="AE12" s="382"/>
      <c r="AF12" s="382"/>
      <c r="AG12" s="382"/>
      <c r="AH12" s="152">
        <f t="shared" si="12"/>
        <v>0</v>
      </c>
      <c r="AI12" s="152">
        <f t="shared" si="13"/>
        <v>2329300</v>
      </c>
      <c r="AJ12" s="152">
        <f t="shared" si="14"/>
        <v>2329300</v>
      </c>
      <c r="AK12" s="171"/>
      <c r="AL12" s="171"/>
      <c r="AM12" s="171"/>
      <c r="AN12" s="171"/>
      <c r="AO12" s="172"/>
      <c r="AP12" s="172"/>
      <c r="AQ12" s="184"/>
      <c r="AR12" s="173">
        <f t="shared" si="15"/>
        <v>2329300</v>
      </c>
      <c r="AS12" s="173">
        <f t="shared" si="16"/>
        <v>329363.87000000011</v>
      </c>
      <c r="AT12" s="173">
        <f t="shared" si="17"/>
        <v>2658663.87</v>
      </c>
      <c r="AU12" s="173">
        <f t="shared" si="18"/>
        <v>0</v>
      </c>
      <c r="AV12" s="173">
        <f t="shared" si="19"/>
        <v>2329300</v>
      </c>
      <c r="AW12" s="173">
        <f t="shared" si="20"/>
        <v>2329300</v>
      </c>
      <c r="AX12" s="184"/>
      <c r="AY12" s="184"/>
      <c r="AZ12" s="184"/>
      <c r="BA12" s="184"/>
      <c r="BB12" s="173">
        <f t="shared" si="21"/>
        <v>0</v>
      </c>
      <c r="BC12" s="4">
        <f t="shared" si="22"/>
        <v>2329300</v>
      </c>
      <c r="BD12" s="4"/>
      <c r="BE12" s="4"/>
      <c r="BF12" s="4"/>
      <c r="BG12" s="4"/>
      <c r="BH12" s="4">
        <f>SUM(BD12:BF12)</f>
        <v>0</v>
      </c>
      <c r="BI12" s="171"/>
      <c r="BJ12" s="152">
        <f t="shared" si="23"/>
        <v>0</v>
      </c>
      <c r="BK12" s="4">
        <f t="shared" si="24"/>
        <v>2329300</v>
      </c>
      <c r="BL12" s="4">
        <f t="shared" si="25"/>
        <v>0</v>
      </c>
      <c r="BM12" s="4"/>
      <c r="BN12" s="4"/>
      <c r="BO12" s="4"/>
      <c r="BP12" s="4"/>
    </row>
    <row r="13" spans="1:68" s="170" customFormat="1" ht="30" customHeight="1">
      <c r="A13" s="171">
        <v>8</v>
      </c>
      <c r="B13" s="171">
        <v>1704</v>
      </c>
      <c r="C13" s="171" t="s">
        <v>75</v>
      </c>
      <c r="D13" s="152">
        <v>5784000</v>
      </c>
      <c r="E13" s="152">
        <v>5784000</v>
      </c>
      <c r="F13" s="152">
        <f t="shared" si="0"/>
        <v>0</v>
      </c>
      <c r="G13" s="152">
        <v>40000</v>
      </c>
      <c r="H13" s="152">
        <v>37960.730000000003</v>
      </c>
      <c r="I13" s="152"/>
      <c r="J13" s="152"/>
      <c r="K13" s="152">
        <f t="shared" si="1"/>
        <v>0</v>
      </c>
      <c r="L13" s="152">
        <f t="shared" si="2"/>
        <v>37960.730000000003</v>
      </c>
      <c r="M13" s="152">
        <f t="shared" si="3"/>
        <v>2039.2699999999968</v>
      </c>
      <c r="N13" s="152">
        <v>1540000</v>
      </c>
      <c r="O13" s="152">
        <f t="shared" si="10"/>
        <v>1540000</v>
      </c>
      <c r="P13" s="152">
        <f t="shared" si="11"/>
        <v>4204000</v>
      </c>
      <c r="Q13" s="152">
        <f t="shared" si="4"/>
        <v>2039.2699999999968</v>
      </c>
      <c r="R13" s="152"/>
      <c r="S13" s="152"/>
      <c r="T13" s="152">
        <f t="shared" si="5"/>
        <v>0</v>
      </c>
      <c r="U13" s="152">
        <f t="shared" si="6"/>
        <v>0</v>
      </c>
      <c r="V13" s="152">
        <f t="shared" si="7"/>
        <v>1540000</v>
      </c>
      <c r="W13" s="152">
        <f t="shared" si="8"/>
        <v>1540000</v>
      </c>
      <c r="X13" s="152"/>
      <c r="Y13" s="152"/>
      <c r="Z13" s="152"/>
      <c r="AA13" s="171"/>
      <c r="AB13" s="420" t="s">
        <v>454</v>
      </c>
      <c r="AC13" s="171">
        <v>930000</v>
      </c>
      <c r="AD13" s="382"/>
      <c r="AE13" s="382"/>
      <c r="AF13" s="382"/>
      <c r="AG13" s="382"/>
      <c r="AH13" s="152">
        <f t="shared" si="12"/>
        <v>0</v>
      </c>
      <c r="AI13" s="152">
        <f t="shared" si="13"/>
        <v>1540000</v>
      </c>
      <c r="AJ13" s="152">
        <f t="shared" si="14"/>
        <v>1540000</v>
      </c>
      <c r="AK13" s="171"/>
      <c r="AL13" s="171"/>
      <c r="AM13" s="171"/>
      <c r="AN13" s="171"/>
      <c r="AO13" s="172"/>
      <c r="AP13" s="172"/>
      <c r="AQ13" s="184"/>
      <c r="AR13" s="173">
        <f t="shared" si="15"/>
        <v>1540000</v>
      </c>
      <c r="AS13" s="173">
        <f t="shared" si="16"/>
        <v>2039.2699999999968</v>
      </c>
      <c r="AT13" s="173">
        <f t="shared" si="17"/>
        <v>1542039.27</v>
      </c>
      <c r="AU13" s="173">
        <f t="shared" si="18"/>
        <v>4204000</v>
      </c>
      <c r="AV13" s="173">
        <f t="shared" si="19"/>
        <v>1540000</v>
      </c>
      <c r="AW13" s="173">
        <f t="shared" si="20"/>
        <v>1540000</v>
      </c>
      <c r="AX13" s="184"/>
      <c r="AY13" s="184"/>
      <c r="AZ13" s="184"/>
      <c r="BA13" s="184"/>
      <c r="BB13" s="173">
        <f t="shared" si="21"/>
        <v>0</v>
      </c>
      <c r="BC13" s="4">
        <f t="shared" si="22"/>
        <v>1540000</v>
      </c>
      <c r="BD13" s="4"/>
      <c r="BE13" s="4"/>
      <c r="BF13" s="4"/>
      <c r="BG13" s="4"/>
      <c r="BH13" s="4">
        <f t="shared" ref="BH13:BH22" si="26">SUM(BD13:BF13)</f>
        <v>0</v>
      </c>
      <c r="BI13" s="171"/>
      <c r="BJ13" s="152">
        <f t="shared" si="23"/>
        <v>0</v>
      </c>
      <c r="BK13" s="4">
        <f t="shared" si="24"/>
        <v>1540000</v>
      </c>
      <c r="BL13" s="4">
        <f t="shared" si="25"/>
        <v>0</v>
      </c>
      <c r="BM13" s="4"/>
      <c r="BN13" s="4"/>
      <c r="BO13" s="4"/>
      <c r="BP13" s="4"/>
    </row>
    <row r="14" spans="1:68" s="170" customFormat="1" ht="30" customHeight="1">
      <c r="A14" s="171">
        <v>9</v>
      </c>
      <c r="B14" s="171">
        <v>1791</v>
      </c>
      <c r="C14" s="171" t="s">
        <v>76</v>
      </c>
      <c r="D14" s="152">
        <v>570000</v>
      </c>
      <c r="E14" s="152">
        <v>570000</v>
      </c>
      <c r="F14" s="152">
        <f t="shared" si="0"/>
        <v>0</v>
      </c>
      <c r="G14" s="152">
        <v>500000</v>
      </c>
      <c r="H14" s="152">
        <v>404150</v>
      </c>
      <c r="I14" s="152"/>
      <c r="J14" s="152"/>
      <c r="K14" s="152">
        <f t="shared" si="1"/>
        <v>0</v>
      </c>
      <c r="L14" s="152">
        <f t="shared" si="2"/>
        <v>404150</v>
      </c>
      <c r="M14" s="152">
        <f t="shared" si="3"/>
        <v>95850</v>
      </c>
      <c r="N14" s="152"/>
      <c r="O14" s="152">
        <f t="shared" si="10"/>
        <v>0</v>
      </c>
      <c r="P14" s="152">
        <f t="shared" si="11"/>
        <v>70000</v>
      </c>
      <c r="Q14" s="152">
        <f t="shared" si="4"/>
        <v>95850</v>
      </c>
      <c r="R14" s="152"/>
      <c r="S14" s="152"/>
      <c r="T14" s="152">
        <f t="shared" si="5"/>
        <v>0</v>
      </c>
      <c r="U14" s="152">
        <f t="shared" si="6"/>
        <v>0</v>
      </c>
      <c r="V14" s="152">
        <f t="shared" si="7"/>
        <v>0</v>
      </c>
      <c r="W14" s="152">
        <f t="shared" si="8"/>
        <v>0</v>
      </c>
      <c r="X14" s="152"/>
      <c r="Y14" s="152"/>
      <c r="Z14" s="152"/>
      <c r="AA14" s="171"/>
      <c r="AB14" s="419" t="s">
        <v>782</v>
      </c>
      <c r="AC14" s="171">
        <v>930000</v>
      </c>
      <c r="AD14" s="382"/>
      <c r="AE14" s="382"/>
      <c r="AF14" s="382"/>
      <c r="AG14" s="382"/>
      <c r="AH14" s="152">
        <f t="shared" si="12"/>
        <v>0</v>
      </c>
      <c r="AI14" s="152">
        <f t="shared" si="13"/>
        <v>0</v>
      </c>
      <c r="AJ14" s="152">
        <f t="shared" si="14"/>
        <v>0</v>
      </c>
      <c r="AK14" s="171"/>
      <c r="AL14" s="171"/>
      <c r="AM14" s="171"/>
      <c r="AN14" s="171"/>
      <c r="AO14" s="172"/>
      <c r="AP14" s="172"/>
      <c r="AQ14" s="184"/>
      <c r="AR14" s="173">
        <f t="shared" si="15"/>
        <v>0</v>
      </c>
      <c r="AS14" s="173">
        <f t="shared" si="16"/>
        <v>95850</v>
      </c>
      <c r="AT14" s="173">
        <f t="shared" si="17"/>
        <v>95850</v>
      </c>
      <c r="AU14" s="173">
        <f t="shared" si="18"/>
        <v>70000</v>
      </c>
      <c r="AV14" s="173">
        <f t="shared" si="19"/>
        <v>0</v>
      </c>
      <c r="AW14" s="173">
        <f t="shared" si="20"/>
        <v>0</v>
      </c>
      <c r="AX14" s="184"/>
      <c r="AY14" s="184"/>
      <c r="AZ14" s="184"/>
      <c r="BA14" s="184"/>
      <c r="BB14" s="173">
        <f t="shared" si="21"/>
        <v>0</v>
      </c>
      <c r="BC14" s="4">
        <f t="shared" si="22"/>
        <v>0</v>
      </c>
      <c r="BD14" s="4"/>
      <c r="BE14" s="4"/>
      <c r="BF14" s="4"/>
      <c r="BG14" s="4"/>
      <c r="BH14" s="4">
        <f t="shared" si="26"/>
        <v>0</v>
      </c>
      <c r="BI14" s="171"/>
      <c r="BJ14" s="152">
        <f t="shared" si="23"/>
        <v>0</v>
      </c>
      <c r="BK14" s="4">
        <f t="shared" si="24"/>
        <v>0</v>
      </c>
      <c r="BL14" s="4">
        <f t="shared" si="25"/>
        <v>0</v>
      </c>
      <c r="BM14" s="4"/>
      <c r="BN14" s="4"/>
      <c r="BO14" s="4"/>
      <c r="BP14" s="4"/>
    </row>
    <row r="15" spans="1:68" s="170" customFormat="1" ht="30" customHeight="1">
      <c r="A15" s="171">
        <v>10</v>
      </c>
      <c r="B15" s="171">
        <v>1801</v>
      </c>
      <c r="C15" s="171" t="s">
        <v>1574</v>
      </c>
      <c r="D15" s="152">
        <v>36000000</v>
      </c>
      <c r="E15" s="152">
        <v>36000000</v>
      </c>
      <c r="F15" s="152">
        <f t="shared" si="0"/>
        <v>0</v>
      </c>
      <c r="G15" s="152">
        <v>36000000</v>
      </c>
      <c r="H15" s="152">
        <v>30393685.890000001</v>
      </c>
      <c r="I15" s="152"/>
      <c r="J15" s="152"/>
      <c r="K15" s="152">
        <f t="shared" si="1"/>
        <v>0</v>
      </c>
      <c r="L15" s="152">
        <f t="shared" si="2"/>
        <v>30393685.890000001</v>
      </c>
      <c r="M15" s="152">
        <f t="shared" si="3"/>
        <v>5606314.1099999994</v>
      </c>
      <c r="N15" s="152"/>
      <c r="O15" s="152">
        <f t="shared" si="10"/>
        <v>0</v>
      </c>
      <c r="P15" s="152">
        <f t="shared" si="11"/>
        <v>0</v>
      </c>
      <c r="Q15" s="152">
        <f t="shared" si="4"/>
        <v>5606314.1099999994</v>
      </c>
      <c r="R15" s="152"/>
      <c r="S15" s="152"/>
      <c r="T15" s="152">
        <f t="shared" si="5"/>
        <v>0</v>
      </c>
      <c r="U15" s="152">
        <f t="shared" si="6"/>
        <v>0</v>
      </c>
      <c r="V15" s="152">
        <f t="shared" si="7"/>
        <v>0</v>
      </c>
      <c r="W15" s="152">
        <f t="shared" si="8"/>
        <v>0</v>
      </c>
      <c r="X15" s="152"/>
      <c r="Y15" s="152"/>
      <c r="Z15" s="152"/>
      <c r="AA15" s="171"/>
      <c r="AB15" s="419" t="s">
        <v>491</v>
      </c>
      <c r="AC15" s="171">
        <v>930000</v>
      </c>
      <c r="AD15" s="382"/>
      <c r="AE15" s="382"/>
      <c r="AF15" s="382"/>
      <c r="AG15" s="382"/>
      <c r="AH15" s="152">
        <f t="shared" si="12"/>
        <v>0</v>
      </c>
      <c r="AI15" s="152">
        <f t="shared" si="13"/>
        <v>0</v>
      </c>
      <c r="AJ15" s="152">
        <f t="shared" si="14"/>
        <v>0</v>
      </c>
      <c r="AK15" s="171"/>
      <c r="AL15" s="171"/>
      <c r="AM15" s="171"/>
      <c r="AN15" s="171"/>
      <c r="AO15" s="172"/>
      <c r="AP15" s="172"/>
      <c r="AQ15" s="184"/>
      <c r="AR15" s="173">
        <f t="shared" si="15"/>
        <v>0</v>
      </c>
      <c r="AS15" s="173">
        <f t="shared" si="16"/>
        <v>5606314.1099999994</v>
      </c>
      <c r="AT15" s="173">
        <f t="shared" si="17"/>
        <v>5606314.1099999994</v>
      </c>
      <c r="AU15" s="173">
        <f t="shared" si="18"/>
        <v>0</v>
      </c>
      <c r="AV15" s="173">
        <f t="shared" si="19"/>
        <v>0</v>
      </c>
      <c r="AW15" s="173">
        <f t="shared" si="20"/>
        <v>0</v>
      </c>
      <c r="AX15" s="184"/>
      <c r="AY15" s="184"/>
      <c r="AZ15" s="184"/>
      <c r="BA15" s="184"/>
      <c r="BB15" s="173">
        <f t="shared" si="21"/>
        <v>0</v>
      </c>
      <c r="BC15" s="4">
        <f t="shared" si="22"/>
        <v>0</v>
      </c>
      <c r="BD15" s="4"/>
      <c r="BE15" s="4"/>
      <c r="BF15" s="4"/>
      <c r="BG15" s="4"/>
      <c r="BH15" s="4">
        <f t="shared" si="26"/>
        <v>0</v>
      </c>
      <c r="BI15" s="171"/>
      <c r="BJ15" s="152">
        <f t="shared" si="23"/>
        <v>0</v>
      </c>
      <c r="BK15" s="4">
        <f t="shared" si="24"/>
        <v>0</v>
      </c>
      <c r="BL15" s="4">
        <f t="shared" si="25"/>
        <v>0</v>
      </c>
      <c r="BM15" s="4"/>
      <c r="BN15" s="4"/>
      <c r="BO15" s="4"/>
      <c r="BP15" s="4"/>
    </row>
    <row r="16" spans="1:68" s="170" customFormat="1" ht="30" customHeight="1">
      <c r="A16" s="171">
        <v>11</v>
      </c>
      <c r="B16" s="171">
        <v>1983</v>
      </c>
      <c r="C16" s="171" t="s">
        <v>165</v>
      </c>
      <c r="D16" s="152">
        <v>800000</v>
      </c>
      <c r="E16" s="152">
        <v>800000</v>
      </c>
      <c r="F16" s="152">
        <f t="shared" si="0"/>
        <v>0</v>
      </c>
      <c r="G16" s="152">
        <v>100000</v>
      </c>
      <c r="H16" s="152">
        <v>3074</v>
      </c>
      <c r="I16" s="152"/>
      <c r="J16" s="152">
        <v>8394.75</v>
      </c>
      <c r="K16" s="152">
        <f t="shared" si="1"/>
        <v>8394.75</v>
      </c>
      <c r="L16" s="152">
        <f t="shared" si="2"/>
        <v>11468.75</v>
      </c>
      <c r="M16" s="152">
        <f t="shared" si="3"/>
        <v>88531.25</v>
      </c>
      <c r="N16" s="152"/>
      <c r="O16" s="152">
        <f t="shared" si="10"/>
        <v>0</v>
      </c>
      <c r="P16" s="152">
        <f t="shared" si="11"/>
        <v>700000</v>
      </c>
      <c r="Q16" s="152">
        <f t="shared" si="4"/>
        <v>88531.25</v>
      </c>
      <c r="R16" s="152"/>
      <c r="S16" s="152"/>
      <c r="T16" s="152">
        <f t="shared" si="5"/>
        <v>0</v>
      </c>
      <c r="U16" s="152">
        <f t="shared" si="6"/>
        <v>0</v>
      </c>
      <c r="V16" s="152">
        <f t="shared" si="7"/>
        <v>0</v>
      </c>
      <c r="W16" s="152">
        <f t="shared" si="8"/>
        <v>0</v>
      </c>
      <c r="X16" s="152"/>
      <c r="Y16" s="152"/>
      <c r="Z16" s="152"/>
      <c r="AA16" s="171"/>
      <c r="AB16" s="420" t="s">
        <v>340</v>
      </c>
      <c r="AC16" s="171">
        <v>930000</v>
      </c>
      <c r="AD16" s="382"/>
      <c r="AE16" s="382"/>
      <c r="AF16" s="382"/>
      <c r="AG16" s="382"/>
      <c r="AH16" s="152">
        <f t="shared" si="12"/>
        <v>0</v>
      </c>
      <c r="AI16" s="152">
        <f t="shared" si="13"/>
        <v>0</v>
      </c>
      <c r="AJ16" s="152">
        <f t="shared" si="14"/>
        <v>0</v>
      </c>
      <c r="AK16" s="171"/>
      <c r="AL16" s="171"/>
      <c r="AM16" s="171"/>
      <c r="AN16" s="171"/>
      <c r="AO16" s="172"/>
      <c r="AP16" s="172"/>
      <c r="AQ16" s="184"/>
      <c r="AR16" s="173">
        <f t="shared" si="15"/>
        <v>0</v>
      </c>
      <c r="AS16" s="173">
        <f t="shared" si="16"/>
        <v>88531.25</v>
      </c>
      <c r="AT16" s="173">
        <f t="shared" si="17"/>
        <v>88531.25</v>
      </c>
      <c r="AU16" s="173">
        <f t="shared" si="18"/>
        <v>700000</v>
      </c>
      <c r="AV16" s="173">
        <f t="shared" si="19"/>
        <v>0</v>
      </c>
      <c r="AW16" s="173">
        <f t="shared" si="20"/>
        <v>0</v>
      </c>
      <c r="AX16" s="184"/>
      <c r="AY16" s="184"/>
      <c r="AZ16" s="184"/>
      <c r="BA16" s="184"/>
      <c r="BB16" s="173">
        <f t="shared" si="21"/>
        <v>0</v>
      </c>
      <c r="BC16" s="4">
        <f t="shared" si="22"/>
        <v>0</v>
      </c>
      <c r="BD16" s="4"/>
      <c r="BE16" s="4"/>
      <c r="BF16" s="4"/>
      <c r="BG16" s="4"/>
      <c r="BH16" s="4">
        <f t="shared" si="26"/>
        <v>0</v>
      </c>
      <c r="BI16" s="171"/>
      <c r="BJ16" s="152">
        <f t="shared" si="23"/>
        <v>0</v>
      </c>
      <c r="BK16" s="4">
        <f t="shared" si="24"/>
        <v>0</v>
      </c>
      <c r="BL16" s="4">
        <f t="shared" si="25"/>
        <v>0</v>
      </c>
      <c r="BM16" s="4"/>
      <c r="BN16" s="4"/>
      <c r="BO16" s="4"/>
      <c r="BP16" s="4"/>
    </row>
    <row r="17" spans="1:68" s="170" customFormat="1" ht="30" customHeight="1">
      <c r="A17" s="171">
        <v>12</v>
      </c>
      <c r="B17" s="171">
        <v>1985</v>
      </c>
      <c r="C17" s="171" t="s">
        <v>166</v>
      </c>
      <c r="D17" s="152">
        <v>600000</v>
      </c>
      <c r="E17" s="152">
        <v>600000</v>
      </c>
      <c r="F17" s="152">
        <f t="shared" si="0"/>
        <v>0</v>
      </c>
      <c r="G17" s="152">
        <v>100000</v>
      </c>
      <c r="H17" s="152">
        <v>0</v>
      </c>
      <c r="I17" s="152"/>
      <c r="J17" s="152"/>
      <c r="K17" s="152">
        <f t="shared" si="1"/>
        <v>0</v>
      </c>
      <c r="L17" s="152">
        <f t="shared" si="2"/>
        <v>0</v>
      </c>
      <c r="M17" s="152">
        <f t="shared" si="3"/>
        <v>100000</v>
      </c>
      <c r="N17" s="152"/>
      <c r="O17" s="152">
        <f t="shared" si="10"/>
        <v>0</v>
      </c>
      <c r="P17" s="152">
        <f t="shared" si="11"/>
        <v>500000</v>
      </c>
      <c r="Q17" s="152">
        <f t="shared" si="4"/>
        <v>100000</v>
      </c>
      <c r="R17" s="152"/>
      <c r="S17" s="152"/>
      <c r="T17" s="152">
        <f t="shared" si="5"/>
        <v>0</v>
      </c>
      <c r="U17" s="152">
        <f t="shared" si="6"/>
        <v>0</v>
      </c>
      <c r="V17" s="152">
        <f t="shared" si="7"/>
        <v>0</v>
      </c>
      <c r="W17" s="152">
        <f t="shared" si="8"/>
        <v>0</v>
      </c>
      <c r="X17" s="152"/>
      <c r="Y17" s="152"/>
      <c r="Z17" s="152"/>
      <c r="AA17" s="171"/>
      <c r="AB17" s="420" t="s">
        <v>341</v>
      </c>
      <c r="AC17" s="171">
        <v>930000</v>
      </c>
      <c r="AD17" s="382"/>
      <c r="AE17" s="382"/>
      <c r="AF17" s="382"/>
      <c r="AG17" s="382"/>
      <c r="AH17" s="152">
        <f t="shared" si="12"/>
        <v>0</v>
      </c>
      <c r="AI17" s="152">
        <f t="shared" si="13"/>
        <v>0</v>
      </c>
      <c r="AJ17" s="152">
        <f t="shared" si="14"/>
        <v>0</v>
      </c>
      <c r="AK17" s="171"/>
      <c r="AL17" s="171"/>
      <c r="AM17" s="171"/>
      <c r="AN17" s="171"/>
      <c r="AO17" s="448"/>
      <c r="AP17" s="448"/>
      <c r="AQ17" s="184"/>
      <c r="AR17" s="173">
        <f t="shared" si="15"/>
        <v>0</v>
      </c>
      <c r="AS17" s="173">
        <f t="shared" si="16"/>
        <v>100000</v>
      </c>
      <c r="AT17" s="173">
        <f t="shared" si="17"/>
        <v>100000</v>
      </c>
      <c r="AU17" s="173">
        <f t="shared" si="18"/>
        <v>500000</v>
      </c>
      <c r="AV17" s="173">
        <f t="shared" si="19"/>
        <v>0</v>
      </c>
      <c r="AW17" s="173">
        <f t="shared" si="20"/>
        <v>0</v>
      </c>
      <c r="AX17" s="184"/>
      <c r="AY17" s="184"/>
      <c r="AZ17" s="184"/>
      <c r="BA17" s="184"/>
      <c r="BB17" s="173">
        <f t="shared" si="21"/>
        <v>0</v>
      </c>
      <c r="BC17" s="4">
        <f t="shared" si="22"/>
        <v>0</v>
      </c>
      <c r="BD17" s="4"/>
      <c r="BE17" s="4"/>
      <c r="BF17" s="4"/>
      <c r="BG17" s="4"/>
      <c r="BH17" s="4">
        <f t="shared" si="26"/>
        <v>0</v>
      </c>
      <c r="BI17" s="171"/>
      <c r="BJ17" s="152">
        <f t="shared" si="23"/>
        <v>0</v>
      </c>
      <c r="BK17" s="4">
        <f t="shared" si="24"/>
        <v>0</v>
      </c>
      <c r="BL17" s="4">
        <f t="shared" si="25"/>
        <v>0</v>
      </c>
      <c r="BM17" s="4"/>
      <c r="BN17" s="4"/>
      <c r="BO17" s="4"/>
      <c r="BP17" s="4"/>
    </row>
    <row r="18" spans="1:68" s="170" customFormat="1" ht="30" customHeight="1">
      <c r="A18" s="171">
        <v>13</v>
      </c>
      <c r="B18" s="171">
        <v>1993</v>
      </c>
      <c r="C18" s="171" t="s">
        <v>186</v>
      </c>
      <c r="D18" s="152">
        <v>6000000</v>
      </c>
      <c r="E18" s="152">
        <v>6000000</v>
      </c>
      <c r="F18" s="152">
        <f t="shared" si="0"/>
        <v>0</v>
      </c>
      <c r="G18" s="152">
        <v>2050000</v>
      </c>
      <c r="H18" s="152">
        <v>1121501</v>
      </c>
      <c r="I18" s="152">
        <v>169650</v>
      </c>
      <c r="J18" s="152"/>
      <c r="K18" s="152">
        <f t="shared" si="1"/>
        <v>169650</v>
      </c>
      <c r="L18" s="152">
        <f t="shared" si="2"/>
        <v>1291151</v>
      </c>
      <c r="M18" s="152">
        <f t="shared" si="3"/>
        <v>758849</v>
      </c>
      <c r="N18" s="152">
        <v>3950000</v>
      </c>
      <c r="O18" s="152">
        <f t="shared" si="10"/>
        <v>3950000</v>
      </c>
      <c r="P18" s="152">
        <f t="shared" si="11"/>
        <v>0</v>
      </c>
      <c r="Q18" s="152">
        <f t="shared" si="4"/>
        <v>758849</v>
      </c>
      <c r="R18" s="152"/>
      <c r="S18" s="152"/>
      <c r="T18" s="152">
        <f t="shared" si="5"/>
        <v>0</v>
      </c>
      <c r="U18" s="152">
        <f t="shared" si="6"/>
        <v>0</v>
      </c>
      <c r="V18" s="152">
        <f t="shared" si="7"/>
        <v>3950000</v>
      </c>
      <c r="W18" s="152">
        <f t="shared" si="8"/>
        <v>3950000</v>
      </c>
      <c r="X18" s="152"/>
      <c r="Y18" s="152"/>
      <c r="Z18" s="152"/>
      <c r="AA18" s="171"/>
      <c r="AB18" s="419" t="s">
        <v>455</v>
      </c>
      <c r="AC18" s="171">
        <v>930000</v>
      </c>
      <c r="AD18" s="382"/>
      <c r="AE18" s="382"/>
      <c r="AF18" s="382"/>
      <c r="AG18" s="382"/>
      <c r="AH18" s="152">
        <f t="shared" si="12"/>
        <v>0</v>
      </c>
      <c r="AI18" s="152">
        <f t="shared" si="13"/>
        <v>3950000</v>
      </c>
      <c r="AJ18" s="152">
        <f t="shared" si="14"/>
        <v>3950000</v>
      </c>
      <c r="AK18" s="171"/>
      <c r="AL18" s="171"/>
      <c r="AM18" s="171"/>
      <c r="AN18" s="171"/>
      <c r="AO18" s="448"/>
      <c r="AP18" s="448"/>
      <c r="AQ18" s="184"/>
      <c r="AR18" s="173">
        <f t="shared" si="15"/>
        <v>3950000</v>
      </c>
      <c r="AS18" s="173">
        <f t="shared" si="16"/>
        <v>758849</v>
      </c>
      <c r="AT18" s="173">
        <f t="shared" si="17"/>
        <v>4708849</v>
      </c>
      <c r="AU18" s="173">
        <f t="shared" si="18"/>
        <v>0</v>
      </c>
      <c r="AV18" s="173">
        <f t="shared" si="19"/>
        <v>3950000</v>
      </c>
      <c r="AW18" s="173">
        <f t="shared" si="20"/>
        <v>3950000</v>
      </c>
      <c r="AX18" s="184"/>
      <c r="AY18" s="184"/>
      <c r="AZ18" s="184"/>
      <c r="BA18" s="184"/>
      <c r="BB18" s="173">
        <f t="shared" si="21"/>
        <v>0</v>
      </c>
      <c r="BC18" s="4">
        <f t="shared" si="22"/>
        <v>3950000</v>
      </c>
      <c r="BD18" s="4"/>
      <c r="BE18" s="4"/>
      <c r="BF18" s="4">
        <v>3950000</v>
      </c>
      <c r="BG18" s="4"/>
      <c r="BH18" s="4">
        <f t="shared" si="26"/>
        <v>3950000</v>
      </c>
      <c r="BI18" s="171"/>
      <c r="BJ18" s="152">
        <f t="shared" si="23"/>
        <v>3950000</v>
      </c>
      <c r="BK18" s="4">
        <f t="shared" si="24"/>
        <v>0</v>
      </c>
      <c r="BL18" s="4">
        <f t="shared" si="25"/>
        <v>3950000</v>
      </c>
      <c r="BM18" s="4"/>
      <c r="BN18" s="4"/>
      <c r="BO18" s="4"/>
      <c r="BP18" s="4"/>
    </row>
    <row r="19" spans="1:68" s="170" customFormat="1" ht="30" customHeight="1">
      <c r="A19" s="171">
        <v>14</v>
      </c>
      <c r="B19" s="171">
        <v>2055</v>
      </c>
      <c r="C19" s="171" t="s">
        <v>448</v>
      </c>
      <c r="D19" s="152">
        <v>220000</v>
      </c>
      <c r="E19" s="152">
        <v>220000</v>
      </c>
      <c r="F19" s="152">
        <f t="shared" si="0"/>
        <v>0</v>
      </c>
      <c r="G19" s="152">
        <v>200000</v>
      </c>
      <c r="H19" s="152">
        <v>114470</v>
      </c>
      <c r="I19" s="152"/>
      <c r="J19" s="152"/>
      <c r="K19" s="152">
        <f t="shared" si="1"/>
        <v>0</v>
      </c>
      <c r="L19" s="152">
        <f t="shared" si="2"/>
        <v>114470</v>
      </c>
      <c r="M19" s="152">
        <f t="shared" si="3"/>
        <v>85530</v>
      </c>
      <c r="N19" s="152"/>
      <c r="O19" s="152">
        <f t="shared" si="10"/>
        <v>0</v>
      </c>
      <c r="P19" s="152">
        <f t="shared" si="11"/>
        <v>20000</v>
      </c>
      <c r="Q19" s="152">
        <f t="shared" si="4"/>
        <v>85530</v>
      </c>
      <c r="R19" s="152"/>
      <c r="S19" s="152"/>
      <c r="T19" s="152">
        <f t="shared" si="5"/>
        <v>0</v>
      </c>
      <c r="U19" s="152">
        <f t="shared" si="6"/>
        <v>0</v>
      </c>
      <c r="V19" s="152">
        <f t="shared" si="7"/>
        <v>0</v>
      </c>
      <c r="W19" s="152">
        <f t="shared" si="8"/>
        <v>0</v>
      </c>
      <c r="X19" s="152"/>
      <c r="Y19" s="152"/>
      <c r="Z19" s="152"/>
      <c r="AA19" s="171"/>
      <c r="AB19" s="419" t="s">
        <v>492</v>
      </c>
      <c r="AC19" s="171">
        <v>930000</v>
      </c>
      <c r="AD19" s="382"/>
      <c r="AE19" s="382"/>
      <c r="AF19" s="382"/>
      <c r="AG19" s="382"/>
      <c r="AH19" s="152">
        <f t="shared" si="12"/>
        <v>0</v>
      </c>
      <c r="AI19" s="152">
        <f t="shared" si="13"/>
        <v>0</v>
      </c>
      <c r="AJ19" s="152">
        <f t="shared" si="14"/>
        <v>0</v>
      </c>
      <c r="AK19" s="171"/>
      <c r="AL19" s="171"/>
      <c r="AM19" s="171"/>
      <c r="AN19" s="171"/>
      <c r="AO19" s="40"/>
      <c r="AP19" s="40"/>
      <c r="AQ19" s="184"/>
      <c r="AR19" s="173">
        <f t="shared" si="15"/>
        <v>0</v>
      </c>
      <c r="AS19" s="173">
        <f t="shared" si="16"/>
        <v>85530</v>
      </c>
      <c r="AT19" s="173">
        <f t="shared" si="17"/>
        <v>85530</v>
      </c>
      <c r="AU19" s="173">
        <f t="shared" si="18"/>
        <v>20000</v>
      </c>
      <c r="AV19" s="173">
        <f t="shared" si="19"/>
        <v>0</v>
      </c>
      <c r="AW19" s="173">
        <f t="shared" si="20"/>
        <v>0</v>
      </c>
      <c r="AX19" s="184"/>
      <c r="AY19" s="184"/>
      <c r="AZ19" s="184"/>
      <c r="BA19" s="184"/>
      <c r="BB19" s="173">
        <f t="shared" si="21"/>
        <v>0</v>
      </c>
      <c r="BC19" s="4">
        <f t="shared" si="22"/>
        <v>0</v>
      </c>
      <c r="BD19" s="4"/>
      <c r="BE19" s="4"/>
      <c r="BF19" s="4"/>
      <c r="BG19" s="4"/>
      <c r="BH19" s="4">
        <f t="shared" si="26"/>
        <v>0</v>
      </c>
      <c r="BI19" s="171"/>
      <c r="BJ19" s="152">
        <f t="shared" si="23"/>
        <v>0</v>
      </c>
      <c r="BK19" s="4">
        <f t="shared" si="24"/>
        <v>0</v>
      </c>
      <c r="BL19" s="4">
        <f t="shared" si="25"/>
        <v>0</v>
      </c>
      <c r="BM19" s="4"/>
      <c r="BN19" s="4"/>
      <c r="BO19" s="4"/>
      <c r="BP19" s="4"/>
    </row>
    <row r="20" spans="1:68" s="170" customFormat="1" ht="30" customHeight="1">
      <c r="A20" s="171">
        <v>15</v>
      </c>
      <c r="B20" s="171">
        <v>2056</v>
      </c>
      <c r="C20" s="171" t="s">
        <v>449</v>
      </c>
      <c r="D20" s="152">
        <v>1400000</v>
      </c>
      <c r="E20" s="152">
        <v>1400000</v>
      </c>
      <c r="F20" s="152">
        <f t="shared" si="0"/>
        <v>0</v>
      </c>
      <c r="G20" s="152">
        <v>580000</v>
      </c>
      <c r="H20" s="152">
        <v>347498</v>
      </c>
      <c r="I20" s="152"/>
      <c r="J20" s="152"/>
      <c r="K20" s="152">
        <f t="shared" si="1"/>
        <v>0</v>
      </c>
      <c r="L20" s="152">
        <f t="shared" si="2"/>
        <v>347498</v>
      </c>
      <c r="M20" s="152">
        <f t="shared" si="3"/>
        <v>232502</v>
      </c>
      <c r="N20" s="152">
        <v>400000</v>
      </c>
      <c r="O20" s="152">
        <f t="shared" si="10"/>
        <v>400000</v>
      </c>
      <c r="P20" s="152">
        <f t="shared" si="11"/>
        <v>420000</v>
      </c>
      <c r="Q20" s="152">
        <f t="shared" si="4"/>
        <v>232502</v>
      </c>
      <c r="R20" s="152"/>
      <c r="S20" s="152"/>
      <c r="T20" s="152">
        <f t="shared" si="5"/>
        <v>0</v>
      </c>
      <c r="U20" s="152">
        <f t="shared" si="6"/>
        <v>0</v>
      </c>
      <c r="V20" s="152">
        <f t="shared" si="7"/>
        <v>400000</v>
      </c>
      <c r="W20" s="152">
        <f t="shared" si="8"/>
        <v>400000</v>
      </c>
      <c r="X20" s="152"/>
      <c r="Y20" s="152"/>
      <c r="Z20" s="152"/>
      <c r="AA20" s="171"/>
      <c r="AB20" s="420" t="s">
        <v>342</v>
      </c>
      <c r="AC20" s="171">
        <v>930000</v>
      </c>
      <c r="AD20" s="382"/>
      <c r="AE20" s="382"/>
      <c r="AF20" s="382"/>
      <c r="AG20" s="382"/>
      <c r="AH20" s="152">
        <f t="shared" si="12"/>
        <v>0</v>
      </c>
      <c r="AI20" s="152">
        <f t="shared" si="13"/>
        <v>400000</v>
      </c>
      <c r="AJ20" s="152">
        <f t="shared" si="14"/>
        <v>400000</v>
      </c>
      <c r="AK20" s="171"/>
      <c r="AL20" s="171"/>
      <c r="AM20" s="171"/>
      <c r="AN20" s="171"/>
      <c r="AO20" s="40"/>
      <c r="AP20" s="40"/>
      <c r="AQ20" s="184"/>
      <c r="AR20" s="173">
        <f t="shared" si="15"/>
        <v>400000</v>
      </c>
      <c r="AS20" s="173">
        <f t="shared" si="16"/>
        <v>232502</v>
      </c>
      <c r="AT20" s="173">
        <f t="shared" si="17"/>
        <v>632502</v>
      </c>
      <c r="AU20" s="173">
        <f t="shared" si="18"/>
        <v>420000</v>
      </c>
      <c r="AV20" s="173">
        <f t="shared" si="19"/>
        <v>400000</v>
      </c>
      <c r="AW20" s="173">
        <f t="shared" si="20"/>
        <v>400000</v>
      </c>
      <c r="AX20" s="184"/>
      <c r="AY20" s="184"/>
      <c r="AZ20" s="184"/>
      <c r="BA20" s="184"/>
      <c r="BB20" s="173">
        <f t="shared" si="21"/>
        <v>0</v>
      </c>
      <c r="BC20" s="4">
        <f t="shared" si="22"/>
        <v>400000</v>
      </c>
      <c r="BD20" s="4"/>
      <c r="BE20" s="4"/>
      <c r="BF20" s="4"/>
      <c r="BG20" s="4"/>
      <c r="BH20" s="4">
        <f t="shared" si="26"/>
        <v>0</v>
      </c>
      <c r="BI20" s="171"/>
      <c r="BJ20" s="152">
        <f t="shared" si="23"/>
        <v>0</v>
      </c>
      <c r="BK20" s="4">
        <f t="shared" si="24"/>
        <v>400000</v>
      </c>
      <c r="BL20" s="4">
        <f t="shared" si="25"/>
        <v>0</v>
      </c>
      <c r="BM20" s="4"/>
      <c r="BN20" s="4"/>
      <c r="BO20" s="4"/>
      <c r="BP20" s="4"/>
    </row>
    <row r="21" spans="1:68" s="170" customFormat="1" ht="30" customHeight="1">
      <c r="A21" s="171">
        <v>16</v>
      </c>
      <c r="B21" s="171">
        <v>2072</v>
      </c>
      <c r="C21" s="171" t="s">
        <v>574</v>
      </c>
      <c r="D21" s="152">
        <v>100000</v>
      </c>
      <c r="E21" s="152">
        <v>100000</v>
      </c>
      <c r="F21" s="152">
        <f>D21-E21</f>
        <v>0</v>
      </c>
      <c r="G21" s="152">
        <v>100000</v>
      </c>
      <c r="H21" s="152">
        <v>21470</v>
      </c>
      <c r="I21" s="152"/>
      <c r="J21" s="152">
        <v>7195</v>
      </c>
      <c r="K21" s="152">
        <f>SUM(I21:J21)</f>
        <v>7195</v>
      </c>
      <c r="L21" s="152">
        <f>H21+K21</f>
        <v>28665</v>
      </c>
      <c r="M21" s="152">
        <f>Q21+T21</f>
        <v>71335</v>
      </c>
      <c r="N21" s="152"/>
      <c r="O21" s="152">
        <f t="shared" si="10"/>
        <v>0</v>
      </c>
      <c r="P21" s="152">
        <f t="shared" si="11"/>
        <v>0</v>
      </c>
      <c r="Q21" s="152">
        <f>G21-L21</f>
        <v>71335</v>
      </c>
      <c r="R21" s="152"/>
      <c r="S21" s="152"/>
      <c r="T21" s="152">
        <f>SUM(R21:S21)</f>
        <v>0</v>
      </c>
      <c r="U21" s="152">
        <f>Q21-M21+T21</f>
        <v>0</v>
      </c>
      <c r="V21" s="152">
        <f>N21-U21</f>
        <v>0</v>
      </c>
      <c r="W21" s="152">
        <f>V21-X21-Z21-AA21</f>
        <v>0</v>
      </c>
      <c r="X21" s="152"/>
      <c r="Y21" s="152"/>
      <c r="Z21" s="152"/>
      <c r="AA21" s="171"/>
      <c r="AB21" s="419" t="s">
        <v>493</v>
      </c>
      <c r="AC21" s="171">
        <v>930000</v>
      </c>
      <c r="AD21" s="382"/>
      <c r="AE21" s="382"/>
      <c r="AF21" s="382"/>
      <c r="AG21" s="382"/>
      <c r="AH21" s="152">
        <f t="shared" si="12"/>
        <v>0</v>
      </c>
      <c r="AI21" s="152">
        <f t="shared" si="13"/>
        <v>0</v>
      </c>
      <c r="AJ21" s="152">
        <f t="shared" si="14"/>
        <v>0</v>
      </c>
      <c r="AK21" s="171"/>
      <c r="AL21" s="171"/>
      <c r="AM21" s="171"/>
      <c r="AN21" s="171"/>
      <c r="AO21" s="40"/>
      <c r="AP21" s="40"/>
      <c r="AQ21" s="184"/>
      <c r="AR21" s="173">
        <f t="shared" si="15"/>
        <v>0</v>
      </c>
      <c r="AS21" s="173">
        <f t="shared" si="16"/>
        <v>71335</v>
      </c>
      <c r="AT21" s="173">
        <f t="shared" si="17"/>
        <v>71335</v>
      </c>
      <c r="AU21" s="173">
        <f t="shared" si="18"/>
        <v>0</v>
      </c>
      <c r="AV21" s="173">
        <f t="shared" si="19"/>
        <v>0</v>
      </c>
      <c r="AW21" s="173">
        <f t="shared" si="20"/>
        <v>0</v>
      </c>
      <c r="AX21" s="184"/>
      <c r="AY21" s="184"/>
      <c r="AZ21" s="184"/>
      <c r="BA21" s="184"/>
      <c r="BB21" s="173">
        <f t="shared" si="21"/>
        <v>0</v>
      </c>
      <c r="BC21" s="4">
        <f t="shared" si="22"/>
        <v>0</v>
      </c>
      <c r="BD21" s="4"/>
      <c r="BE21" s="4"/>
      <c r="BF21" s="4"/>
      <c r="BG21" s="4"/>
      <c r="BH21" s="4">
        <f t="shared" si="26"/>
        <v>0</v>
      </c>
      <c r="BI21" s="171"/>
      <c r="BJ21" s="152">
        <f t="shared" si="23"/>
        <v>0</v>
      </c>
      <c r="BK21" s="4">
        <f t="shared" si="24"/>
        <v>0</v>
      </c>
      <c r="BL21" s="4">
        <f t="shared" si="25"/>
        <v>0</v>
      </c>
      <c r="BM21" s="4"/>
      <c r="BN21" s="4"/>
      <c r="BO21" s="4"/>
      <c r="BP21" s="4"/>
    </row>
    <row r="22" spans="1:68" s="170" customFormat="1" ht="42">
      <c r="A22" s="171">
        <v>17</v>
      </c>
      <c r="B22" s="171">
        <v>2171</v>
      </c>
      <c r="C22" s="171" t="s">
        <v>1573</v>
      </c>
      <c r="D22" s="152">
        <v>405000</v>
      </c>
      <c r="E22" s="152">
        <v>405000</v>
      </c>
      <c r="F22" s="152">
        <f t="shared" si="0"/>
        <v>0</v>
      </c>
      <c r="G22" s="152">
        <v>320000</v>
      </c>
      <c r="H22" s="152">
        <v>315700</v>
      </c>
      <c r="I22" s="152"/>
      <c r="J22" s="152"/>
      <c r="K22" s="152">
        <f t="shared" si="1"/>
        <v>0</v>
      </c>
      <c r="L22" s="152">
        <f t="shared" si="2"/>
        <v>315700</v>
      </c>
      <c r="M22" s="152">
        <f t="shared" si="3"/>
        <v>4300</v>
      </c>
      <c r="N22" s="152">
        <v>405000</v>
      </c>
      <c r="O22" s="152">
        <f t="shared" si="10"/>
        <v>85000</v>
      </c>
      <c r="P22" s="152">
        <f t="shared" si="11"/>
        <v>0</v>
      </c>
      <c r="Q22" s="152">
        <f t="shared" si="4"/>
        <v>4300</v>
      </c>
      <c r="R22" s="152"/>
      <c r="S22" s="152"/>
      <c r="T22" s="152">
        <f t="shared" si="5"/>
        <v>0</v>
      </c>
      <c r="U22" s="152">
        <f t="shared" si="6"/>
        <v>0</v>
      </c>
      <c r="V22" s="152">
        <f t="shared" si="7"/>
        <v>405000</v>
      </c>
      <c r="W22" s="152">
        <f t="shared" si="8"/>
        <v>405000</v>
      </c>
      <c r="X22" s="152"/>
      <c r="Y22" s="152"/>
      <c r="Z22" s="152"/>
      <c r="AA22" s="171"/>
      <c r="AB22" s="419" t="s">
        <v>834</v>
      </c>
      <c r="AC22" s="171">
        <v>930000</v>
      </c>
      <c r="AD22" s="382"/>
      <c r="AE22" s="152">
        <v>320000</v>
      </c>
      <c r="AF22" s="382"/>
      <c r="AG22" s="382"/>
      <c r="AH22" s="152">
        <f t="shared" si="12"/>
        <v>320000</v>
      </c>
      <c r="AI22" s="152">
        <f t="shared" si="13"/>
        <v>85000</v>
      </c>
      <c r="AJ22" s="152">
        <f t="shared" si="14"/>
        <v>85000</v>
      </c>
      <c r="AK22" s="171"/>
      <c r="AL22" s="171"/>
      <c r="AM22" s="171"/>
      <c r="AN22" s="171"/>
      <c r="AO22" s="40"/>
      <c r="AP22" s="40"/>
      <c r="AQ22" s="184"/>
      <c r="AR22" s="173">
        <f t="shared" si="15"/>
        <v>85000</v>
      </c>
      <c r="AS22" s="173">
        <f t="shared" si="16"/>
        <v>4300</v>
      </c>
      <c r="AT22" s="173">
        <f t="shared" si="17"/>
        <v>89300</v>
      </c>
      <c r="AU22" s="173">
        <f t="shared" si="18"/>
        <v>0</v>
      </c>
      <c r="AV22" s="173">
        <f t="shared" si="19"/>
        <v>85000</v>
      </c>
      <c r="AW22" s="173">
        <f t="shared" si="20"/>
        <v>85000</v>
      </c>
      <c r="AX22" s="184"/>
      <c r="AY22" s="184"/>
      <c r="AZ22" s="184"/>
      <c r="BA22" s="184"/>
      <c r="BB22" s="173">
        <f t="shared" si="21"/>
        <v>0</v>
      </c>
      <c r="BC22" s="4">
        <f t="shared" si="22"/>
        <v>85000</v>
      </c>
      <c r="BD22" s="4"/>
      <c r="BE22" s="4"/>
      <c r="BF22" s="4"/>
      <c r="BG22" s="4"/>
      <c r="BH22" s="4">
        <f t="shared" si="26"/>
        <v>0</v>
      </c>
      <c r="BI22" s="171"/>
      <c r="BJ22" s="152">
        <f t="shared" si="23"/>
        <v>0</v>
      </c>
      <c r="BK22" s="4">
        <f t="shared" si="24"/>
        <v>85000</v>
      </c>
      <c r="BL22" s="4">
        <f t="shared" si="25"/>
        <v>0</v>
      </c>
      <c r="BM22" s="4"/>
      <c r="BN22" s="4"/>
      <c r="BO22" s="4"/>
      <c r="BP22" s="4"/>
    </row>
    <row r="23" spans="1:68" s="174" customFormat="1" ht="30" customHeight="1">
      <c r="A23" s="175">
        <v>17</v>
      </c>
      <c r="B23" s="175"/>
      <c r="C23" s="178" t="s">
        <v>469</v>
      </c>
      <c r="D23" s="181">
        <f>SUBTOTAL(9,D6:D22)</f>
        <v>162104000</v>
      </c>
      <c r="E23" s="181">
        <f t="shared" ref="E23:BA23" si="27">SUBTOTAL(9,E6:E22)</f>
        <v>162104000</v>
      </c>
      <c r="F23" s="181">
        <f t="shared" si="27"/>
        <v>0</v>
      </c>
      <c r="G23" s="181">
        <f t="shared" si="27"/>
        <v>90792525</v>
      </c>
      <c r="H23" s="181">
        <f t="shared" si="27"/>
        <v>70043798.50999999</v>
      </c>
      <c r="I23" s="181">
        <f t="shared" si="27"/>
        <v>169650</v>
      </c>
      <c r="J23" s="181">
        <f t="shared" si="27"/>
        <v>15589.75</v>
      </c>
      <c r="K23" s="181">
        <f t="shared" si="27"/>
        <v>185239.75</v>
      </c>
      <c r="L23" s="181">
        <f t="shared" si="27"/>
        <v>70229038.25999999</v>
      </c>
      <c r="M23" s="181">
        <f t="shared" si="27"/>
        <v>20563486.740000002</v>
      </c>
      <c r="N23" s="181">
        <f t="shared" si="27"/>
        <v>8924300</v>
      </c>
      <c r="O23" s="181">
        <f t="shared" si="27"/>
        <v>8604300</v>
      </c>
      <c r="P23" s="181">
        <f t="shared" si="27"/>
        <v>62707175</v>
      </c>
      <c r="Q23" s="181">
        <f t="shared" si="27"/>
        <v>20563486.740000002</v>
      </c>
      <c r="R23" s="181">
        <f t="shared" si="27"/>
        <v>0</v>
      </c>
      <c r="S23" s="181">
        <f t="shared" si="27"/>
        <v>0</v>
      </c>
      <c r="T23" s="181">
        <f t="shared" si="27"/>
        <v>0</v>
      </c>
      <c r="U23" s="181">
        <f t="shared" si="27"/>
        <v>0</v>
      </c>
      <c r="V23" s="181">
        <f t="shared" si="27"/>
        <v>8924300</v>
      </c>
      <c r="W23" s="181">
        <f t="shared" si="27"/>
        <v>8924300</v>
      </c>
      <c r="X23" s="181">
        <f t="shared" si="27"/>
        <v>0</v>
      </c>
      <c r="Y23" s="181">
        <f t="shared" si="27"/>
        <v>0</v>
      </c>
      <c r="Z23" s="181">
        <f t="shared" si="27"/>
        <v>0</v>
      </c>
      <c r="AA23" s="181">
        <f t="shared" si="27"/>
        <v>0</v>
      </c>
      <c r="AB23" s="181">
        <f t="shared" si="27"/>
        <v>0</v>
      </c>
      <c r="AC23" s="181">
        <f t="shared" si="27"/>
        <v>15820000</v>
      </c>
      <c r="AD23" s="181">
        <f t="shared" si="27"/>
        <v>0</v>
      </c>
      <c r="AE23" s="181">
        <f t="shared" si="27"/>
        <v>320000</v>
      </c>
      <c r="AF23" s="181">
        <f t="shared" si="27"/>
        <v>0</v>
      </c>
      <c r="AG23" s="181">
        <f t="shared" si="27"/>
        <v>0</v>
      </c>
      <c r="AH23" s="181">
        <f t="shared" si="27"/>
        <v>320000</v>
      </c>
      <c r="AI23" s="181">
        <f t="shared" si="27"/>
        <v>8604300</v>
      </c>
      <c r="AJ23" s="181">
        <f t="shared" si="27"/>
        <v>8604300</v>
      </c>
      <c r="AK23" s="181">
        <f t="shared" si="27"/>
        <v>0</v>
      </c>
      <c r="AL23" s="181">
        <f t="shared" si="27"/>
        <v>0</v>
      </c>
      <c r="AM23" s="181">
        <f t="shared" si="27"/>
        <v>0</v>
      </c>
      <c r="AN23" s="181">
        <f t="shared" si="27"/>
        <v>0</v>
      </c>
      <c r="AO23" s="181">
        <f t="shared" si="27"/>
        <v>0</v>
      </c>
      <c r="AP23" s="181">
        <f t="shared" si="27"/>
        <v>0</v>
      </c>
      <c r="AQ23" s="181">
        <f t="shared" si="27"/>
        <v>0</v>
      </c>
      <c r="AR23" s="181">
        <f t="shared" si="27"/>
        <v>8604300</v>
      </c>
      <c r="AS23" s="181">
        <f t="shared" si="27"/>
        <v>20563486.740000002</v>
      </c>
      <c r="AT23" s="181">
        <f t="shared" si="27"/>
        <v>29167786.740000002</v>
      </c>
      <c r="AU23" s="181">
        <f t="shared" si="27"/>
        <v>62707175</v>
      </c>
      <c r="AV23" s="181">
        <f t="shared" si="27"/>
        <v>8604300</v>
      </c>
      <c r="AW23" s="181">
        <f t="shared" si="27"/>
        <v>8604300</v>
      </c>
      <c r="AX23" s="181">
        <f t="shared" si="27"/>
        <v>0</v>
      </c>
      <c r="AY23" s="181">
        <f t="shared" si="27"/>
        <v>0</v>
      </c>
      <c r="AZ23" s="181">
        <f t="shared" si="27"/>
        <v>0</v>
      </c>
      <c r="BA23" s="181">
        <f t="shared" si="27"/>
        <v>0</v>
      </c>
      <c r="BB23" s="181">
        <f t="shared" ref="BB23:BP23" si="28">SUM(BB6:BB22)</f>
        <v>0</v>
      </c>
      <c r="BC23" s="181">
        <f t="shared" si="28"/>
        <v>8604300</v>
      </c>
      <c r="BD23" s="181">
        <f t="shared" si="28"/>
        <v>0</v>
      </c>
      <c r="BE23" s="181">
        <f>SUM(BE6:BE22)</f>
        <v>0</v>
      </c>
      <c r="BF23" s="181">
        <f>SUM(BF6:BF22)</f>
        <v>3950000</v>
      </c>
      <c r="BG23" s="181">
        <f>SUM(BG6:BG22)</f>
        <v>0</v>
      </c>
      <c r="BH23" s="181">
        <f t="shared" si="28"/>
        <v>3950000</v>
      </c>
      <c r="BI23" s="181">
        <f t="shared" si="28"/>
        <v>0</v>
      </c>
      <c r="BJ23" s="181">
        <f t="shared" si="28"/>
        <v>3950000</v>
      </c>
      <c r="BK23" s="181">
        <f t="shared" si="28"/>
        <v>4654300</v>
      </c>
      <c r="BL23" s="181">
        <f t="shared" si="28"/>
        <v>3950000</v>
      </c>
      <c r="BM23" s="181">
        <f t="shared" si="28"/>
        <v>0</v>
      </c>
      <c r="BN23" s="181">
        <f t="shared" si="28"/>
        <v>0</v>
      </c>
      <c r="BO23" s="181">
        <f t="shared" si="28"/>
        <v>0</v>
      </c>
      <c r="BP23" s="181">
        <f t="shared" si="28"/>
        <v>0</v>
      </c>
    </row>
    <row r="24" spans="1:68" hidden="1">
      <c r="L24" s="168">
        <f>K23+H23</f>
        <v>70229038.25999999</v>
      </c>
      <c r="M24" s="168">
        <f>Q24+T23-U23</f>
        <v>20563486.74000001</v>
      </c>
      <c r="P24" s="168">
        <f>L23+M23+O23+P23</f>
        <v>162104000</v>
      </c>
      <c r="Q24" s="168">
        <f>G23-L24</f>
        <v>20563486.74000001</v>
      </c>
    </row>
    <row r="25" spans="1:68" hidden="1"/>
    <row r="26" spans="1:68" ht="14.5" hidden="1" thickBot="1">
      <c r="C26" s="438" t="s">
        <v>1002</v>
      </c>
      <c r="AR26" s="439">
        <f>AR23</f>
        <v>8604300</v>
      </c>
      <c r="AS26" s="449">
        <f>AS23-M23+0.01</f>
        <v>0.01</v>
      </c>
      <c r="AT26" s="299"/>
      <c r="AU26" s="299"/>
      <c r="AV26" s="299"/>
    </row>
    <row r="27" spans="1:68" hidden="1">
      <c r="C27" s="166"/>
    </row>
    <row r="28" spans="1:68" ht="14.5" hidden="1" thickBot="1">
      <c r="C28" s="438" t="s">
        <v>233</v>
      </c>
      <c r="AO28" s="294"/>
      <c r="AP28" s="294"/>
      <c r="AR28" s="439">
        <f>AR26+AS26</f>
        <v>8604300.0099999998</v>
      </c>
      <c r="AW28" s="439">
        <f>AW23</f>
        <v>8604300</v>
      </c>
    </row>
    <row r="29" spans="1:68">
      <c r="AO29" s="294"/>
      <c r="AP29" s="294"/>
    </row>
    <row r="30" spans="1:68">
      <c r="AO30" s="294"/>
      <c r="AP30" s="294"/>
    </row>
    <row r="31" spans="1:68">
      <c r="AO31" s="294"/>
      <c r="AP31" s="294"/>
    </row>
    <row r="32" spans="1:68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294"/>
      <c r="AP84" s="294"/>
    </row>
    <row r="85" spans="41:42">
      <c r="AO85" s="294"/>
      <c r="AP85" s="294"/>
    </row>
    <row r="86" spans="41:42">
      <c r="AO86" s="294"/>
      <c r="AP86" s="294"/>
    </row>
    <row r="87" spans="41:42">
      <c r="AO87" s="294"/>
      <c r="AP87" s="294"/>
    </row>
    <row r="88" spans="41:42">
      <c r="AO88" s="294"/>
      <c r="AP88" s="294"/>
    </row>
    <row r="89" spans="41:42">
      <c r="AO89" s="294"/>
      <c r="AP89" s="294"/>
    </row>
    <row r="90" spans="41:42">
      <c r="AO90" s="294"/>
      <c r="AP90" s="294"/>
    </row>
    <row r="91" spans="41:42">
      <c r="AO91" s="294"/>
      <c r="AP91" s="294"/>
    </row>
    <row r="92" spans="41:42">
      <c r="AO92" s="294"/>
      <c r="AP92" s="294"/>
    </row>
    <row r="93" spans="41:42">
      <c r="AO93" s="294"/>
      <c r="AP93" s="294"/>
    </row>
    <row r="94" spans="41:42">
      <c r="AO94" s="294"/>
      <c r="AP94" s="294"/>
    </row>
    <row r="95" spans="41:42">
      <c r="AO95" s="294"/>
      <c r="AP95" s="294"/>
    </row>
    <row r="96" spans="41:42">
      <c r="AO96" s="294"/>
      <c r="AP96" s="294"/>
    </row>
    <row r="97" spans="41:42">
      <c r="AO97" s="294"/>
      <c r="AP97" s="294"/>
    </row>
    <row r="98" spans="41:42">
      <c r="AO98" s="294"/>
      <c r="AP98" s="294"/>
    </row>
    <row r="99" spans="41:42">
      <c r="AO99" s="294"/>
      <c r="AP99" s="294"/>
    </row>
    <row r="100" spans="41:42">
      <c r="AO100" s="294"/>
      <c r="AP100" s="294"/>
    </row>
    <row r="101" spans="41:42">
      <c r="AO101" s="294"/>
      <c r="AP101" s="294"/>
    </row>
    <row r="102" spans="41:42">
      <c r="AO102" s="294"/>
      <c r="AP102" s="294"/>
    </row>
    <row r="103" spans="41:42">
      <c r="AO103" s="294"/>
      <c r="AP103" s="294"/>
    </row>
    <row r="104" spans="41:42">
      <c r="AO104" s="294"/>
      <c r="AP104" s="294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  <row r="126" spans="41:42">
      <c r="AO126" s="17"/>
      <c r="AP126" s="17"/>
    </row>
    <row r="127" spans="41:42">
      <c r="AO127" s="17"/>
      <c r="AP127" s="17"/>
    </row>
    <row r="128" spans="41:42">
      <c r="AO128" s="17"/>
      <c r="AP128" s="17"/>
    </row>
    <row r="129" spans="41:42">
      <c r="AO129" s="17"/>
      <c r="AP129" s="17"/>
    </row>
    <row r="130" spans="41:42">
      <c r="AO130" s="17"/>
      <c r="AP130" s="17"/>
    </row>
    <row r="131" spans="41:42">
      <c r="AO131" s="17"/>
      <c r="AP131" s="17"/>
    </row>
    <row r="132" spans="41:42">
      <c r="AO132" s="17"/>
      <c r="AP132" s="17"/>
    </row>
    <row r="133" spans="41:42">
      <c r="AO133" s="17"/>
      <c r="AP133" s="17"/>
    </row>
    <row r="134" spans="41:42">
      <c r="AO134" s="17"/>
      <c r="AP134" s="17"/>
    </row>
    <row r="135" spans="41:42">
      <c r="AO135" s="17"/>
      <c r="AP135" s="17"/>
    </row>
    <row r="136" spans="41:42">
      <c r="AO136" s="17"/>
      <c r="AP136" s="17"/>
    </row>
    <row r="137" spans="41:42">
      <c r="AO137" s="17"/>
      <c r="AP137" s="17"/>
    </row>
    <row r="138" spans="41:42">
      <c r="AO138" s="17"/>
      <c r="AP138" s="17"/>
    </row>
    <row r="139" spans="41:42">
      <c r="AO139" s="17"/>
      <c r="AP139" s="17"/>
    </row>
    <row r="140" spans="41:42">
      <c r="AO140" s="17"/>
      <c r="AP140" s="17"/>
    </row>
    <row r="141" spans="41:42">
      <c r="AO141" s="17"/>
      <c r="AP141" s="17"/>
    </row>
    <row r="142" spans="41:42">
      <c r="AO142" s="17"/>
      <c r="AP142" s="17"/>
    </row>
    <row r="143" spans="41:42">
      <c r="AO143" s="17"/>
      <c r="AP143" s="17"/>
    </row>
    <row r="144" spans="41:42">
      <c r="AO144" s="17"/>
      <c r="AP144" s="17"/>
    </row>
    <row r="145" spans="41:42">
      <c r="AO145" s="17"/>
      <c r="AP145" s="17"/>
    </row>
    <row r="146" spans="41:42">
      <c r="AO146" s="17"/>
      <c r="AP146" s="17"/>
    </row>
  </sheetData>
  <sheetProtection formatCells="0" formatColumns="0" formatRows="0" insertColumns="0" insertRows="0" insertHyperlinks="0" deleteColumns="0" deleteRows="0" sort="0" autoFilter="0" pivotTables="0"/>
  <mergeCells count="5">
    <mergeCell ref="D4:AU4"/>
    <mergeCell ref="AW4:BA4"/>
    <mergeCell ref="BB4:BC4"/>
    <mergeCell ref="BD4:BJ4"/>
    <mergeCell ref="BL4:BP4"/>
  </mergeCells>
  <conditionalFormatting sqref="AB5">
    <cfRule type="cellIs" dxfId="18" priority="9" operator="equal">
      <formula>0</formula>
    </cfRule>
  </conditionalFormatting>
  <conditionalFormatting sqref="AO1:AP3">
    <cfRule type="cellIs" dxfId="17" priority="8" operator="equal">
      <formula>0</formula>
    </cfRule>
  </conditionalFormatting>
  <conditionalFormatting sqref="AO17:AP18">
    <cfRule type="cellIs" dxfId="16" priority="7" operator="equal">
      <formula>0</formula>
    </cfRule>
  </conditionalFormatting>
  <conditionalFormatting sqref="AR1:BA3">
    <cfRule type="cellIs" dxfId="15" priority="6" operator="equal">
      <formula>0</formula>
    </cfRule>
  </conditionalFormatting>
  <conditionalFormatting sqref="AX17:BA18">
    <cfRule type="cellIs" dxfId="14" priority="5" operator="equal">
      <formula>0</formula>
    </cfRule>
  </conditionalFormatting>
  <conditionalFormatting sqref="AX12:AX14">
    <cfRule type="cellIs" dxfId="13" priority="4" operator="equal">
      <formula>0</formula>
    </cfRule>
  </conditionalFormatting>
  <conditionalFormatting sqref="AQ1:AQ3">
    <cfRule type="cellIs" dxfId="12" priority="3" operator="equal">
      <formula>0</formula>
    </cfRule>
  </conditionalFormatting>
  <conditionalFormatting sqref="AQ17:AQ18">
    <cfRule type="cellIs" dxfId="11" priority="2" operator="equal">
      <formula>0</formula>
    </cfRule>
  </conditionalFormatting>
  <conditionalFormatting sqref="AQ12:AQ14">
    <cfRule type="cellIs" dxfId="1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25"/>
  <sheetViews>
    <sheetView showZeros="0" rightToLeft="1" zoomScaleNormal="100" workbookViewId="0">
      <pane xSplit="3" ySplit="5" topLeftCell="AX9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9.08984375" defaultRowHeight="18"/>
  <cols>
    <col min="1" max="1" width="4.81640625" style="286" customWidth="1"/>
    <col min="2" max="2" width="5" style="166" bestFit="1" customWidth="1"/>
    <col min="3" max="3" width="25.08984375" style="166" customWidth="1"/>
    <col min="4" max="5" width="11.08984375" style="167" hidden="1" customWidth="1"/>
    <col min="6" max="8" width="10.08984375" style="167" hidden="1" customWidth="1"/>
    <col min="9" max="9" width="6.54296875" style="167" hidden="1" customWidth="1"/>
    <col min="10" max="10" width="9.08984375" style="167" hidden="1" customWidth="1"/>
    <col min="11" max="11" width="9.36328125" style="167" hidden="1" customWidth="1"/>
    <col min="12" max="13" width="10.08984375" style="167" hidden="1" customWidth="1"/>
    <col min="14" max="15" width="9.6328125" style="167" hidden="1" customWidth="1"/>
    <col min="16" max="16" width="11.08984375" style="167" hidden="1" customWidth="1"/>
    <col min="17" max="17" width="10.08984375" style="167" hidden="1" customWidth="1"/>
    <col min="18" max="19" width="11.54296875" style="167" hidden="1" customWidth="1"/>
    <col min="20" max="20" width="7.54296875" style="167" hidden="1" customWidth="1"/>
    <col min="21" max="21" width="9.08984375" style="167" hidden="1" customWidth="1"/>
    <col min="22" max="24" width="9.08984375" style="166" hidden="1" customWidth="1"/>
    <col min="25" max="25" width="9" style="166" hidden="1" customWidth="1"/>
    <col min="26" max="26" width="11.08984375" style="166" hidden="1" customWidth="1"/>
    <col min="27" max="27" width="6.453125" style="166" hidden="1" customWidth="1"/>
    <col min="28" max="28" width="33" style="183" hidden="1" customWidth="1"/>
    <col min="29" max="29" width="9.08984375" style="166" hidden="1" customWidth="1"/>
    <col min="30" max="30" width="6.08984375" style="166" hidden="1" customWidth="1"/>
    <col min="31" max="31" width="8" style="183" hidden="1" customWidth="1"/>
    <col min="32" max="32" width="7.54296875" style="183" hidden="1" customWidth="1"/>
    <col min="33" max="33" width="6.90625" style="183" hidden="1" customWidth="1"/>
    <col min="34" max="34" width="7.54296875" style="284" hidden="1" customWidth="1"/>
    <col min="35" max="36" width="9.08984375" style="284" hidden="1" customWidth="1"/>
    <col min="37" max="37" width="10.08984375" style="166" hidden="1" customWidth="1"/>
    <col min="38" max="38" width="9" style="166" hidden="1" customWidth="1"/>
    <col min="39" max="39" width="7.54296875" style="166" hidden="1" customWidth="1"/>
    <col min="40" max="40" width="10.36328125" style="166" hidden="1" customWidth="1"/>
    <col min="41" max="41" width="14.08984375" style="12" hidden="1" customWidth="1"/>
    <col min="42" max="42" width="11.6328125" style="12" hidden="1" customWidth="1"/>
    <col min="43" max="43" width="29" style="166" hidden="1" customWidth="1"/>
    <col min="44" max="44" width="9.81640625" style="166" hidden="1" customWidth="1"/>
    <col min="45" max="45" width="11.6328125" style="166" hidden="1" customWidth="1"/>
    <col min="46" max="46" width="10" style="166" hidden="1" customWidth="1"/>
    <col min="47" max="47" width="11" style="166" hidden="1" customWidth="1"/>
    <col min="48" max="50" width="11.81640625" style="166" customWidth="1"/>
    <col min="51" max="52" width="11.81640625" style="166" hidden="1" customWidth="1"/>
    <col min="53" max="55" width="11.81640625" style="166" customWidth="1"/>
    <col min="56" max="62" width="11.81640625" style="166" hidden="1" customWidth="1"/>
    <col min="63" max="66" width="11.81640625" style="166" customWidth="1"/>
    <col min="67" max="68" width="11.81640625" style="166" hidden="1" customWidth="1"/>
    <col min="69" max="69" width="11.81640625" style="166" customWidth="1"/>
    <col min="70" max="16384" width="9.08984375" style="166"/>
  </cols>
  <sheetData>
    <row r="1" spans="1:69" s="284" customFormat="1">
      <c r="A1" s="768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312"/>
      <c r="Z1" s="312"/>
      <c r="AB1" s="285"/>
      <c r="AE1" s="183"/>
      <c r="AF1" s="183"/>
      <c r="AG1" s="183"/>
      <c r="AO1" s="28"/>
      <c r="AP1" s="28"/>
      <c r="AQ1" s="166"/>
      <c r="AR1" s="166"/>
      <c r="BD1" s="166"/>
    </row>
    <row r="2" spans="1:69">
      <c r="A2" s="282" t="s">
        <v>1598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1:69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</row>
    <row r="4" spans="1:69" ht="14">
      <c r="A4" s="40"/>
      <c r="B4" s="40"/>
      <c r="C4" s="376"/>
      <c r="D4" s="776" t="s">
        <v>95</v>
      </c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8"/>
      <c r="AV4" s="427" t="s">
        <v>966</v>
      </c>
      <c r="AW4" s="783" t="s">
        <v>967</v>
      </c>
      <c r="AX4" s="783"/>
      <c r="AY4" s="783"/>
      <c r="AZ4" s="783"/>
      <c r="BA4" s="783"/>
      <c r="BB4" s="780" t="s">
        <v>968</v>
      </c>
      <c r="BC4" s="782"/>
      <c r="BD4" s="184"/>
      <c r="BE4" s="775" t="s">
        <v>282</v>
      </c>
      <c r="BF4" s="775"/>
      <c r="BG4" s="775"/>
      <c r="BH4" s="775"/>
      <c r="BI4" s="775"/>
      <c r="BJ4" s="775"/>
      <c r="BK4" s="775"/>
      <c r="BL4" s="346"/>
      <c r="BM4" s="775" t="s">
        <v>969</v>
      </c>
      <c r="BN4" s="775"/>
      <c r="BO4" s="775"/>
      <c r="BP4" s="775"/>
      <c r="BQ4" s="775"/>
    </row>
    <row r="5" spans="1:69" s="308" customFormat="1" ht="86.25" customHeight="1">
      <c r="A5" s="192" t="s">
        <v>0</v>
      </c>
      <c r="B5" s="192" t="s">
        <v>1</v>
      </c>
      <c r="C5" s="192" t="s">
        <v>2</v>
      </c>
      <c r="D5" s="192" t="s">
        <v>3</v>
      </c>
      <c r="E5" s="192" t="s">
        <v>4</v>
      </c>
      <c r="F5" s="192" t="s">
        <v>5</v>
      </c>
      <c r="G5" s="192" t="s">
        <v>6</v>
      </c>
      <c r="H5" s="192" t="s">
        <v>7</v>
      </c>
      <c r="I5" s="192" t="s">
        <v>9</v>
      </c>
      <c r="J5" s="192" t="s">
        <v>178</v>
      </c>
      <c r="K5" s="192" t="s">
        <v>10</v>
      </c>
      <c r="L5" s="192" t="s">
        <v>11</v>
      </c>
      <c r="M5" s="9" t="s">
        <v>970</v>
      </c>
      <c r="N5" s="16" t="s">
        <v>971</v>
      </c>
      <c r="O5" s="16" t="s">
        <v>972</v>
      </c>
      <c r="P5" s="9" t="s">
        <v>628</v>
      </c>
      <c r="Q5" s="9" t="s">
        <v>12</v>
      </c>
      <c r="R5" s="9" t="s">
        <v>630</v>
      </c>
      <c r="S5" s="9" t="s">
        <v>631</v>
      </c>
      <c r="T5" s="9" t="s">
        <v>632</v>
      </c>
      <c r="U5" s="9" t="s">
        <v>629</v>
      </c>
      <c r="V5" s="20" t="s">
        <v>973</v>
      </c>
      <c r="W5" s="192" t="s">
        <v>13</v>
      </c>
      <c r="X5" s="192" t="s">
        <v>14</v>
      </c>
      <c r="Y5" s="192" t="s">
        <v>15</v>
      </c>
      <c r="Z5" s="192" t="s">
        <v>301</v>
      </c>
      <c r="AA5" s="192" t="s">
        <v>91</v>
      </c>
      <c r="AB5" s="428" t="s">
        <v>344</v>
      </c>
      <c r="AC5" s="192" t="s">
        <v>16</v>
      </c>
      <c r="AD5" s="9" t="s">
        <v>974</v>
      </c>
      <c r="AE5" s="9" t="s">
        <v>975</v>
      </c>
      <c r="AF5" s="9" t="s">
        <v>976</v>
      </c>
      <c r="AG5" s="9" t="s">
        <v>977</v>
      </c>
      <c r="AH5" s="9" t="s">
        <v>978</v>
      </c>
      <c r="AI5" s="16" t="s">
        <v>972</v>
      </c>
      <c r="AJ5" s="9" t="s">
        <v>13</v>
      </c>
      <c r="AK5" s="9" t="s">
        <v>14</v>
      </c>
      <c r="AL5" s="9" t="s">
        <v>15</v>
      </c>
      <c r="AM5" s="9" t="s">
        <v>301</v>
      </c>
      <c r="AN5" s="9" t="s">
        <v>91</v>
      </c>
      <c r="AO5" s="429" t="s">
        <v>979</v>
      </c>
      <c r="AP5" s="429" t="s">
        <v>980</v>
      </c>
      <c r="AQ5" s="16" t="s">
        <v>981</v>
      </c>
      <c r="AR5" s="430" t="s">
        <v>982</v>
      </c>
      <c r="AS5" s="430" t="s">
        <v>983</v>
      </c>
      <c r="AT5" s="429" t="s">
        <v>984</v>
      </c>
      <c r="AU5" s="429" t="s">
        <v>985</v>
      </c>
      <c r="AV5" s="430" t="s">
        <v>986</v>
      </c>
      <c r="AW5" s="431" t="s">
        <v>13</v>
      </c>
      <c r="AX5" s="431" t="s">
        <v>14</v>
      </c>
      <c r="AY5" s="431" t="s">
        <v>15</v>
      </c>
      <c r="AZ5" s="431" t="s">
        <v>301</v>
      </c>
      <c r="BA5" s="431" t="s">
        <v>91</v>
      </c>
      <c r="BB5" s="431" t="s">
        <v>987</v>
      </c>
      <c r="BC5" s="432" t="s">
        <v>988</v>
      </c>
      <c r="BD5" s="433" t="s">
        <v>989</v>
      </c>
      <c r="BE5" s="434" t="s">
        <v>990</v>
      </c>
      <c r="BF5" s="434" t="s">
        <v>991</v>
      </c>
      <c r="BG5" s="434" t="s">
        <v>992</v>
      </c>
      <c r="BH5" s="434" t="s">
        <v>993</v>
      </c>
      <c r="BI5" s="434" t="s">
        <v>994</v>
      </c>
      <c r="BJ5" s="434" t="s">
        <v>1238</v>
      </c>
      <c r="BK5" s="434" t="s">
        <v>996</v>
      </c>
      <c r="BL5" s="33" t="s">
        <v>1623</v>
      </c>
      <c r="BM5" s="431" t="s">
        <v>13</v>
      </c>
      <c r="BN5" s="431" t="s">
        <v>14</v>
      </c>
      <c r="BO5" s="431" t="s">
        <v>15</v>
      </c>
      <c r="BP5" s="431" t="s">
        <v>301</v>
      </c>
      <c r="BQ5" s="431" t="s">
        <v>91</v>
      </c>
    </row>
    <row r="6" spans="1:69" s="5" customFormat="1" ht="30" customHeight="1">
      <c r="A6" s="3">
        <v>1</v>
      </c>
      <c r="B6" s="3">
        <v>529</v>
      </c>
      <c r="C6" s="3" t="s">
        <v>67</v>
      </c>
      <c r="D6" s="4">
        <v>700000</v>
      </c>
      <c r="E6" s="4">
        <v>700000</v>
      </c>
      <c r="F6" s="4">
        <f t="shared" ref="F6:F12" si="0">D6-E6</f>
        <v>0</v>
      </c>
      <c r="G6" s="4">
        <v>650000</v>
      </c>
      <c r="H6" s="4">
        <v>511920.77</v>
      </c>
      <c r="I6" s="4"/>
      <c r="J6" s="4"/>
      <c r="K6" s="4">
        <f t="shared" ref="K6:K12" si="1">SUM(I6:J6)</f>
        <v>0</v>
      </c>
      <c r="L6" s="4">
        <f t="shared" ref="L6:L12" si="2">H6+K6</f>
        <v>511920.77</v>
      </c>
      <c r="M6" s="4">
        <f t="shared" ref="M6:M13" si="3">Q6+T6</f>
        <v>138079.22999999998</v>
      </c>
      <c r="N6" s="4">
        <v>50000</v>
      </c>
      <c r="O6" s="4">
        <f>N6-AH6</f>
        <v>50000</v>
      </c>
      <c r="P6" s="4">
        <f>D6-L6-M6-O6</f>
        <v>0</v>
      </c>
      <c r="Q6" s="4">
        <f t="shared" ref="Q6:Q12" si="4">G6-L6</f>
        <v>138079.22999999998</v>
      </c>
      <c r="R6" s="4"/>
      <c r="S6" s="4"/>
      <c r="T6" s="4">
        <f t="shared" ref="T6:T12" si="5">SUM(R6:S6)</f>
        <v>0</v>
      </c>
      <c r="U6" s="4">
        <f t="shared" ref="U6:U12" si="6">Q6-M6+T6</f>
        <v>0</v>
      </c>
      <c r="V6" s="4">
        <f t="shared" ref="V6:V12" si="7">N6-U6</f>
        <v>50000</v>
      </c>
      <c r="W6" s="4">
        <f>V6-X6-Z6-AA6</f>
        <v>50000</v>
      </c>
      <c r="X6" s="4"/>
      <c r="Y6" s="4"/>
      <c r="Z6" s="4"/>
      <c r="AA6" s="4"/>
      <c r="AB6" s="172" t="s">
        <v>451</v>
      </c>
      <c r="AC6" s="3">
        <v>840000</v>
      </c>
      <c r="AD6" s="3"/>
      <c r="AE6" s="309"/>
      <c r="AF6" s="309"/>
      <c r="AG6" s="309"/>
      <c r="AH6" s="4">
        <f>SUM(AD6:AG6)</f>
        <v>0</v>
      </c>
      <c r="AI6" s="4">
        <f>V6-AH6</f>
        <v>50000</v>
      </c>
      <c r="AJ6" s="4">
        <f>AI6-AK6</f>
        <v>50000</v>
      </c>
      <c r="AK6" s="4"/>
      <c r="AL6" s="4"/>
      <c r="AM6" s="4"/>
      <c r="AN6" s="4"/>
      <c r="AO6" s="3"/>
      <c r="AP6" s="3"/>
      <c r="AQ6" s="173"/>
      <c r="AR6" s="173">
        <v>50000</v>
      </c>
      <c r="AS6" s="173">
        <f>M6</f>
        <v>138079.22999999998</v>
      </c>
      <c r="AT6" s="173">
        <f>SUM(AR6:AS6)</f>
        <v>188079.22999999998</v>
      </c>
      <c r="AU6" s="173">
        <f t="shared" ref="AU6:AU14" si="8">D6-L6-AT6</f>
        <v>0</v>
      </c>
      <c r="AV6" s="173">
        <f>AR6+AS6-M6</f>
        <v>50000</v>
      </c>
      <c r="AW6" s="173">
        <f>AR6+AS6-M6-AX6</f>
        <v>50000</v>
      </c>
      <c r="AX6" s="173"/>
      <c r="AY6" s="172"/>
      <c r="AZ6" s="172"/>
      <c r="BA6" s="172"/>
      <c r="BB6" s="173">
        <f>AS6-M6</f>
        <v>0</v>
      </c>
      <c r="BC6" s="4">
        <f t="shared" ref="BC6:BC14" si="9">AR6</f>
        <v>50000</v>
      </c>
      <c r="BD6" s="173"/>
      <c r="BE6" s="173">
        <v>50000</v>
      </c>
      <c r="BF6" s="173"/>
      <c r="BG6" s="173"/>
      <c r="BH6" s="173"/>
      <c r="BI6" s="173">
        <f t="shared" ref="BI6:BI14" si="10">SUM(BE6:BG6)</f>
        <v>50000</v>
      </c>
      <c r="BJ6" s="3"/>
      <c r="BK6" s="4">
        <f>BI6+BJ6</f>
        <v>50000</v>
      </c>
      <c r="BL6" s="173">
        <f>AV6-BK6</f>
        <v>0</v>
      </c>
      <c r="BM6" s="173">
        <f>BK6-BN6</f>
        <v>50000</v>
      </c>
      <c r="BN6" s="173"/>
      <c r="BO6" s="173"/>
      <c r="BP6" s="173"/>
      <c r="BQ6" s="173"/>
    </row>
    <row r="7" spans="1:69" s="5" customFormat="1" ht="30" customHeight="1">
      <c r="A7" s="172">
        <v>2</v>
      </c>
      <c r="B7" s="3">
        <v>1032</v>
      </c>
      <c r="C7" s="3" t="s">
        <v>156</v>
      </c>
      <c r="D7" s="4">
        <v>40500000</v>
      </c>
      <c r="E7" s="4">
        <v>40500000</v>
      </c>
      <c r="F7" s="4">
        <f t="shared" si="0"/>
        <v>0</v>
      </c>
      <c r="G7" s="4">
        <v>30440000</v>
      </c>
      <c r="H7" s="4">
        <v>27712258.859999999</v>
      </c>
      <c r="I7" s="4"/>
      <c r="J7" s="4">
        <v>885951.25</v>
      </c>
      <c r="K7" s="4">
        <f t="shared" si="1"/>
        <v>885951.25</v>
      </c>
      <c r="L7" s="4">
        <f t="shared" si="2"/>
        <v>28598210.109999999</v>
      </c>
      <c r="M7" s="4">
        <f t="shared" si="3"/>
        <v>1841789.8900000006</v>
      </c>
      <c r="N7" s="4">
        <f>10900000-1500000-4400000-2000000</f>
        <v>3000000</v>
      </c>
      <c r="O7" s="4">
        <f t="shared" ref="O7:O14" si="11">N7-AH7</f>
        <v>2470000</v>
      </c>
      <c r="P7" s="4">
        <f t="shared" ref="P7:P14" si="12">D7-L7-M7-O7</f>
        <v>7590000</v>
      </c>
      <c r="Q7" s="4">
        <f t="shared" si="4"/>
        <v>1841789.8900000006</v>
      </c>
      <c r="R7" s="4"/>
      <c r="S7" s="4"/>
      <c r="T7" s="4">
        <f t="shared" si="5"/>
        <v>0</v>
      </c>
      <c r="U7" s="4">
        <f t="shared" si="6"/>
        <v>0</v>
      </c>
      <c r="V7" s="4">
        <f t="shared" si="7"/>
        <v>3000000</v>
      </c>
      <c r="W7" s="4">
        <f t="shared" ref="W7:W12" si="13">V7-AA7-X7-Z7</f>
        <v>1500000</v>
      </c>
      <c r="X7" s="4">
        <f>500000+500000+500000</f>
        <v>1500000</v>
      </c>
      <c r="Y7" s="4"/>
      <c r="Z7" s="4"/>
      <c r="AA7" s="3"/>
      <c r="AB7" s="172" t="s">
        <v>832</v>
      </c>
      <c r="AC7" s="3">
        <v>742000</v>
      </c>
      <c r="AD7" s="313"/>
      <c r="AE7" s="309"/>
      <c r="AF7" s="4">
        <v>530000</v>
      </c>
      <c r="AG7" s="4"/>
      <c r="AH7" s="4">
        <f t="shared" ref="AH7:AH14" si="14">SUM(AD7:AG7)</f>
        <v>530000</v>
      </c>
      <c r="AI7" s="4">
        <f t="shared" ref="AI7:AI14" si="15">V7-AH7</f>
        <v>2470000</v>
      </c>
      <c r="AJ7" s="4">
        <f>AI7-AK7</f>
        <v>1500000</v>
      </c>
      <c r="AK7" s="4">
        <v>970000</v>
      </c>
      <c r="AL7" s="4"/>
      <c r="AM7" s="4"/>
      <c r="AN7" s="4"/>
      <c r="AO7" s="4">
        <v>500000</v>
      </c>
      <c r="AP7" s="4">
        <v>1841790</v>
      </c>
      <c r="AQ7" s="309" t="s">
        <v>997</v>
      </c>
      <c r="AR7" s="173">
        <v>500000</v>
      </c>
      <c r="AS7" s="173">
        <v>1841790</v>
      </c>
      <c r="AT7" s="173">
        <f t="shared" ref="AT7:AT14" si="16">SUM(AR7:AS7)</f>
        <v>2341790</v>
      </c>
      <c r="AU7" s="173">
        <f t="shared" si="8"/>
        <v>9559999.8900000006</v>
      </c>
      <c r="AV7" s="173">
        <f t="shared" ref="AV7:AV14" si="17">AR7+AS7-M7</f>
        <v>500000.1099999994</v>
      </c>
      <c r="AW7" s="173">
        <f t="shared" ref="AW7:AW14" si="18">AR7+AS7-M7-AX7</f>
        <v>500000.1099999994</v>
      </c>
      <c r="AX7" s="173"/>
      <c r="AY7" s="172"/>
      <c r="AZ7" s="172"/>
      <c r="BA7" s="172"/>
      <c r="BB7" s="173">
        <f t="shared" ref="BB7:BB14" si="19">AS7-M7</f>
        <v>0.10999999940395355</v>
      </c>
      <c r="BC7" s="4">
        <f t="shared" si="9"/>
        <v>500000</v>
      </c>
      <c r="BD7" s="172" t="s">
        <v>997</v>
      </c>
      <c r="BE7" s="173">
        <v>500000</v>
      </c>
      <c r="BF7" s="173"/>
      <c r="BG7" s="173"/>
      <c r="BH7" s="173"/>
      <c r="BI7" s="173">
        <f t="shared" si="10"/>
        <v>500000</v>
      </c>
      <c r="BJ7" s="3"/>
      <c r="BK7" s="4">
        <f t="shared" ref="BK7:BK14" si="20">BI7+BJ7</f>
        <v>500000</v>
      </c>
      <c r="BL7" s="173">
        <f t="shared" ref="BL7:BL14" si="21">AV7-BK7</f>
        <v>0.10999999940395355</v>
      </c>
      <c r="BM7" s="173">
        <f t="shared" ref="BM7:BM14" si="22">BK7-BN7</f>
        <v>500000</v>
      </c>
      <c r="BN7" s="173"/>
      <c r="BO7" s="173"/>
      <c r="BP7" s="173"/>
      <c r="BQ7" s="173"/>
    </row>
    <row r="8" spans="1:69" s="176" customFormat="1" ht="30" customHeight="1">
      <c r="A8" s="172">
        <v>3</v>
      </c>
      <c r="B8" s="172">
        <v>1130</v>
      </c>
      <c r="C8" s="172" t="s">
        <v>32</v>
      </c>
      <c r="D8" s="173">
        <v>16000000</v>
      </c>
      <c r="E8" s="173">
        <v>16000000</v>
      </c>
      <c r="F8" s="173">
        <f t="shared" si="0"/>
        <v>0</v>
      </c>
      <c r="G8" s="173">
        <v>13481894</v>
      </c>
      <c r="H8" s="173">
        <v>13021545.789999999</v>
      </c>
      <c r="I8" s="173"/>
      <c r="J8" s="173">
        <v>213208.8</v>
      </c>
      <c r="K8" s="4">
        <f t="shared" si="1"/>
        <v>213208.8</v>
      </c>
      <c r="L8" s="4">
        <f t="shared" si="2"/>
        <v>13234754.59</v>
      </c>
      <c r="M8" s="4">
        <f t="shared" si="3"/>
        <v>247139.41000000015</v>
      </c>
      <c r="N8" s="4">
        <v>500000</v>
      </c>
      <c r="O8" s="4">
        <f t="shared" si="11"/>
        <v>500000</v>
      </c>
      <c r="P8" s="4">
        <f t="shared" si="12"/>
        <v>2018106</v>
      </c>
      <c r="Q8" s="4">
        <f t="shared" si="4"/>
        <v>247139.41000000015</v>
      </c>
      <c r="R8" s="4"/>
      <c r="S8" s="4"/>
      <c r="T8" s="4">
        <f t="shared" si="5"/>
        <v>0</v>
      </c>
      <c r="U8" s="4">
        <f t="shared" si="6"/>
        <v>0</v>
      </c>
      <c r="V8" s="4">
        <f t="shared" si="7"/>
        <v>500000</v>
      </c>
      <c r="W8" s="4">
        <f t="shared" si="13"/>
        <v>0</v>
      </c>
      <c r="X8" s="4">
        <f>250000+250000</f>
        <v>500000</v>
      </c>
      <c r="Y8" s="4"/>
      <c r="Z8" s="4"/>
      <c r="AA8" s="3"/>
      <c r="AB8" s="172" t="s">
        <v>833</v>
      </c>
      <c r="AC8" s="172">
        <v>742000</v>
      </c>
      <c r="AD8" s="172"/>
      <c r="AE8" s="309"/>
      <c r="AF8" s="309"/>
      <c r="AG8" s="309"/>
      <c r="AH8" s="4">
        <f t="shared" si="14"/>
        <v>0</v>
      </c>
      <c r="AI8" s="4">
        <f t="shared" si="15"/>
        <v>500000</v>
      </c>
      <c r="AJ8" s="4"/>
      <c r="AK8" s="4">
        <f>AI8-AJ8</f>
        <v>500000</v>
      </c>
      <c r="AL8" s="4"/>
      <c r="AM8" s="4"/>
      <c r="AN8" s="4"/>
      <c r="AO8" s="4">
        <v>500000</v>
      </c>
      <c r="AP8" s="4">
        <v>247139</v>
      </c>
      <c r="AQ8" s="309" t="s">
        <v>998</v>
      </c>
      <c r="AR8" s="173">
        <v>500000</v>
      </c>
      <c r="AS8" s="173">
        <v>247139</v>
      </c>
      <c r="AT8" s="173">
        <f t="shared" si="16"/>
        <v>747139</v>
      </c>
      <c r="AU8" s="173">
        <f t="shared" si="8"/>
        <v>2018106.4100000001</v>
      </c>
      <c r="AV8" s="173">
        <f t="shared" si="17"/>
        <v>499999.58999999985</v>
      </c>
      <c r="AW8" s="173">
        <f t="shared" si="18"/>
        <v>-0.41000000014901161</v>
      </c>
      <c r="AX8" s="173">
        <v>500000</v>
      </c>
      <c r="AY8" s="172"/>
      <c r="AZ8" s="172"/>
      <c r="BA8" s="172"/>
      <c r="BB8" s="173">
        <f t="shared" si="19"/>
        <v>-0.41000000014901161</v>
      </c>
      <c r="BC8" s="4">
        <f t="shared" si="9"/>
        <v>500000</v>
      </c>
      <c r="BD8" s="172" t="s">
        <v>998</v>
      </c>
      <c r="BE8" s="173">
        <f>350000+150000</f>
        <v>500000</v>
      </c>
      <c r="BF8" s="173"/>
      <c r="BG8" s="173"/>
      <c r="BH8" s="173"/>
      <c r="BI8" s="173">
        <f t="shared" si="10"/>
        <v>500000</v>
      </c>
      <c r="BJ8" s="172"/>
      <c r="BK8" s="4">
        <f t="shared" si="20"/>
        <v>500000</v>
      </c>
      <c r="BL8" s="173">
        <f t="shared" si="21"/>
        <v>-0.41000000014901161</v>
      </c>
      <c r="BM8" s="173">
        <f t="shared" si="22"/>
        <v>0</v>
      </c>
      <c r="BN8" s="173">
        <v>500000</v>
      </c>
      <c r="BO8" s="173"/>
      <c r="BP8" s="173"/>
      <c r="BQ8" s="173"/>
    </row>
    <row r="9" spans="1:69" s="176" customFormat="1" ht="30" customHeight="1">
      <c r="A9" s="3">
        <v>4</v>
      </c>
      <c r="B9" s="172">
        <v>1259</v>
      </c>
      <c r="C9" s="172" t="s">
        <v>60</v>
      </c>
      <c r="D9" s="173">
        <v>5460000</v>
      </c>
      <c r="E9" s="173">
        <v>5460000</v>
      </c>
      <c r="F9" s="173">
        <f t="shared" si="0"/>
        <v>0</v>
      </c>
      <c r="G9" s="173">
        <v>3710000</v>
      </c>
      <c r="H9" s="173">
        <v>3542494.96</v>
      </c>
      <c r="I9" s="173"/>
      <c r="J9" s="173">
        <v>64795.6</v>
      </c>
      <c r="K9" s="4">
        <f t="shared" si="1"/>
        <v>64795.6</v>
      </c>
      <c r="L9" s="4">
        <f t="shared" si="2"/>
        <v>3607290.56</v>
      </c>
      <c r="M9" s="4">
        <f t="shared" si="3"/>
        <v>102709.43999999994</v>
      </c>
      <c r="N9" s="4">
        <f>350000+150000</f>
        <v>500000</v>
      </c>
      <c r="O9" s="4">
        <f t="shared" si="11"/>
        <v>400000</v>
      </c>
      <c r="P9" s="4">
        <f t="shared" si="12"/>
        <v>1350000</v>
      </c>
      <c r="Q9" s="4">
        <f t="shared" si="4"/>
        <v>102709.43999999994</v>
      </c>
      <c r="R9" s="4"/>
      <c r="S9" s="4"/>
      <c r="T9" s="4">
        <f t="shared" si="5"/>
        <v>0</v>
      </c>
      <c r="U9" s="4">
        <f t="shared" si="6"/>
        <v>0</v>
      </c>
      <c r="V9" s="4">
        <f t="shared" si="7"/>
        <v>500000</v>
      </c>
      <c r="W9" s="4">
        <f t="shared" si="13"/>
        <v>0</v>
      </c>
      <c r="X9" s="4">
        <f>350000+150000</f>
        <v>500000</v>
      </c>
      <c r="Y9" s="4"/>
      <c r="Z9" s="4"/>
      <c r="AA9" s="3"/>
      <c r="AB9" s="172" t="s">
        <v>337</v>
      </c>
      <c r="AC9" s="172">
        <v>760000</v>
      </c>
      <c r="AD9" s="172"/>
      <c r="AE9" s="4">
        <v>100000</v>
      </c>
      <c r="AF9" s="309"/>
      <c r="AG9" s="309"/>
      <c r="AH9" s="4">
        <f t="shared" si="14"/>
        <v>100000</v>
      </c>
      <c r="AI9" s="4">
        <f t="shared" si="15"/>
        <v>400000</v>
      </c>
      <c r="AJ9" s="4"/>
      <c r="AK9" s="4">
        <f t="shared" ref="AK9:AK14" si="23">AI9-AJ9</f>
        <v>400000</v>
      </c>
      <c r="AL9" s="4"/>
      <c r="AM9" s="4"/>
      <c r="AN9" s="4"/>
      <c r="AO9" s="4"/>
      <c r="AP9" s="4"/>
      <c r="AQ9" s="180">
        <f>SUM(AQ6:AQ8)</f>
        <v>0</v>
      </c>
      <c r="AR9" s="173">
        <v>400000</v>
      </c>
      <c r="AS9" s="173">
        <f t="shared" ref="AS9:AS14" si="24">M9</f>
        <v>102709.43999999994</v>
      </c>
      <c r="AT9" s="173">
        <f t="shared" si="16"/>
        <v>502709.43999999994</v>
      </c>
      <c r="AU9" s="173">
        <f t="shared" si="8"/>
        <v>1350000</v>
      </c>
      <c r="AV9" s="173">
        <f t="shared" si="17"/>
        <v>400000</v>
      </c>
      <c r="AW9" s="173">
        <f t="shared" si="18"/>
        <v>0</v>
      </c>
      <c r="AX9" s="173">
        <v>400000</v>
      </c>
      <c r="AY9" s="180"/>
      <c r="AZ9" s="180"/>
      <c r="BA9" s="180"/>
      <c r="BB9" s="173">
        <f t="shared" si="19"/>
        <v>0</v>
      </c>
      <c r="BC9" s="4">
        <f t="shared" si="9"/>
        <v>400000</v>
      </c>
      <c r="BD9" s="180">
        <f>SUM(BD6:BD8)</f>
        <v>0</v>
      </c>
      <c r="BE9" s="173">
        <v>400000</v>
      </c>
      <c r="BF9" s="173"/>
      <c r="BG9" s="173"/>
      <c r="BH9" s="173"/>
      <c r="BI9" s="173">
        <f t="shared" si="10"/>
        <v>400000</v>
      </c>
      <c r="BJ9" s="172"/>
      <c r="BK9" s="4">
        <f t="shared" si="20"/>
        <v>400000</v>
      </c>
      <c r="BL9" s="173">
        <f t="shared" si="21"/>
        <v>0</v>
      </c>
      <c r="BM9" s="173">
        <f t="shared" si="22"/>
        <v>0</v>
      </c>
      <c r="BN9" s="173">
        <v>400000</v>
      </c>
      <c r="BO9" s="173"/>
      <c r="BP9" s="173"/>
      <c r="BQ9" s="173"/>
    </row>
    <row r="10" spans="1:69" s="176" customFormat="1" ht="30" customHeight="1">
      <c r="A10" s="172">
        <v>5</v>
      </c>
      <c r="B10" s="172">
        <v>1260</v>
      </c>
      <c r="C10" s="172" t="s">
        <v>61</v>
      </c>
      <c r="D10" s="173">
        <v>8608000</v>
      </c>
      <c r="E10" s="173">
        <v>8608000</v>
      </c>
      <c r="F10" s="173">
        <f t="shared" si="0"/>
        <v>0</v>
      </c>
      <c r="G10" s="173">
        <v>8238000</v>
      </c>
      <c r="H10" s="173">
        <v>8096973</v>
      </c>
      <c r="I10" s="173"/>
      <c r="J10" s="173">
        <v>134257.5</v>
      </c>
      <c r="K10" s="4">
        <f t="shared" si="1"/>
        <v>134257.5</v>
      </c>
      <c r="L10" s="4">
        <f t="shared" si="2"/>
        <v>8231230.5</v>
      </c>
      <c r="M10" s="4">
        <f t="shared" si="3"/>
        <v>6769.5</v>
      </c>
      <c r="N10" s="4">
        <v>500000</v>
      </c>
      <c r="O10" s="4">
        <f t="shared" si="11"/>
        <v>400000</v>
      </c>
      <c r="P10" s="4">
        <f t="shared" si="12"/>
        <v>-30000</v>
      </c>
      <c r="Q10" s="4">
        <f t="shared" si="4"/>
        <v>6769.5</v>
      </c>
      <c r="R10" s="4"/>
      <c r="S10" s="4"/>
      <c r="T10" s="4">
        <f t="shared" si="5"/>
        <v>0</v>
      </c>
      <c r="U10" s="4">
        <f t="shared" si="6"/>
        <v>0</v>
      </c>
      <c r="V10" s="4">
        <f t="shared" si="7"/>
        <v>500000</v>
      </c>
      <c r="W10" s="4">
        <f t="shared" si="13"/>
        <v>0</v>
      </c>
      <c r="X10" s="4">
        <f>250000+250000</f>
        <v>500000</v>
      </c>
      <c r="Y10" s="4"/>
      <c r="Z10" s="4"/>
      <c r="AA10" s="3"/>
      <c r="AB10" s="172" t="s">
        <v>338</v>
      </c>
      <c r="AC10" s="172">
        <v>760000</v>
      </c>
      <c r="AD10" s="172"/>
      <c r="AE10" s="309"/>
      <c r="AF10" s="4">
        <v>100000</v>
      </c>
      <c r="AG10" s="4"/>
      <c r="AH10" s="4">
        <f t="shared" si="14"/>
        <v>100000</v>
      </c>
      <c r="AI10" s="4">
        <f t="shared" si="15"/>
        <v>400000</v>
      </c>
      <c r="AJ10" s="4"/>
      <c r="AK10" s="4">
        <f t="shared" si="23"/>
        <v>400000</v>
      </c>
      <c r="AL10" s="4"/>
      <c r="AM10" s="4"/>
      <c r="AN10" s="4"/>
      <c r="AO10" s="4"/>
      <c r="AP10" s="4"/>
      <c r="AQ10" s="184"/>
      <c r="AR10" s="173">
        <v>400000</v>
      </c>
      <c r="AS10" s="173">
        <f t="shared" si="24"/>
        <v>6769.5</v>
      </c>
      <c r="AT10" s="173">
        <f t="shared" si="16"/>
        <v>406769.5</v>
      </c>
      <c r="AU10" s="173">
        <f t="shared" si="8"/>
        <v>-30000</v>
      </c>
      <c r="AV10" s="173">
        <f t="shared" si="17"/>
        <v>400000</v>
      </c>
      <c r="AW10" s="173">
        <f t="shared" si="18"/>
        <v>0</v>
      </c>
      <c r="AX10" s="173">
        <v>400000</v>
      </c>
      <c r="AY10" s="172"/>
      <c r="AZ10" s="172"/>
      <c r="BA10" s="172"/>
      <c r="BB10" s="173">
        <f t="shared" si="19"/>
        <v>0</v>
      </c>
      <c r="BC10" s="4">
        <f t="shared" si="9"/>
        <v>400000</v>
      </c>
      <c r="BD10" s="184"/>
      <c r="BE10" s="173">
        <f>100000+270000</f>
        <v>370000</v>
      </c>
      <c r="BF10" s="173"/>
      <c r="BG10" s="173"/>
      <c r="BH10" s="173"/>
      <c r="BI10" s="173">
        <f t="shared" si="10"/>
        <v>370000</v>
      </c>
      <c r="BJ10" s="172"/>
      <c r="BK10" s="4">
        <f t="shared" si="20"/>
        <v>370000</v>
      </c>
      <c r="BL10" s="173">
        <f t="shared" si="21"/>
        <v>30000</v>
      </c>
      <c r="BM10" s="173">
        <f t="shared" si="22"/>
        <v>0</v>
      </c>
      <c r="BN10" s="173">
        <v>370000</v>
      </c>
      <c r="BO10" s="173"/>
      <c r="BP10" s="173"/>
      <c r="BQ10" s="173"/>
    </row>
    <row r="11" spans="1:69" s="176" customFormat="1" ht="30" customHeight="1">
      <c r="A11" s="172">
        <v>6</v>
      </c>
      <c r="B11" s="172">
        <v>1422</v>
      </c>
      <c r="C11" s="172" t="s">
        <v>62</v>
      </c>
      <c r="D11" s="173">
        <v>30257000</v>
      </c>
      <c r="E11" s="173">
        <v>30257000</v>
      </c>
      <c r="F11" s="173">
        <f t="shared" si="0"/>
        <v>0</v>
      </c>
      <c r="G11" s="173">
        <v>14182000</v>
      </c>
      <c r="H11" s="173">
        <v>7257000</v>
      </c>
      <c r="I11" s="173"/>
      <c r="J11" s="173"/>
      <c r="K11" s="4">
        <f t="shared" si="1"/>
        <v>0</v>
      </c>
      <c r="L11" s="4">
        <f t="shared" si="2"/>
        <v>7257000</v>
      </c>
      <c r="M11" s="4">
        <f t="shared" si="3"/>
        <v>6925000</v>
      </c>
      <c r="N11" s="4"/>
      <c r="O11" s="4">
        <f t="shared" si="11"/>
        <v>0</v>
      </c>
      <c r="P11" s="4">
        <f t="shared" si="12"/>
        <v>16075000</v>
      </c>
      <c r="Q11" s="4">
        <f t="shared" si="4"/>
        <v>6925000</v>
      </c>
      <c r="R11" s="4"/>
      <c r="S11" s="4"/>
      <c r="T11" s="4">
        <f t="shared" si="5"/>
        <v>0</v>
      </c>
      <c r="U11" s="4">
        <f t="shared" si="6"/>
        <v>0</v>
      </c>
      <c r="V11" s="4">
        <f t="shared" si="7"/>
        <v>0</v>
      </c>
      <c r="W11" s="4">
        <f t="shared" si="13"/>
        <v>0</v>
      </c>
      <c r="X11" s="4"/>
      <c r="Y11" s="4"/>
      <c r="Z11" s="4"/>
      <c r="AA11" s="3"/>
      <c r="AB11" s="172" t="s">
        <v>485</v>
      </c>
      <c r="AC11" s="172">
        <v>730000</v>
      </c>
      <c r="AD11" s="172"/>
      <c r="AE11" s="309"/>
      <c r="AF11" s="309"/>
      <c r="AG11" s="309"/>
      <c r="AH11" s="4">
        <f t="shared" si="14"/>
        <v>0</v>
      </c>
      <c r="AI11" s="4">
        <f t="shared" si="15"/>
        <v>0</v>
      </c>
      <c r="AJ11" s="4"/>
      <c r="AK11" s="4">
        <f t="shared" si="23"/>
        <v>0</v>
      </c>
      <c r="AL11" s="4"/>
      <c r="AM11" s="4"/>
      <c r="AN11" s="4"/>
      <c r="AO11" s="172"/>
      <c r="AP11" s="172"/>
      <c r="AQ11" s="184"/>
      <c r="AR11" s="173"/>
      <c r="AS11" s="173">
        <f t="shared" si="24"/>
        <v>6925000</v>
      </c>
      <c r="AT11" s="173">
        <f t="shared" si="16"/>
        <v>6925000</v>
      </c>
      <c r="AU11" s="173">
        <f t="shared" si="8"/>
        <v>16075000</v>
      </c>
      <c r="AV11" s="173">
        <f t="shared" si="17"/>
        <v>0</v>
      </c>
      <c r="AW11" s="173">
        <f t="shared" si="18"/>
        <v>0</v>
      </c>
      <c r="AX11" s="173"/>
      <c r="AY11" s="184"/>
      <c r="AZ11" s="184"/>
      <c r="BA11" s="184"/>
      <c r="BB11" s="173">
        <f t="shared" si="19"/>
        <v>0</v>
      </c>
      <c r="BC11" s="4">
        <f t="shared" si="9"/>
        <v>0</v>
      </c>
      <c r="BD11" s="184"/>
      <c r="BE11" s="173"/>
      <c r="BF11" s="173"/>
      <c r="BG11" s="173"/>
      <c r="BH11" s="173"/>
      <c r="BI11" s="173">
        <f t="shared" si="10"/>
        <v>0</v>
      </c>
      <c r="BJ11" s="172"/>
      <c r="BK11" s="4">
        <f t="shared" si="20"/>
        <v>0</v>
      </c>
      <c r="BL11" s="173">
        <f t="shared" si="21"/>
        <v>0</v>
      </c>
      <c r="BM11" s="173">
        <f t="shared" si="22"/>
        <v>0</v>
      </c>
      <c r="BN11" s="173"/>
      <c r="BO11" s="173"/>
      <c r="BP11" s="173"/>
      <c r="BQ11" s="173"/>
    </row>
    <row r="12" spans="1:69" s="176" customFormat="1" ht="30" customHeight="1">
      <c r="A12" s="3">
        <v>7</v>
      </c>
      <c r="B12" s="172">
        <v>1688</v>
      </c>
      <c r="C12" s="172" t="s">
        <v>63</v>
      </c>
      <c r="D12" s="173">
        <v>15133000</v>
      </c>
      <c r="E12" s="173">
        <v>15133000</v>
      </c>
      <c r="F12" s="173">
        <f t="shared" si="0"/>
        <v>0</v>
      </c>
      <c r="G12" s="173">
        <v>15133000</v>
      </c>
      <c r="H12" s="173">
        <v>15133000</v>
      </c>
      <c r="I12" s="173"/>
      <c r="J12" s="173"/>
      <c r="K12" s="4">
        <f t="shared" si="1"/>
        <v>0</v>
      </c>
      <c r="L12" s="4">
        <f t="shared" si="2"/>
        <v>15133000</v>
      </c>
      <c r="M12" s="4">
        <f t="shared" si="3"/>
        <v>0</v>
      </c>
      <c r="N12" s="4"/>
      <c r="O12" s="4">
        <f t="shared" si="11"/>
        <v>0</v>
      </c>
      <c r="P12" s="4">
        <f t="shared" si="12"/>
        <v>0</v>
      </c>
      <c r="Q12" s="4">
        <f t="shared" si="4"/>
        <v>0</v>
      </c>
      <c r="R12" s="4"/>
      <c r="S12" s="4"/>
      <c r="T12" s="4">
        <f t="shared" si="5"/>
        <v>0</v>
      </c>
      <c r="U12" s="4">
        <f t="shared" si="6"/>
        <v>0</v>
      </c>
      <c r="V12" s="4">
        <f t="shared" si="7"/>
        <v>0</v>
      </c>
      <c r="W12" s="4">
        <f t="shared" si="13"/>
        <v>0</v>
      </c>
      <c r="X12" s="4"/>
      <c r="Y12" s="4"/>
      <c r="Z12" s="4"/>
      <c r="AA12" s="3"/>
      <c r="AB12" s="172" t="s">
        <v>486</v>
      </c>
      <c r="AC12" s="172">
        <v>990000</v>
      </c>
      <c r="AD12" s="172"/>
      <c r="AE12" s="309"/>
      <c r="AF12" s="309"/>
      <c r="AG12" s="309"/>
      <c r="AH12" s="4">
        <f t="shared" si="14"/>
        <v>0</v>
      </c>
      <c r="AI12" s="4">
        <f t="shared" si="15"/>
        <v>0</v>
      </c>
      <c r="AJ12" s="4"/>
      <c r="AK12" s="4">
        <f t="shared" si="23"/>
        <v>0</v>
      </c>
      <c r="AL12" s="4"/>
      <c r="AM12" s="4"/>
      <c r="AN12" s="4"/>
      <c r="AO12" s="172"/>
      <c r="AP12" s="172"/>
      <c r="AQ12" s="184"/>
      <c r="AR12" s="184"/>
      <c r="AS12" s="173">
        <f t="shared" si="24"/>
        <v>0</v>
      </c>
      <c r="AT12" s="173">
        <f t="shared" si="16"/>
        <v>0</v>
      </c>
      <c r="AU12" s="173">
        <f t="shared" si="8"/>
        <v>0</v>
      </c>
      <c r="AV12" s="173">
        <f t="shared" si="17"/>
        <v>0</v>
      </c>
      <c r="AW12" s="173">
        <f t="shared" si="18"/>
        <v>0</v>
      </c>
      <c r="AX12" s="173"/>
      <c r="AY12" s="184"/>
      <c r="AZ12" s="184"/>
      <c r="BA12" s="184"/>
      <c r="BB12" s="173">
        <f t="shared" si="19"/>
        <v>0</v>
      </c>
      <c r="BC12" s="4">
        <f t="shared" si="9"/>
        <v>0</v>
      </c>
      <c r="BD12" s="184"/>
      <c r="BE12" s="173"/>
      <c r="BF12" s="173"/>
      <c r="BG12" s="173"/>
      <c r="BH12" s="173"/>
      <c r="BI12" s="173">
        <f t="shared" si="10"/>
        <v>0</v>
      </c>
      <c r="BJ12" s="172"/>
      <c r="BK12" s="4">
        <f t="shared" si="20"/>
        <v>0</v>
      </c>
      <c r="BL12" s="173">
        <f t="shared" si="21"/>
        <v>0</v>
      </c>
      <c r="BM12" s="173">
        <f t="shared" si="22"/>
        <v>0</v>
      </c>
      <c r="BN12" s="173"/>
      <c r="BO12" s="173"/>
      <c r="BP12" s="173"/>
      <c r="BQ12" s="173"/>
    </row>
    <row r="13" spans="1:69" s="176" customFormat="1" ht="30" customHeight="1">
      <c r="A13" s="172">
        <v>8</v>
      </c>
      <c r="B13" s="172">
        <v>1986</v>
      </c>
      <c r="C13" s="172" t="s">
        <v>999</v>
      </c>
      <c r="D13" s="173">
        <v>3368727</v>
      </c>
      <c r="E13" s="173">
        <v>3368727</v>
      </c>
      <c r="F13" s="173">
        <f>D13-E13</f>
        <v>0</v>
      </c>
      <c r="G13" s="173">
        <v>3368727</v>
      </c>
      <c r="H13" s="173">
        <v>3351011.4</v>
      </c>
      <c r="I13" s="173"/>
      <c r="J13" s="173"/>
      <c r="K13" s="4">
        <f>SUM(I13:J13)</f>
        <v>0</v>
      </c>
      <c r="L13" s="4">
        <f>H13+K13</f>
        <v>3351011.4</v>
      </c>
      <c r="M13" s="4">
        <f t="shared" si="3"/>
        <v>17715.600000000093</v>
      </c>
      <c r="N13" s="4"/>
      <c r="O13" s="4">
        <f>N13-AH13</f>
        <v>0</v>
      </c>
      <c r="P13" s="4">
        <f>D13-L13-M13-O13</f>
        <v>0</v>
      </c>
      <c r="Q13" s="4">
        <f>G13-L13</f>
        <v>17715.600000000093</v>
      </c>
      <c r="R13" s="4"/>
      <c r="S13" s="4"/>
      <c r="T13" s="4">
        <f>SUM(R13:S13)</f>
        <v>0</v>
      </c>
      <c r="U13" s="4">
        <f>Q13-M13+T13</f>
        <v>0</v>
      </c>
      <c r="V13" s="4">
        <f>N13-U13</f>
        <v>0</v>
      </c>
      <c r="W13" s="4">
        <f>V13-AA13-X13-Z13</f>
        <v>0</v>
      </c>
      <c r="X13" s="4"/>
      <c r="Y13" s="4"/>
      <c r="Z13" s="4"/>
      <c r="AA13" s="3"/>
      <c r="AB13" s="172" t="s">
        <v>1000</v>
      </c>
      <c r="AC13" s="172">
        <v>742000</v>
      </c>
      <c r="AD13" s="178"/>
      <c r="AE13" s="309"/>
      <c r="AF13" s="309"/>
      <c r="AG13" s="309"/>
      <c r="AH13" s="4">
        <f t="shared" si="14"/>
        <v>0</v>
      </c>
      <c r="AI13" s="4">
        <f t="shared" si="15"/>
        <v>0</v>
      </c>
      <c r="AJ13" s="4"/>
      <c r="AK13" s="4">
        <f t="shared" si="23"/>
        <v>0</v>
      </c>
      <c r="AL13" s="4"/>
      <c r="AM13" s="4"/>
      <c r="AN13" s="4"/>
      <c r="AO13" s="172"/>
      <c r="AP13" s="172"/>
      <c r="AQ13" s="184"/>
      <c r="AR13" s="184"/>
      <c r="AS13" s="173">
        <f t="shared" si="24"/>
        <v>17715.600000000093</v>
      </c>
      <c r="AT13" s="173">
        <f t="shared" si="16"/>
        <v>17715.600000000093</v>
      </c>
      <c r="AU13" s="173">
        <f t="shared" si="8"/>
        <v>0</v>
      </c>
      <c r="AV13" s="173">
        <f t="shared" si="17"/>
        <v>0</v>
      </c>
      <c r="AW13" s="173">
        <f t="shared" si="18"/>
        <v>0</v>
      </c>
      <c r="AX13" s="173"/>
      <c r="AY13" s="184"/>
      <c r="AZ13" s="184"/>
      <c r="BA13" s="184"/>
      <c r="BB13" s="173">
        <f t="shared" si="19"/>
        <v>0</v>
      </c>
      <c r="BC13" s="4">
        <f t="shared" si="9"/>
        <v>0</v>
      </c>
      <c r="BD13" s="184"/>
      <c r="BE13" s="173"/>
      <c r="BF13" s="173"/>
      <c r="BG13" s="173"/>
      <c r="BH13" s="173"/>
      <c r="BI13" s="173">
        <f t="shared" si="10"/>
        <v>0</v>
      </c>
      <c r="BJ13" s="172"/>
      <c r="BK13" s="4">
        <f t="shared" si="20"/>
        <v>0</v>
      </c>
      <c r="BL13" s="173">
        <f t="shared" si="21"/>
        <v>0</v>
      </c>
      <c r="BM13" s="173">
        <f t="shared" si="22"/>
        <v>0</v>
      </c>
      <c r="BN13" s="173"/>
      <c r="BO13" s="173"/>
      <c r="BP13" s="173"/>
      <c r="BQ13" s="173"/>
    </row>
    <row r="14" spans="1:69" s="176" customFormat="1" ht="30" customHeight="1">
      <c r="A14" s="172">
        <v>9</v>
      </c>
      <c r="B14" s="172">
        <v>2100</v>
      </c>
      <c r="C14" s="172" t="s">
        <v>483</v>
      </c>
      <c r="D14" s="173">
        <v>8874955</v>
      </c>
      <c r="E14" s="173">
        <v>8874955</v>
      </c>
      <c r="F14" s="173">
        <f>D14-E14</f>
        <v>0</v>
      </c>
      <c r="G14" s="173">
        <v>4500000</v>
      </c>
      <c r="H14" s="173">
        <v>1172159.04</v>
      </c>
      <c r="I14" s="173"/>
      <c r="J14" s="173">
        <v>167756.68</v>
      </c>
      <c r="K14" s="173">
        <f>SUM(I14:J14)</f>
        <v>167756.68</v>
      </c>
      <c r="L14" s="173">
        <f>H14+K14</f>
        <v>1339915.72</v>
      </c>
      <c r="M14" s="4">
        <f>Q14+T14</f>
        <v>3160084.2800000003</v>
      </c>
      <c r="N14" s="173">
        <v>4374955</v>
      </c>
      <c r="O14" s="4">
        <f t="shared" si="11"/>
        <v>4374955</v>
      </c>
      <c r="P14" s="4">
        <f t="shared" si="12"/>
        <v>0</v>
      </c>
      <c r="Q14" s="173">
        <f>G14-L14</f>
        <v>3160084.2800000003</v>
      </c>
      <c r="R14" s="173"/>
      <c r="S14" s="173"/>
      <c r="T14" s="173">
        <f>SUM(R14:S14)</f>
        <v>0</v>
      </c>
      <c r="U14" s="173">
        <f>Q14-M14+T14</f>
        <v>0</v>
      </c>
      <c r="V14" s="173">
        <f>N14-U14</f>
        <v>4374955</v>
      </c>
      <c r="W14" s="173">
        <f>V14-X14-Z14-AA14</f>
        <v>905926</v>
      </c>
      <c r="X14" s="173">
        <f>2500000+500000+500000-30971</f>
        <v>3469029</v>
      </c>
      <c r="Y14" s="173"/>
      <c r="Z14" s="173"/>
      <c r="AA14" s="172"/>
      <c r="AB14" s="172" t="s">
        <v>484</v>
      </c>
      <c r="AC14" s="172">
        <v>742000</v>
      </c>
      <c r="AD14" s="172"/>
      <c r="AE14" s="309"/>
      <c r="AF14" s="309"/>
      <c r="AG14" s="309"/>
      <c r="AH14" s="4">
        <f t="shared" si="14"/>
        <v>0</v>
      </c>
      <c r="AI14" s="4">
        <f t="shared" si="15"/>
        <v>4374955</v>
      </c>
      <c r="AJ14" s="4">
        <v>905269</v>
      </c>
      <c r="AK14" s="4">
        <f t="shared" si="23"/>
        <v>3469686</v>
      </c>
      <c r="AL14" s="4"/>
      <c r="AM14" s="4"/>
      <c r="AN14" s="4"/>
      <c r="AO14" s="172"/>
      <c r="AP14" s="172"/>
      <c r="AQ14" s="184"/>
      <c r="AR14" s="173">
        <v>4374955</v>
      </c>
      <c r="AS14" s="173">
        <f t="shared" si="24"/>
        <v>3160084.2800000003</v>
      </c>
      <c r="AT14" s="173">
        <f t="shared" si="16"/>
        <v>7535039.2800000003</v>
      </c>
      <c r="AU14" s="173">
        <f t="shared" si="8"/>
        <v>0</v>
      </c>
      <c r="AV14" s="173">
        <f t="shared" si="17"/>
        <v>4374955</v>
      </c>
      <c r="AW14" s="173">
        <f t="shared" si="18"/>
        <v>905269</v>
      </c>
      <c r="AX14" s="173">
        <v>3469686</v>
      </c>
      <c r="AY14" s="184"/>
      <c r="AZ14" s="184"/>
      <c r="BA14" s="184"/>
      <c r="BB14" s="173">
        <f t="shared" si="19"/>
        <v>0</v>
      </c>
      <c r="BC14" s="4">
        <f t="shared" si="9"/>
        <v>4374955</v>
      </c>
      <c r="BD14" s="292" t="s">
        <v>1001</v>
      </c>
      <c r="BE14" s="173">
        <v>4374955</v>
      </c>
      <c r="BF14" s="173"/>
      <c r="BG14" s="173"/>
      <c r="BH14" s="173"/>
      <c r="BI14" s="173">
        <f t="shared" si="10"/>
        <v>4374955</v>
      </c>
      <c r="BJ14" s="172"/>
      <c r="BK14" s="4">
        <f t="shared" si="20"/>
        <v>4374955</v>
      </c>
      <c r="BL14" s="173">
        <f t="shared" si="21"/>
        <v>0</v>
      </c>
      <c r="BM14" s="173">
        <f t="shared" si="22"/>
        <v>905269</v>
      </c>
      <c r="BN14" s="173">
        <v>3469686</v>
      </c>
      <c r="BO14" s="173"/>
      <c r="BP14" s="173"/>
      <c r="BQ14" s="173"/>
    </row>
    <row r="15" spans="1:69" s="177" customFormat="1" ht="30" customHeight="1">
      <c r="A15" s="178">
        <v>9</v>
      </c>
      <c r="B15" s="178"/>
      <c r="C15" s="178" t="s">
        <v>473</v>
      </c>
      <c r="D15" s="180">
        <f t="shared" ref="D15:BQ15" si="25">SUM(D6:D14)</f>
        <v>128901682</v>
      </c>
      <c r="E15" s="180">
        <f t="shared" si="25"/>
        <v>128901682</v>
      </c>
      <c r="F15" s="180">
        <f t="shared" si="25"/>
        <v>0</v>
      </c>
      <c r="G15" s="180">
        <f t="shared" si="25"/>
        <v>93703621</v>
      </c>
      <c r="H15" s="180">
        <f t="shared" si="25"/>
        <v>79798363.820000008</v>
      </c>
      <c r="I15" s="180">
        <f t="shared" si="25"/>
        <v>0</v>
      </c>
      <c r="J15" s="180">
        <f t="shared" si="25"/>
        <v>1465969.83</v>
      </c>
      <c r="K15" s="180">
        <f t="shared" si="25"/>
        <v>1465969.83</v>
      </c>
      <c r="L15" s="180">
        <f t="shared" si="25"/>
        <v>81264333.650000006</v>
      </c>
      <c r="M15" s="180">
        <f t="shared" si="25"/>
        <v>12439287.350000001</v>
      </c>
      <c r="N15" s="180">
        <f t="shared" si="25"/>
        <v>8924955</v>
      </c>
      <c r="O15" s="180">
        <f t="shared" si="25"/>
        <v>8194955</v>
      </c>
      <c r="P15" s="180">
        <f t="shared" si="25"/>
        <v>27003106</v>
      </c>
      <c r="Q15" s="180">
        <f t="shared" si="25"/>
        <v>12439287.350000001</v>
      </c>
      <c r="R15" s="180">
        <f t="shared" si="25"/>
        <v>0</v>
      </c>
      <c r="S15" s="180">
        <f t="shared" si="25"/>
        <v>0</v>
      </c>
      <c r="T15" s="180">
        <f t="shared" si="25"/>
        <v>0</v>
      </c>
      <c r="U15" s="180">
        <f t="shared" si="25"/>
        <v>0</v>
      </c>
      <c r="V15" s="180">
        <f t="shared" si="25"/>
        <v>8924955</v>
      </c>
      <c r="W15" s="180">
        <f t="shared" si="25"/>
        <v>2455926</v>
      </c>
      <c r="X15" s="180">
        <f t="shared" si="25"/>
        <v>6469029</v>
      </c>
      <c r="Y15" s="180">
        <f t="shared" si="25"/>
        <v>0</v>
      </c>
      <c r="Z15" s="180">
        <f t="shared" si="25"/>
        <v>0</v>
      </c>
      <c r="AA15" s="180">
        <f t="shared" si="25"/>
        <v>0</v>
      </c>
      <c r="AB15" s="180">
        <f t="shared" si="25"/>
        <v>0</v>
      </c>
      <c r="AC15" s="180"/>
      <c r="AD15" s="180">
        <f t="shared" si="25"/>
        <v>0</v>
      </c>
      <c r="AE15" s="180">
        <f>SUM(AE6:AE14)</f>
        <v>100000</v>
      </c>
      <c r="AF15" s="180">
        <f>SUM(AF6:AF14)</f>
        <v>630000</v>
      </c>
      <c r="AG15" s="180">
        <f t="shared" si="25"/>
        <v>0</v>
      </c>
      <c r="AH15" s="180">
        <f t="shared" si="25"/>
        <v>730000</v>
      </c>
      <c r="AI15" s="180">
        <f t="shared" si="25"/>
        <v>8194955</v>
      </c>
      <c r="AJ15" s="180">
        <f t="shared" si="25"/>
        <v>2455269</v>
      </c>
      <c r="AK15" s="180">
        <f t="shared" si="25"/>
        <v>5739686</v>
      </c>
      <c r="AL15" s="180">
        <f t="shared" si="25"/>
        <v>0</v>
      </c>
      <c r="AM15" s="180">
        <f t="shared" si="25"/>
        <v>0</v>
      </c>
      <c r="AN15" s="180">
        <f t="shared" si="25"/>
        <v>0</v>
      </c>
      <c r="AO15" s="180">
        <f t="shared" si="25"/>
        <v>1000000</v>
      </c>
      <c r="AP15" s="180">
        <f t="shared" si="25"/>
        <v>2088929</v>
      </c>
      <c r="AQ15" s="184"/>
      <c r="AR15" s="180">
        <f t="shared" si="25"/>
        <v>6224955</v>
      </c>
      <c r="AS15" s="180">
        <f t="shared" si="25"/>
        <v>12439287.050000001</v>
      </c>
      <c r="AT15" s="180">
        <f t="shared" si="25"/>
        <v>18664242.050000001</v>
      </c>
      <c r="AU15" s="180">
        <f t="shared" si="25"/>
        <v>28973106.300000001</v>
      </c>
      <c r="AV15" s="180">
        <f t="shared" si="25"/>
        <v>6224954.6999999993</v>
      </c>
      <c r="AW15" s="180">
        <f t="shared" si="25"/>
        <v>1455268.6999999993</v>
      </c>
      <c r="AX15" s="180">
        <f t="shared" si="25"/>
        <v>4769686</v>
      </c>
      <c r="AY15" s="180">
        <f t="shared" si="25"/>
        <v>0</v>
      </c>
      <c r="AZ15" s="180">
        <f t="shared" si="25"/>
        <v>0</v>
      </c>
      <c r="BA15" s="180">
        <f t="shared" si="25"/>
        <v>0</v>
      </c>
      <c r="BB15" s="180">
        <f t="shared" si="25"/>
        <v>-0.30000000074505806</v>
      </c>
      <c r="BC15" s="180">
        <f t="shared" si="25"/>
        <v>6224955</v>
      </c>
      <c r="BD15" s="180">
        <f t="shared" si="25"/>
        <v>0</v>
      </c>
      <c r="BE15" s="180">
        <f t="shared" si="25"/>
        <v>6194955</v>
      </c>
      <c r="BF15" s="180">
        <f>SUM(BF6:BF14)</f>
        <v>0</v>
      </c>
      <c r="BG15" s="180">
        <f>SUM(BG6:BG14)</f>
        <v>0</v>
      </c>
      <c r="BH15" s="180">
        <f>SUM(BH6:BH14)</f>
        <v>0</v>
      </c>
      <c r="BI15" s="180">
        <f t="shared" si="25"/>
        <v>6194955</v>
      </c>
      <c r="BJ15" s="180">
        <f t="shared" si="25"/>
        <v>0</v>
      </c>
      <c r="BK15" s="180">
        <f t="shared" si="25"/>
        <v>6194955</v>
      </c>
      <c r="BL15" s="180">
        <f t="shared" si="25"/>
        <v>29999.699999999255</v>
      </c>
      <c r="BM15" s="180">
        <f t="shared" si="25"/>
        <v>1455269</v>
      </c>
      <c r="BN15" s="180">
        <f t="shared" si="25"/>
        <v>4739686</v>
      </c>
      <c r="BO15" s="180">
        <f t="shared" si="25"/>
        <v>0</v>
      </c>
      <c r="BP15" s="180">
        <f t="shared" si="25"/>
        <v>0</v>
      </c>
      <c r="BQ15" s="180">
        <f t="shared" si="25"/>
        <v>0</v>
      </c>
    </row>
    <row r="16" spans="1:69">
      <c r="L16" s="167">
        <f>K15+H15</f>
        <v>81264333.650000006</v>
      </c>
      <c r="M16" s="167">
        <f>Q16+T15-U15</f>
        <v>12439287.349999994</v>
      </c>
      <c r="P16" s="167">
        <f>L15+M15+O15+P15</f>
        <v>128901682</v>
      </c>
      <c r="Q16" s="167">
        <f>G15-L16</f>
        <v>12439287.349999994</v>
      </c>
      <c r="AO16" s="435"/>
      <c r="AP16" s="436"/>
    </row>
    <row r="17" spans="41:42">
      <c r="AO17" s="437"/>
      <c r="AP17" s="437"/>
    </row>
    <row r="18" spans="41:42">
      <c r="AO18" s="294"/>
      <c r="AP18" s="294"/>
    </row>
    <row r="19" spans="41:42">
      <c r="AO19" s="294"/>
      <c r="AP19" s="294"/>
    </row>
    <row r="20" spans="41:42">
      <c r="AO20" s="294"/>
      <c r="AP20" s="294"/>
    </row>
    <row r="21" spans="41:42">
      <c r="AO21" s="294"/>
      <c r="AP21" s="294"/>
    </row>
    <row r="22" spans="41:42">
      <c r="AO22" s="294"/>
      <c r="AP22" s="294"/>
    </row>
    <row r="23" spans="41:42">
      <c r="AO23" s="294"/>
      <c r="AP23" s="294"/>
    </row>
    <row r="24" spans="41:42">
      <c r="AO24" s="294"/>
      <c r="AP24" s="294"/>
    </row>
    <row r="25" spans="41:42">
      <c r="AO25" s="294"/>
      <c r="AP25" s="294"/>
    </row>
    <row r="26" spans="41:42">
      <c r="AO26" s="294"/>
      <c r="AP26" s="294"/>
    </row>
    <row r="27" spans="41:42">
      <c r="AO27" s="294"/>
      <c r="AP27" s="294"/>
    </row>
    <row r="28" spans="41:42">
      <c r="AO28" s="294"/>
      <c r="AP28" s="294"/>
    </row>
    <row r="29" spans="41:42">
      <c r="AO29" s="294"/>
      <c r="AP29" s="294"/>
    </row>
    <row r="30" spans="41:42">
      <c r="AO30" s="294"/>
      <c r="AP30" s="294"/>
    </row>
    <row r="31" spans="41:42">
      <c r="AO31" s="294"/>
      <c r="AP31" s="294"/>
    </row>
    <row r="32" spans="41:42">
      <c r="AO32" s="294"/>
      <c r="AP32" s="294"/>
    </row>
    <row r="33" spans="41:42">
      <c r="AO33" s="294"/>
      <c r="AP33" s="294"/>
    </row>
    <row r="34" spans="41:42">
      <c r="AO34" s="294"/>
      <c r="AP34" s="294"/>
    </row>
    <row r="35" spans="41:42">
      <c r="AO35" s="294"/>
      <c r="AP35" s="294"/>
    </row>
    <row r="36" spans="41:42">
      <c r="AO36" s="294"/>
      <c r="AP36" s="294"/>
    </row>
    <row r="37" spans="41:42">
      <c r="AO37" s="294"/>
      <c r="AP37" s="294"/>
    </row>
    <row r="38" spans="41:42">
      <c r="AO38" s="294"/>
      <c r="AP38" s="294"/>
    </row>
    <row r="39" spans="41:42">
      <c r="AO39" s="294"/>
      <c r="AP39" s="294"/>
    </row>
    <row r="40" spans="41:42">
      <c r="AO40" s="294"/>
      <c r="AP40" s="294"/>
    </row>
    <row r="41" spans="41:42">
      <c r="AO41" s="294"/>
      <c r="AP41" s="294"/>
    </row>
    <row r="42" spans="41:42">
      <c r="AO42" s="294"/>
      <c r="AP42" s="294"/>
    </row>
    <row r="43" spans="41:42">
      <c r="AO43" s="294"/>
      <c r="AP43" s="294"/>
    </row>
    <row r="44" spans="41:42">
      <c r="AO44" s="294"/>
      <c r="AP44" s="294"/>
    </row>
    <row r="45" spans="41:42">
      <c r="AO45" s="294"/>
      <c r="AP45" s="294"/>
    </row>
    <row r="46" spans="41:42">
      <c r="AO46" s="294"/>
      <c r="AP46" s="294"/>
    </row>
    <row r="47" spans="41:42">
      <c r="AO47" s="294"/>
      <c r="AP47" s="294"/>
    </row>
    <row r="48" spans="41:42">
      <c r="AO48" s="294"/>
      <c r="AP48" s="294"/>
    </row>
    <row r="49" spans="41:42">
      <c r="AO49" s="294"/>
      <c r="AP49" s="294"/>
    </row>
    <row r="50" spans="41:42">
      <c r="AO50" s="294"/>
      <c r="AP50" s="294"/>
    </row>
    <row r="51" spans="41:42">
      <c r="AO51" s="294"/>
      <c r="AP51" s="294"/>
    </row>
    <row r="52" spans="41:42">
      <c r="AO52" s="294"/>
      <c r="AP52" s="294"/>
    </row>
    <row r="53" spans="41:42">
      <c r="AO53" s="294"/>
      <c r="AP53" s="294"/>
    </row>
    <row r="54" spans="41:42">
      <c r="AO54" s="294"/>
      <c r="AP54" s="294"/>
    </row>
    <row r="55" spans="41:42">
      <c r="AO55" s="294"/>
      <c r="AP55" s="294"/>
    </row>
    <row r="56" spans="41:42">
      <c r="AO56" s="294"/>
      <c r="AP56" s="294"/>
    </row>
    <row r="57" spans="41:42">
      <c r="AO57" s="294"/>
      <c r="AP57" s="294"/>
    </row>
    <row r="58" spans="41:42">
      <c r="AO58" s="294"/>
      <c r="AP58" s="294"/>
    </row>
    <row r="59" spans="41:42">
      <c r="AO59" s="294"/>
      <c r="AP59" s="294"/>
    </row>
    <row r="60" spans="41:42">
      <c r="AO60" s="294"/>
      <c r="AP60" s="294"/>
    </row>
    <row r="61" spans="41:42">
      <c r="AO61" s="294"/>
      <c r="AP61" s="294"/>
    </row>
    <row r="62" spans="41:42">
      <c r="AO62" s="294"/>
      <c r="AP62" s="294"/>
    </row>
    <row r="63" spans="41:42">
      <c r="AO63" s="294"/>
      <c r="AP63" s="294"/>
    </row>
    <row r="64" spans="41:42">
      <c r="AO64" s="294"/>
      <c r="AP64" s="294"/>
    </row>
    <row r="65" spans="41:42">
      <c r="AO65" s="294"/>
      <c r="AP65" s="294"/>
    </row>
    <row r="66" spans="41:42">
      <c r="AO66" s="294"/>
      <c r="AP66" s="294"/>
    </row>
    <row r="67" spans="41:42">
      <c r="AO67" s="294"/>
      <c r="AP67" s="294"/>
    </row>
    <row r="68" spans="41:42">
      <c r="AO68" s="294"/>
      <c r="AP68" s="294"/>
    </row>
    <row r="69" spans="41:42">
      <c r="AO69" s="294"/>
      <c r="AP69" s="294"/>
    </row>
    <row r="70" spans="41:42">
      <c r="AO70" s="294"/>
      <c r="AP70" s="294"/>
    </row>
    <row r="71" spans="41:42">
      <c r="AO71" s="294"/>
      <c r="AP71" s="294"/>
    </row>
    <row r="72" spans="41:42">
      <c r="AO72" s="294"/>
      <c r="AP72" s="294"/>
    </row>
    <row r="73" spans="41:42">
      <c r="AO73" s="294"/>
      <c r="AP73" s="294"/>
    </row>
    <row r="74" spans="41:42">
      <c r="AO74" s="294"/>
      <c r="AP74" s="294"/>
    </row>
    <row r="75" spans="41:42">
      <c r="AO75" s="294"/>
      <c r="AP75" s="294"/>
    </row>
    <row r="76" spans="41:42">
      <c r="AO76" s="294"/>
      <c r="AP76" s="294"/>
    </row>
    <row r="77" spans="41:42">
      <c r="AO77" s="294"/>
      <c r="AP77" s="294"/>
    </row>
    <row r="78" spans="41:42">
      <c r="AO78" s="294"/>
      <c r="AP78" s="294"/>
    </row>
    <row r="79" spans="41:42">
      <c r="AO79" s="294"/>
      <c r="AP79" s="294"/>
    </row>
    <row r="80" spans="41:42">
      <c r="AO80" s="294"/>
      <c r="AP80" s="294"/>
    </row>
    <row r="81" spans="41:42">
      <c r="AO81" s="294"/>
      <c r="AP81" s="294"/>
    </row>
    <row r="82" spans="41:42">
      <c r="AO82" s="294"/>
      <c r="AP82" s="294"/>
    </row>
    <row r="83" spans="41:42">
      <c r="AO83" s="294"/>
      <c r="AP83" s="294"/>
    </row>
    <row r="84" spans="41:42">
      <c r="AO84" s="17"/>
      <c r="AP84" s="17"/>
    </row>
    <row r="85" spans="41:42">
      <c r="AO85" s="17"/>
      <c r="AP85" s="17"/>
    </row>
    <row r="86" spans="41:42">
      <c r="AO86" s="17"/>
      <c r="AP86" s="17"/>
    </row>
    <row r="87" spans="41:42">
      <c r="AO87" s="17"/>
      <c r="AP87" s="17"/>
    </row>
    <row r="88" spans="41:42">
      <c r="AO88" s="17"/>
      <c r="AP88" s="17"/>
    </row>
    <row r="89" spans="41:42">
      <c r="AO89" s="17"/>
      <c r="AP89" s="17"/>
    </row>
    <row r="90" spans="41:42">
      <c r="AO90" s="17"/>
      <c r="AP90" s="17"/>
    </row>
    <row r="91" spans="41:42">
      <c r="AO91" s="17"/>
      <c r="AP91" s="17"/>
    </row>
    <row r="92" spans="41:42">
      <c r="AO92" s="17"/>
      <c r="AP92" s="17"/>
    </row>
    <row r="93" spans="41:42">
      <c r="AO93" s="17"/>
      <c r="AP93" s="17"/>
    </row>
    <row r="94" spans="41:42">
      <c r="AO94" s="17"/>
      <c r="AP94" s="17"/>
    </row>
    <row r="95" spans="41:42">
      <c r="AO95" s="17"/>
      <c r="AP95" s="17"/>
    </row>
    <row r="96" spans="41:42">
      <c r="AO96" s="17"/>
      <c r="AP96" s="17"/>
    </row>
    <row r="97" spans="41:42">
      <c r="AO97" s="17"/>
      <c r="AP97" s="17"/>
    </row>
    <row r="98" spans="41:42">
      <c r="AO98" s="17"/>
      <c r="AP98" s="17"/>
    </row>
    <row r="99" spans="41:42">
      <c r="AO99" s="17"/>
      <c r="AP99" s="17"/>
    </row>
    <row r="100" spans="41:42">
      <c r="AO100" s="17"/>
      <c r="AP100" s="17"/>
    </row>
    <row r="101" spans="41:42">
      <c r="AO101" s="17"/>
      <c r="AP101" s="17"/>
    </row>
    <row r="102" spans="41:42">
      <c r="AO102" s="17"/>
      <c r="AP102" s="17"/>
    </row>
    <row r="103" spans="41:42">
      <c r="AO103" s="17"/>
      <c r="AP103" s="17"/>
    </row>
    <row r="104" spans="41:42">
      <c r="AO104" s="17"/>
      <c r="AP104" s="17"/>
    </row>
    <row r="105" spans="41:42">
      <c r="AO105" s="17"/>
      <c r="AP105" s="17"/>
    </row>
    <row r="106" spans="41:42">
      <c r="AO106" s="17"/>
      <c r="AP106" s="17"/>
    </row>
    <row r="107" spans="41:42">
      <c r="AO107" s="17"/>
      <c r="AP107" s="17"/>
    </row>
    <row r="108" spans="41:42">
      <c r="AO108" s="17"/>
      <c r="AP108" s="17"/>
    </row>
    <row r="109" spans="41:42">
      <c r="AO109" s="17"/>
      <c r="AP109" s="17"/>
    </row>
    <row r="110" spans="41:42">
      <c r="AO110" s="17"/>
      <c r="AP110" s="17"/>
    </row>
    <row r="111" spans="41:42">
      <c r="AO111" s="17"/>
      <c r="AP111" s="17"/>
    </row>
    <row r="112" spans="41:42">
      <c r="AO112" s="17"/>
      <c r="AP112" s="17"/>
    </row>
    <row r="113" spans="41:42">
      <c r="AO113" s="17"/>
      <c r="AP113" s="17"/>
    </row>
    <row r="114" spans="41:42">
      <c r="AO114" s="17"/>
      <c r="AP114" s="17"/>
    </row>
    <row r="115" spans="41:42">
      <c r="AO115" s="17"/>
      <c r="AP115" s="17"/>
    </row>
    <row r="116" spans="41:42">
      <c r="AO116" s="17"/>
      <c r="AP116" s="17"/>
    </row>
    <row r="117" spans="41:42">
      <c r="AO117" s="17"/>
      <c r="AP117" s="17"/>
    </row>
    <row r="118" spans="41:42">
      <c r="AO118" s="17"/>
      <c r="AP118" s="17"/>
    </row>
    <row r="119" spans="41:42">
      <c r="AO119" s="17"/>
      <c r="AP119" s="17"/>
    </row>
    <row r="120" spans="41:42">
      <c r="AO120" s="17"/>
      <c r="AP120" s="17"/>
    </row>
    <row r="121" spans="41:42">
      <c r="AO121" s="17"/>
      <c r="AP121" s="17"/>
    </row>
    <row r="122" spans="41:42">
      <c r="AO122" s="17"/>
      <c r="AP122" s="17"/>
    </row>
    <row r="123" spans="41:42">
      <c r="AO123" s="17"/>
      <c r="AP123" s="17"/>
    </row>
    <row r="124" spans="41:42">
      <c r="AO124" s="17"/>
      <c r="AP124" s="17"/>
    </row>
    <row r="125" spans="41:42">
      <c r="AO125" s="17"/>
      <c r="AP125" s="17"/>
    </row>
  </sheetData>
  <sheetProtection formatCells="0" formatColumns="0" formatRows="0" insertColumns="0" insertRows="0" insertHyperlinks="0" deleteColumns="0" deleteRows="0" sort="0" autoFilter="0" pivotTables="0"/>
  <mergeCells count="6">
    <mergeCell ref="BM4:BQ4"/>
    <mergeCell ref="A1:X1"/>
    <mergeCell ref="D4:AU4"/>
    <mergeCell ref="AW4:BA4"/>
    <mergeCell ref="BB4:BC4"/>
    <mergeCell ref="BE4:BK4"/>
  </mergeCells>
  <conditionalFormatting sqref="AB5">
    <cfRule type="cellIs" dxfId="9" priority="12" operator="equal">
      <formula>0</formula>
    </cfRule>
  </conditionalFormatting>
  <conditionalFormatting sqref="AO1:AP3 AR1:BA3">
    <cfRule type="cellIs" dxfId="8" priority="11" operator="equal">
      <formula>0</formula>
    </cfRule>
  </conditionalFormatting>
  <conditionalFormatting sqref="AO17:AP17 AR17:BA17">
    <cfRule type="cellIs" dxfId="7" priority="10" operator="equal">
      <formula>0</formula>
    </cfRule>
  </conditionalFormatting>
  <conditionalFormatting sqref="AR12:AR13">
    <cfRule type="cellIs" dxfId="6" priority="9" operator="equal">
      <formula>0</formula>
    </cfRule>
  </conditionalFormatting>
  <conditionalFormatting sqref="AQ1:AQ3">
    <cfRule type="cellIs" dxfId="5" priority="8" operator="equal">
      <formula>0</formula>
    </cfRule>
  </conditionalFormatting>
  <conditionalFormatting sqref="AQ17">
    <cfRule type="cellIs" dxfId="4" priority="7" operator="equal">
      <formula>0</formula>
    </cfRule>
  </conditionalFormatting>
  <conditionalFormatting sqref="AQ12:AQ14">
    <cfRule type="cellIs" dxfId="3" priority="6" operator="equal">
      <formula>0</formula>
    </cfRule>
  </conditionalFormatting>
  <conditionalFormatting sqref="BD1:BD3">
    <cfRule type="cellIs" dxfId="2" priority="3" operator="equal">
      <formula>0</formula>
    </cfRule>
  </conditionalFormatting>
  <conditionalFormatting sqref="BD17">
    <cfRule type="cellIs" dxfId="1" priority="2" operator="equal">
      <formula>0</formula>
    </cfRule>
  </conditionalFormatting>
  <conditionalFormatting sqref="BD12:BD14">
    <cfRule type="cellIs" dxfId="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1"/>
  <sheetViews>
    <sheetView showZeros="0" rightToLeft="1" zoomScaleNormal="100" zoomScaleSheetLayoutView="75" workbookViewId="0">
      <pane xSplit="5" ySplit="5" topLeftCell="F65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defaultColWidth="14" defaultRowHeight="12.5"/>
  <cols>
    <col min="1" max="1" width="9.54296875" hidden="1" customWidth="1"/>
    <col min="2" max="2" width="7.81640625" hidden="1" customWidth="1"/>
    <col min="3" max="3" width="4.54296875" customWidth="1"/>
    <col min="4" max="4" width="6" customWidth="1"/>
    <col min="5" max="5" width="31.453125" customWidth="1"/>
    <col min="6" max="6" width="11.1796875" hidden="1" customWidth="1"/>
    <col min="7" max="7" width="11.36328125" hidden="1" customWidth="1"/>
    <col min="8" max="8" width="10.453125" hidden="1" customWidth="1"/>
    <col min="9" max="10" width="11.36328125" hidden="1" customWidth="1"/>
    <col min="11" max="11" width="11.1796875" hidden="1" customWidth="1"/>
    <col min="12" max="12" width="10.453125" hidden="1" customWidth="1"/>
    <col min="13" max="13" width="18.36328125" hidden="1" customWidth="1"/>
    <col min="14" max="14" width="10.36328125" hidden="1" customWidth="1"/>
    <col min="15" max="18" width="12.81640625" customWidth="1"/>
    <col min="19" max="26" width="12.81640625" hidden="1" customWidth="1"/>
    <col min="27" max="28" width="12.81640625" customWidth="1"/>
    <col min="29" max="31" width="13.81640625" customWidth="1"/>
    <col min="32" max="32" width="10.453125" customWidth="1"/>
    <col min="33" max="35" width="12.08984375" customWidth="1"/>
    <col min="36" max="36" width="10.08984375" customWidth="1"/>
    <col min="37" max="39" width="10.08984375" bestFit="1" customWidth="1"/>
    <col min="40" max="40" width="9.6328125" customWidth="1"/>
    <col min="41" max="41" width="10.08984375" customWidth="1"/>
    <col min="43" max="44" width="13.36328125" customWidth="1"/>
    <col min="45" max="47" width="9.6328125" customWidth="1"/>
    <col min="48" max="48" width="13.36328125" customWidth="1"/>
    <col min="51" max="53" width="13.36328125" customWidth="1"/>
    <col min="54" max="62" width="10.36328125" customWidth="1"/>
  </cols>
  <sheetData>
    <row r="1" spans="1:62" ht="23">
      <c r="A1" s="197"/>
      <c r="B1" s="75"/>
      <c r="C1" s="75"/>
      <c r="D1" s="38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385"/>
      <c r="T1" s="75"/>
      <c r="U1" s="75"/>
      <c r="V1" s="75"/>
      <c r="W1" s="75"/>
      <c r="X1" s="75"/>
      <c r="Y1" s="75"/>
      <c r="Z1" s="214"/>
      <c r="AA1" s="214"/>
      <c r="AB1" s="75"/>
      <c r="AC1" s="75"/>
      <c r="AD1" s="75"/>
      <c r="AE1" s="75"/>
      <c r="AF1" s="214"/>
      <c r="AG1" s="214"/>
      <c r="AH1" s="214"/>
      <c r="AI1" s="214"/>
      <c r="AJ1" s="214"/>
      <c r="AK1" s="214"/>
      <c r="AL1" s="214"/>
      <c r="AM1" s="214"/>
      <c r="AN1" s="209"/>
      <c r="AO1" s="209"/>
      <c r="AP1" s="209"/>
      <c r="AQ1" s="209"/>
      <c r="AR1" s="209"/>
      <c r="AS1" s="209"/>
      <c r="AT1" s="209"/>
      <c r="AU1" s="209"/>
      <c r="AV1" s="75"/>
      <c r="AW1" s="75"/>
      <c r="AX1" s="75"/>
      <c r="AY1" s="75"/>
      <c r="AZ1" s="75"/>
      <c r="BA1" s="75"/>
      <c r="BB1" s="197"/>
      <c r="BC1" s="197"/>
      <c r="BD1" s="197"/>
      <c r="BE1" s="197"/>
      <c r="BF1" s="197"/>
      <c r="BG1" s="197"/>
      <c r="BH1" s="197"/>
      <c r="BI1" s="197"/>
      <c r="BJ1" s="197"/>
    </row>
    <row r="2" spans="1:62" ht="23">
      <c r="A2" s="316" t="s">
        <v>1184</v>
      </c>
      <c r="B2" s="316"/>
      <c r="C2" s="282" t="s">
        <v>1626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214"/>
      <c r="AA2" s="214"/>
      <c r="AB2" s="316"/>
      <c r="AC2" s="316"/>
      <c r="AD2" s="316"/>
      <c r="AE2" s="316"/>
      <c r="AF2" s="214"/>
      <c r="AG2" s="214"/>
      <c r="AH2" s="214"/>
      <c r="AI2" s="214"/>
      <c r="AJ2" s="214"/>
      <c r="AK2" s="214"/>
      <c r="AL2" s="214"/>
      <c r="AM2" s="214"/>
      <c r="AN2" s="209"/>
      <c r="AO2" s="209"/>
      <c r="AP2" s="209"/>
      <c r="AQ2" s="209"/>
      <c r="AR2" s="209"/>
      <c r="AS2" s="209"/>
      <c r="AT2" s="209"/>
      <c r="AU2" s="209"/>
      <c r="AV2" s="75"/>
      <c r="AW2" s="75"/>
      <c r="AX2" s="75"/>
      <c r="AY2" s="75"/>
      <c r="AZ2" s="75"/>
      <c r="BA2" s="75"/>
      <c r="BB2" s="197"/>
      <c r="BC2" s="197"/>
      <c r="BD2" s="197"/>
      <c r="BE2" s="197"/>
      <c r="BF2" s="197"/>
      <c r="BG2" s="197"/>
      <c r="BH2" s="197"/>
      <c r="BI2" s="197"/>
      <c r="BJ2" s="197"/>
    </row>
    <row r="3" spans="1:62" ht="17.25" customHeight="1" thickBot="1">
      <c r="A3" s="198"/>
      <c r="B3" s="207"/>
      <c r="C3" s="207"/>
      <c r="D3" s="209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386"/>
      <c r="T3" s="207"/>
      <c r="U3" s="207"/>
      <c r="V3" s="207"/>
      <c r="W3" s="207"/>
      <c r="X3" s="207"/>
      <c r="Y3" s="207"/>
      <c r="Z3" s="214"/>
      <c r="AA3" s="214"/>
      <c r="AB3" s="199"/>
      <c r="AC3" s="207"/>
      <c r="AD3" s="207"/>
      <c r="AE3" s="207"/>
      <c r="AF3" s="214"/>
      <c r="AG3" s="214"/>
      <c r="AH3" s="214"/>
      <c r="AI3" s="214"/>
      <c r="AJ3" s="214"/>
      <c r="AK3" s="214"/>
      <c r="AL3" s="214"/>
      <c r="AM3" s="214"/>
      <c r="AN3" s="209"/>
      <c r="AO3" s="209"/>
      <c r="AP3" s="209"/>
      <c r="AQ3" s="209"/>
      <c r="AR3" s="209"/>
      <c r="AS3" s="209"/>
      <c r="AT3" s="209"/>
      <c r="AU3" s="209"/>
      <c r="AV3" s="75"/>
      <c r="AW3" s="75"/>
      <c r="AX3" s="75"/>
      <c r="AY3" s="75"/>
      <c r="AZ3" s="75"/>
      <c r="BA3" s="75"/>
      <c r="BB3" s="197"/>
      <c r="BC3" s="197"/>
      <c r="BD3" s="197"/>
      <c r="BE3" s="197"/>
      <c r="BF3" s="197"/>
      <c r="BG3" s="197"/>
      <c r="BH3" s="197"/>
      <c r="BI3" s="197"/>
      <c r="BJ3" s="197"/>
    </row>
    <row r="4" spans="1:62" s="689" customFormat="1" ht="22.75" customHeight="1">
      <c r="A4" s="682"/>
      <c r="B4" s="683"/>
      <c r="C4" s="382"/>
      <c r="D4" s="684"/>
      <c r="E4" s="382"/>
      <c r="F4" s="787" t="s">
        <v>291</v>
      </c>
      <c r="G4" s="787"/>
      <c r="H4" s="787"/>
      <c r="I4" s="787"/>
      <c r="J4" s="787"/>
      <c r="K4" s="787"/>
      <c r="L4" s="382"/>
      <c r="M4" s="382"/>
      <c r="N4" s="787" t="s">
        <v>292</v>
      </c>
      <c r="O4" s="787"/>
      <c r="P4" s="787"/>
      <c r="Q4" s="787"/>
      <c r="R4" s="787"/>
      <c r="S4" s="685"/>
      <c r="T4" s="686"/>
      <c r="U4" s="686"/>
      <c r="V4" s="686"/>
      <c r="W4" s="686"/>
      <c r="X4" s="686"/>
      <c r="Y4" s="787" t="s">
        <v>1185</v>
      </c>
      <c r="Z4" s="787"/>
      <c r="AA4" s="787"/>
      <c r="AB4" s="686"/>
      <c r="AC4" s="787" t="s">
        <v>969</v>
      </c>
      <c r="AD4" s="787"/>
      <c r="AE4" s="787"/>
      <c r="AF4" s="687"/>
      <c r="AG4" s="687"/>
      <c r="AH4" s="687"/>
      <c r="AI4" s="687"/>
      <c r="AJ4" s="687"/>
      <c r="AK4" s="687"/>
      <c r="AL4" s="687"/>
      <c r="AM4" s="687"/>
      <c r="AN4" s="688"/>
      <c r="AO4" s="688"/>
      <c r="AP4" s="688"/>
      <c r="AQ4" s="688"/>
      <c r="AR4" s="688"/>
      <c r="AS4" s="688"/>
      <c r="AT4" s="688"/>
      <c r="AU4" s="688"/>
      <c r="AV4" s="164"/>
      <c r="AW4" s="164"/>
      <c r="AX4" s="164"/>
      <c r="AY4" s="164"/>
      <c r="AZ4" s="164"/>
      <c r="BA4" s="164"/>
      <c r="BB4" s="166"/>
      <c r="BC4" s="166"/>
      <c r="BD4" s="166"/>
      <c r="BE4" s="166"/>
      <c r="BF4" s="166"/>
      <c r="BG4" s="166"/>
      <c r="BH4" s="166"/>
      <c r="BI4" s="166"/>
      <c r="BJ4" s="166"/>
    </row>
    <row r="5" spans="1:62" s="693" customFormat="1" ht="98">
      <c r="A5" s="690" t="s">
        <v>293</v>
      </c>
      <c r="B5" s="691" t="s">
        <v>294</v>
      </c>
      <c r="C5" s="692" t="s">
        <v>0</v>
      </c>
      <c r="D5" s="171" t="s">
        <v>1</v>
      </c>
      <c r="E5" s="692" t="s">
        <v>2</v>
      </c>
      <c r="F5" s="445" t="s">
        <v>295</v>
      </c>
      <c r="G5" s="445" t="s">
        <v>296</v>
      </c>
      <c r="H5" s="445" t="s">
        <v>297</v>
      </c>
      <c r="I5" s="445" t="s">
        <v>11</v>
      </c>
      <c r="J5" s="445" t="s">
        <v>1186</v>
      </c>
      <c r="K5" s="445" t="s">
        <v>628</v>
      </c>
      <c r="L5" s="445" t="s">
        <v>1187</v>
      </c>
      <c r="M5" s="445" t="s">
        <v>1188</v>
      </c>
      <c r="N5" s="445" t="s">
        <v>1189</v>
      </c>
      <c r="O5" s="445" t="s">
        <v>1622</v>
      </c>
      <c r="P5" s="445" t="s">
        <v>13</v>
      </c>
      <c r="Q5" s="445" t="s">
        <v>14</v>
      </c>
      <c r="R5" s="445" t="s">
        <v>91</v>
      </c>
      <c r="S5" s="175" t="s">
        <v>643</v>
      </c>
      <c r="T5" s="445" t="s">
        <v>1190</v>
      </c>
      <c r="U5" s="445" t="s">
        <v>1191</v>
      </c>
      <c r="V5" s="445" t="s">
        <v>1191</v>
      </c>
      <c r="W5" s="445" t="s">
        <v>1192</v>
      </c>
      <c r="X5" s="445" t="s">
        <v>1193</v>
      </c>
      <c r="Y5" s="434" t="s">
        <v>994</v>
      </c>
      <c r="Z5" s="434" t="s">
        <v>1238</v>
      </c>
      <c r="AA5" s="445" t="s">
        <v>996</v>
      </c>
      <c r="AB5" s="445" t="s">
        <v>1623</v>
      </c>
      <c r="AC5" s="445" t="s">
        <v>13</v>
      </c>
      <c r="AD5" s="445" t="s">
        <v>14</v>
      </c>
      <c r="AE5" s="445" t="s">
        <v>91</v>
      </c>
      <c r="AF5" s="687"/>
      <c r="AG5" s="687"/>
      <c r="AH5" s="687"/>
      <c r="AI5" s="687"/>
      <c r="AJ5" s="687"/>
      <c r="AK5" s="687"/>
      <c r="AL5" s="687"/>
      <c r="AM5" s="687"/>
      <c r="AN5" s="688"/>
      <c r="AO5" s="688"/>
      <c r="AP5" s="688"/>
      <c r="AQ5" s="688"/>
      <c r="AR5" s="688"/>
      <c r="AS5" s="688"/>
      <c r="AT5" s="688"/>
      <c r="AU5" s="688"/>
      <c r="AV5" s="164"/>
      <c r="AY5" s="164"/>
      <c r="AZ5" s="164"/>
      <c r="BA5" s="164"/>
      <c r="BB5" s="166"/>
      <c r="BC5" s="166"/>
      <c r="BD5" s="166"/>
      <c r="BE5" s="166"/>
      <c r="BF5" s="166"/>
      <c r="BG5" s="166"/>
      <c r="BH5" s="166"/>
      <c r="BI5" s="166"/>
      <c r="BJ5" s="166"/>
    </row>
    <row r="6" spans="1:62" s="699" customFormat="1" ht="30" customHeight="1">
      <c r="A6" s="694"/>
      <c r="B6" s="695"/>
      <c r="C6" s="382"/>
      <c r="D6" s="684"/>
      <c r="E6" s="696" t="s">
        <v>644</v>
      </c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697"/>
      <c r="Q6" s="697"/>
      <c r="R6" s="382"/>
      <c r="S6" s="698"/>
      <c r="T6" s="382"/>
      <c r="U6" s="382"/>
      <c r="V6" s="382"/>
      <c r="W6" s="382"/>
      <c r="X6" s="382"/>
      <c r="Y6" s="382"/>
      <c r="Z6" s="697"/>
      <c r="AA6" s="697"/>
      <c r="AB6" s="697"/>
      <c r="AC6" s="382"/>
      <c r="AD6" s="382"/>
      <c r="AE6" s="382"/>
      <c r="AF6" s="687"/>
      <c r="AG6" s="687"/>
      <c r="AH6" s="687"/>
      <c r="AI6" s="687"/>
      <c r="AJ6" s="687"/>
      <c r="AK6" s="687"/>
      <c r="AL6" s="687"/>
      <c r="AM6" s="687"/>
      <c r="AN6" s="688"/>
      <c r="AO6" s="688"/>
      <c r="AP6" s="688"/>
      <c r="AQ6" s="688"/>
      <c r="AR6" s="688"/>
      <c r="AS6" s="688"/>
      <c r="AT6" s="688"/>
      <c r="AU6" s="688"/>
      <c r="AV6" s="164"/>
      <c r="AY6" s="164"/>
      <c r="AZ6" s="164"/>
      <c r="BA6" s="164"/>
      <c r="BB6" s="166"/>
      <c r="BC6" s="166"/>
      <c r="BD6" s="166"/>
      <c r="BE6" s="166"/>
      <c r="BF6" s="166"/>
      <c r="BG6" s="166"/>
      <c r="BH6" s="166"/>
      <c r="BI6" s="166"/>
      <c r="BJ6" s="166"/>
    </row>
    <row r="7" spans="1:62" s="699" customFormat="1" ht="30" customHeight="1">
      <c r="A7" s="700"/>
      <c r="B7" s="691"/>
      <c r="C7" s="701">
        <v>1</v>
      </c>
      <c r="D7" s="419">
        <v>1674</v>
      </c>
      <c r="E7" s="331" t="s">
        <v>21</v>
      </c>
      <c r="F7" s="697">
        <v>2300000</v>
      </c>
      <c r="G7" s="697">
        <v>1800000</v>
      </c>
      <c r="H7" s="697">
        <f>F7-G7</f>
        <v>500000</v>
      </c>
      <c r="I7" s="697">
        <v>1734485</v>
      </c>
      <c r="J7" s="697">
        <v>565515</v>
      </c>
      <c r="K7" s="697">
        <f>F7-I7-J7</f>
        <v>0</v>
      </c>
      <c r="L7" s="697">
        <v>565515</v>
      </c>
      <c r="M7" s="697"/>
      <c r="N7" s="697"/>
      <c r="O7" s="697">
        <f>M7-N7</f>
        <v>0</v>
      </c>
      <c r="P7" s="697">
        <f>O7-Q7-R7</f>
        <v>0</v>
      </c>
      <c r="Q7" s="697"/>
      <c r="R7" s="697"/>
      <c r="S7" s="702" t="s">
        <v>1194</v>
      </c>
      <c r="T7" s="697"/>
      <c r="U7" s="697"/>
      <c r="V7" s="697"/>
      <c r="W7" s="697"/>
      <c r="X7" s="697"/>
      <c r="Y7" s="697">
        <f>SUM(T7:X7)</f>
        <v>0</v>
      </c>
      <c r="Z7" s="697"/>
      <c r="AA7" s="697">
        <f>Y7+Z7</f>
        <v>0</v>
      </c>
      <c r="AB7" s="697">
        <f>O7-AA7</f>
        <v>0</v>
      </c>
      <c r="AC7" s="697">
        <f>AA7-AD7-AE7</f>
        <v>0</v>
      </c>
      <c r="AD7" s="697"/>
      <c r="AE7" s="697"/>
      <c r="AF7" s="687"/>
      <c r="AG7" s="687"/>
      <c r="AH7" s="687"/>
      <c r="AI7" s="687"/>
      <c r="AJ7" s="687"/>
      <c r="AK7" s="687"/>
      <c r="AL7" s="687"/>
      <c r="AM7" s="687"/>
      <c r="AN7" s="688"/>
      <c r="AO7" s="688"/>
      <c r="AP7" s="688"/>
      <c r="AQ7" s="688"/>
      <c r="AR7" s="688"/>
      <c r="AS7" s="688"/>
      <c r="AT7" s="688"/>
      <c r="AU7" s="688"/>
      <c r="AV7" s="164"/>
      <c r="AY7" s="164"/>
      <c r="AZ7" s="164"/>
      <c r="BA7" s="164"/>
      <c r="BB7" s="166"/>
      <c r="BC7" s="166"/>
      <c r="BD7" s="166"/>
      <c r="BE7" s="166"/>
      <c r="BF7" s="166"/>
      <c r="BG7" s="166"/>
      <c r="BH7" s="166"/>
      <c r="BI7" s="166"/>
      <c r="BJ7" s="166"/>
    </row>
    <row r="8" spans="1:62" s="699" customFormat="1" ht="30" customHeight="1">
      <c r="A8" s="700"/>
      <c r="B8" s="691"/>
      <c r="C8" s="701">
        <v>2</v>
      </c>
      <c r="D8" s="419">
        <v>2112</v>
      </c>
      <c r="E8" s="331" t="s">
        <v>1624</v>
      </c>
      <c r="F8" s="697">
        <v>7650000</v>
      </c>
      <c r="G8" s="697">
        <v>7650000</v>
      </c>
      <c r="H8" s="697">
        <f>F8-G8</f>
        <v>0</v>
      </c>
      <c r="I8" s="697"/>
      <c r="J8" s="697">
        <v>2160000</v>
      </c>
      <c r="K8" s="697">
        <f>F8-I8-J8</f>
        <v>5490000</v>
      </c>
      <c r="L8" s="697"/>
      <c r="M8" s="697">
        <f>J8-L8</f>
        <v>2160000</v>
      </c>
      <c r="N8" s="697">
        <v>2160000</v>
      </c>
      <c r="O8" s="697">
        <f>M8-N8</f>
        <v>0</v>
      </c>
      <c r="P8" s="697">
        <f>O8-Q8-R8</f>
        <v>-2160000</v>
      </c>
      <c r="Q8" s="697">
        <v>2160000</v>
      </c>
      <c r="R8" s="697"/>
      <c r="S8" s="702" t="s">
        <v>1195</v>
      </c>
      <c r="T8" s="697"/>
      <c r="U8" s="697"/>
      <c r="V8" s="697"/>
      <c r="W8" s="697"/>
      <c r="X8" s="703"/>
      <c r="Y8" s="697">
        <f>SUM(T8:X8)</f>
        <v>0</v>
      </c>
      <c r="Z8" s="697"/>
      <c r="AA8" s="697">
        <f>Y8+Z8</f>
        <v>0</v>
      </c>
      <c r="AB8" s="697">
        <f>O8-AA8</f>
        <v>0</v>
      </c>
      <c r="AC8" s="697">
        <f>AA8-AD8-AE8</f>
        <v>-2160000</v>
      </c>
      <c r="AD8" s="697">
        <v>2160000</v>
      </c>
      <c r="AE8" s="697"/>
      <c r="AF8" s="687"/>
      <c r="AG8" s="687"/>
      <c r="AH8" s="687"/>
      <c r="AI8" s="687"/>
      <c r="AJ8" s="687"/>
      <c r="AK8" s="687"/>
      <c r="AL8" s="687"/>
      <c r="AM8" s="687"/>
      <c r="AN8" s="688"/>
      <c r="AO8" s="688"/>
      <c r="AP8" s="688"/>
      <c r="AQ8" s="688"/>
      <c r="AR8" s="688"/>
      <c r="AS8" s="688"/>
      <c r="AT8" s="688"/>
      <c r="AU8" s="688"/>
      <c r="AV8" s="164"/>
      <c r="AY8" s="164"/>
      <c r="AZ8" s="164"/>
      <c r="BA8" s="164"/>
      <c r="BB8" s="166"/>
      <c r="BC8" s="166"/>
      <c r="BD8" s="166"/>
      <c r="BE8" s="166"/>
      <c r="BF8" s="166"/>
      <c r="BG8" s="166"/>
      <c r="BH8" s="166"/>
      <c r="BI8" s="166"/>
      <c r="BJ8" s="166"/>
    </row>
    <row r="9" spans="1:62" s="699" customFormat="1" ht="30" customHeight="1">
      <c r="A9" s="700"/>
      <c r="B9" s="691"/>
      <c r="C9" s="701">
        <v>3</v>
      </c>
      <c r="D9" s="419">
        <v>2113</v>
      </c>
      <c r="E9" s="331" t="s">
        <v>1625</v>
      </c>
      <c r="F9" s="697">
        <v>2550000</v>
      </c>
      <c r="G9" s="697">
        <v>2550000</v>
      </c>
      <c r="H9" s="697">
        <f>F9-G9</f>
        <v>0</v>
      </c>
      <c r="I9" s="697"/>
      <c r="J9" s="697">
        <v>200000</v>
      </c>
      <c r="K9" s="697">
        <f>F9-I9-J9</f>
        <v>2350000</v>
      </c>
      <c r="L9" s="697"/>
      <c r="M9" s="697">
        <f>J9-L9</f>
        <v>200000</v>
      </c>
      <c r="N9" s="697">
        <v>200000</v>
      </c>
      <c r="O9" s="697">
        <f>M9-N9</f>
        <v>0</v>
      </c>
      <c r="P9" s="697">
        <f>O9-Q9-R9</f>
        <v>-200000</v>
      </c>
      <c r="Q9" s="697">
        <v>200000</v>
      </c>
      <c r="R9" s="697"/>
      <c r="S9" s="702" t="s">
        <v>1195</v>
      </c>
      <c r="T9" s="697"/>
      <c r="U9" s="697"/>
      <c r="V9" s="697"/>
      <c r="W9" s="697"/>
      <c r="X9" s="703"/>
      <c r="Y9" s="697">
        <f>SUM(T9:X9)</f>
        <v>0</v>
      </c>
      <c r="Z9" s="697"/>
      <c r="AA9" s="697">
        <f>Y9+Z9</f>
        <v>0</v>
      </c>
      <c r="AB9" s="697">
        <f>O9-AA9</f>
        <v>0</v>
      </c>
      <c r="AC9" s="697">
        <f>AA9-AD9-AE9</f>
        <v>-200000</v>
      </c>
      <c r="AD9" s="697">
        <v>200000</v>
      </c>
      <c r="AE9" s="697"/>
      <c r="AF9" s="687"/>
      <c r="AG9" s="687"/>
      <c r="AH9" s="687"/>
      <c r="AI9" s="687"/>
      <c r="AJ9" s="687"/>
      <c r="AK9" s="687"/>
      <c r="AL9" s="687"/>
      <c r="AM9" s="687"/>
      <c r="AN9" s="688"/>
      <c r="AO9" s="688"/>
      <c r="AP9" s="688"/>
      <c r="AQ9" s="688"/>
      <c r="AR9" s="688"/>
      <c r="AS9" s="688"/>
      <c r="AT9" s="688"/>
      <c r="AU9" s="688"/>
      <c r="AV9" s="164"/>
      <c r="AY9" s="164"/>
      <c r="AZ9" s="164"/>
      <c r="BA9" s="164"/>
      <c r="BB9" s="166"/>
      <c r="BC9" s="166"/>
      <c r="BD9" s="166"/>
      <c r="BE9" s="166"/>
      <c r="BF9" s="166"/>
      <c r="BG9" s="166"/>
      <c r="BH9" s="166"/>
      <c r="BI9" s="166"/>
      <c r="BJ9" s="166"/>
    </row>
    <row r="10" spans="1:62" s="699" customFormat="1" ht="30" customHeight="1">
      <c r="A10" s="704"/>
      <c r="B10" s="705"/>
      <c r="C10" s="706"/>
      <c r="D10" s="707"/>
      <c r="E10" s="696" t="s">
        <v>646</v>
      </c>
      <c r="F10" s="708">
        <f t="shared" ref="F10:R10" si="0">SUM(F7:F9)</f>
        <v>12500000</v>
      </c>
      <c r="G10" s="708">
        <f t="shared" si="0"/>
        <v>12000000</v>
      </c>
      <c r="H10" s="708">
        <f t="shared" si="0"/>
        <v>500000</v>
      </c>
      <c r="I10" s="708">
        <f t="shared" si="0"/>
        <v>1734485</v>
      </c>
      <c r="J10" s="708">
        <f t="shared" si="0"/>
        <v>2925515</v>
      </c>
      <c r="K10" s="708">
        <f t="shared" si="0"/>
        <v>7840000</v>
      </c>
      <c r="L10" s="708">
        <f t="shared" si="0"/>
        <v>565515</v>
      </c>
      <c r="M10" s="708">
        <f t="shared" si="0"/>
        <v>2360000</v>
      </c>
      <c r="N10" s="708">
        <f t="shared" si="0"/>
        <v>2360000</v>
      </c>
      <c r="O10" s="708">
        <f t="shared" si="0"/>
        <v>0</v>
      </c>
      <c r="P10" s="708">
        <f t="shared" si="0"/>
        <v>-2360000</v>
      </c>
      <c r="Q10" s="708">
        <f t="shared" si="0"/>
        <v>2360000</v>
      </c>
      <c r="R10" s="708">
        <f t="shared" si="0"/>
        <v>0</v>
      </c>
      <c r="S10" s="181"/>
      <c r="T10" s="708">
        <f>SUM(T7:T9)</f>
        <v>0</v>
      </c>
      <c r="U10" s="708">
        <f t="shared" ref="U10:AE10" si="1">SUM(U7:U9)</f>
        <v>0</v>
      </c>
      <c r="V10" s="708">
        <f t="shared" si="1"/>
        <v>0</v>
      </c>
      <c r="W10" s="708">
        <f t="shared" si="1"/>
        <v>0</v>
      </c>
      <c r="X10" s="708">
        <f t="shared" si="1"/>
        <v>0</v>
      </c>
      <c r="Y10" s="708">
        <f t="shared" si="1"/>
        <v>0</v>
      </c>
      <c r="Z10" s="708">
        <f t="shared" si="1"/>
        <v>0</v>
      </c>
      <c r="AA10" s="708">
        <f t="shared" si="1"/>
        <v>0</v>
      </c>
      <c r="AB10" s="708">
        <f t="shared" si="1"/>
        <v>0</v>
      </c>
      <c r="AC10" s="708">
        <f t="shared" si="1"/>
        <v>-2360000</v>
      </c>
      <c r="AD10" s="708">
        <f t="shared" si="1"/>
        <v>2360000</v>
      </c>
      <c r="AE10" s="708">
        <f t="shared" si="1"/>
        <v>0</v>
      </c>
      <c r="AF10" s="687"/>
      <c r="AG10" s="687"/>
      <c r="AH10" s="687"/>
      <c r="AI10" s="687"/>
      <c r="AJ10" s="687"/>
      <c r="AK10" s="687"/>
      <c r="AL10" s="687"/>
      <c r="AM10" s="687"/>
      <c r="AN10" s="688"/>
      <c r="AO10" s="688"/>
      <c r="AP10" s="688"/>
      <c r="AQ10" s="688"/>
      <c r="AR10" s="688"/>
      <c r="AS10" s="688"/>
      <c r="AT10" s="688"/>
      <c r="AU10" s="688"/>
      <c r="AV10" s="164"/>
      <c r="AY10" s="164"/>
      <c r="AZ10" s="164"/>
      <c r="BA10" s="164"/>
      <c r="BB10" s="166"/>
      <c r="BC10" s="166"/>
      <c r="BD10" s="166"/>
      <c r="BE10" s="166"/>
      <c r="BF10" s="166"/>
      <c r="BG10" s="166"/>
      <c r="BH10" s="166"/>
      <c r="BI10" s="166"/>
      <c r="BJ10" s="166"/>
    </row>
    <row r="11" spans="1:62" s="712" customFormat="1" ht="30" customHeight="1">
      <c r="A11" s="709"/>
      <c r="B11" s="710"/>
      <c r="C11" s="711"/>
      <c r="D11" s="172"/>
      <c r="E11" s="326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697"/>
      <c r="AA11" s="697"/>
      <c r="AB11" s="697"/>
      <c r="AC11" s="431"/>
      <c r="AD11" s="431"/>
      <c r="AE11" s="431"/>
      <c r="AF11" s="687"/>
      <c r="AG11" s="687"/>
      <c r="AH11" s="687"/>
      <c r="AI11" s="687"/>
      <c r="AJ11" s="687"/>
      <c r="AK11" s="687"/>
      <c r="AL11" s="687"/>
      <c r="AM11" s="687"/>
      <c r="AN11" s="688"/>
      <c r="AO11" s="688"/>
      <c r="AP11" s="688"/>
      <c r="AQ11" s="688"/>
      <c r="AR11" s="688"/>
      <c r="AS11" s="688"/>
      <c r="AT11" s="688"/>
      <c r="AU11" s="688"/>
      <c r="AV11" s="164"/>
      <c r="AY11" s="164"/>
      <c r="AZ11" s="164"/>
      <c r="BA11" s="164"/>
      <c r="BB11" s="166"/>
      <c r="BC11" s="166"/>
      <c r="BD11" s="166"/>
      <c r="BE11" s="166"/>
      <c r="BF11" s="166"/>
      <c r="BG11" s="166"/>
      <c r="BH11" s="166"/>
      <c r="BI11" s="166"/>
      <c r="BJ11" s="166"/>
    </row>
    <row r="12" spans="1:62" s="699" customFormat="1" ht="30" customHeight="1">
      <c r="A12" s="694"/>
      <c r="B12" s="695"/>
      <c r="C12" s="382"/>
      <c r="D12" s="684"/>
      <c r="E12" s="696" t="s">
        <v>242</v>
      </c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382"/>
      <c r="S12" s="698"/>
      <c r="T12" s="382"/>
      <c r="U12" s="382"/>
      <c r="V12" s="382"/>
      <c r="W12" s="382"/>
      <c r="X12" s="382"/>
      <c r="Y12" s="382"/>
      <c r="Z12" s="713"/>
      <c r="AA12" s="713"/>
      <c r="AB12" s="382"/>
      <c r="AC12" s="382"/>
      <c r="AD12" s="382"/>
      <c r="AE12" s="382"/>
      <c r="AF12" s="687"/>
      <c r="AG12" s="687"/>
      <c r="AH12" s="687"/>
      <c r="AI12" s="687"/>
      <c r="AJ12" s="687"/>
      <c r="AK12" s="687"/>
      <c r="AL12" s="687"/>
      <c r="AM12" s="687"/>
      <c r="AN12" s="688"/>
      <c r="AO12" s="688"/>
      <c r="AP12" s="688"/>
      <c r="AQ12" s="688"/>
      <c r="AR12" s="688"/>
      <c r="AS12" s="688"/>
      <c r="AT12" s="688"/>
      <c r="AU12" s="688"/>
      <c r="AV12" s="164"/>
      <c r="AY12" s="164"/>
      <c r="AZ12" s="164"/>
      <c r="BA12" s="164"/>
      <c r="BB12" s="166"/>
      <c r="BC12" s="166"/>
      <c r="BD12" s="166"/>
      <c r="BE12" s="166"/>
      <c r="BF12" s="166"/>
      <c r="BG12" s="166"/>
      <c r="BH12" s="166"/>
      <c r="BI12" s="166"/>
      <c r="BJ12" s="166"/>
    </row>
    <row r="13" spans="1:62" s="723" customFormat="1" ht="30" customHeight="1">
      <c r="A13" s="714"/>
      <c r="B13" s="715"/>
      <c r="C13" s="716">
        <v>4</v>
      </c>
      <c r="D13" s="716">
        <v>1357</v>
      </c>
      <c r="E13" s="717" t="s">
        <v>1721</v>
      </c>
      <c r="F13" s="718">
        <v>25000000</v>
      </c>
      <c r="G13" s="718">
        <v>25000000</v>
      </c>
      <c r="H13" s="718">
        <f>F13-G13</f>
        <v>0</v>
      </c>
      <c r="I13" s="718">
        <f>12583745+28255</f>
        <v>12612000</v>
      </c>
      <c r="J13" s="718">
        <v>5000000</v>
      </c>
      <c r="K13" s="718">
        <f>F13-I13-J13</f>
        <v>7388000</v>
      </c>
      <c r="L13" s="718">
        <f>J13</f>
        <v>5000000</v>
      </c>
      <c r="M13" s="718">
        <v>5000000</v>
      </c>
      <c r="N13" s="718">
        <v>5000000</v>
      </c>
      <c r="O13" s="697">
        <f t="shared" ref="O13:O25" si="2">M13-N13</f>
        <v>0</v>
      </c>
      <c r="P13" s="697">
        <f t="shared" ref="P13:P18" si="3">O13-R13</f>
        <v>-43680</v>
      </c>
      <c r="Q13" s="718"/>
      <c r="R13" s="718">
        <v>43680</v>
      </c>
      <c r="S13" s="719" t="s">
        <v>1236</v>
      </c>
      <c r="T13" s="718"/>
      <c r="U13" s="718"/>
      <c r="V13" s="718"/>
      <c r="W13" s="718">
        <f>SUM(S13:V13)</f>
        <v>0</v>
      </c>
      <c r="X13" s="718"/>
      <c r="Y13" s="697">
        <f>SUM(T13:X13)</f>
        <v>0</v>
      </c>
      <c r="Z13" s="720"/>
      <c r="AA13" s="697">
        <f>Y13+Z13</f>
        <v>0</v>
      </c>
      <c r="AB13" s="697">
        <f>O13-AA13</f>
        <v>0</v>
      </c>
      <c r="AC13" s="697">
        <f>AA13-AD13-AE13</f>
        <v>-43680</v>
      </c>
      <c r="AD13" s="697"/>
      <c r="AE13" s="697">
        <v>43680</v>
      </c>
      <c r="AF13" s="689"/>
      <c r="AG13" s="689"/>
      <c r="AH13" s="689"/>
      <c r="AI13" s="689"/>
      <c r="AJ13" s="689"/>
      <c r="AK13" s="689"/>
      <c r="AL13" s="721"/>
      <c r="AM13" s="721"/>
      <c r="AN13" s="721"/>
      <c r="AO13" s="721"/>
      <c r="AP13" s="721"/>
      <c r="AQ13" s="721"/>
      <c r="AR13" s="721"/>
      <c r="AS13" s="721"/>
      <c r="AT13" s="722"/>
      <c r="AW13" s="722"/>
      <c r="AX13" s="722"/>
      <c r="AY13" s="722"/>
      <c r="AZ13" s="724"/>
      <c r="BA13" s="724"/>
      <c r="BB13" s="724"/>
      <c r="BC13" s="724"/>
      <c r="BD13" s="724"/>
      <c r="BE13" s="724"/>
      <c r="BF13" s="724"/>
      <c r="BG13" s="724"/>
      <c r="BH13" s="724"/>
    </row>
    <row r="14" spans="1:62" s="727" customFormat="1" ht="30" customHeight="1">
      <c r="A14" s="714"/>
      <c r="B14" s="715"/>
      <c r="C14" s="716">
        <v>5</v>
      </c>
      <c r="D14" s="716">
        <v>2016</v>
      </c>
      <c r="E14" s="717" t="s">
        <v>1722</v>
      </c>
      <c r="F14" s="718">
        <v>7340000</v>
      </c>
      <c r="G14" s="718">
        <v>7340000</v>
      </c>
      <c r="H14" s="718">
        <f>F14-G14</f>
        <v>0</v>
      </c>
      <c r="I14" s="718">
        <f>7313067+26933</f>
        <v>7340000</v>
      </c>
      <c r="J14" s="718"/>
      <c r="K14" s="718">
        <f>F14-I14-J14</f>
        <v>0</v>
      </c>
      <c r="L14" s="718">
        <f>J14</f>
        <v>0</v>
      </c>
      <c r="M14" s="718"/>
      <c r="N14" s="718">
        <f>L14-M14</f>
        <v>0</v>
      </c>
      <c r="O14" s="697">
        <f t="shared" si="2"/>
        <v>0</v>
      </c>
      <c r="P14" s="697">
        <f t="shared" si="3"/>
        <v>-244104</v>
      </c>
      <c r="Q14" s="718"/>
      <c r="R14" s="718">
        <v>244104</v>
      </c>
      <c r="S14" s="719" t="s">
        <v>1237</v>
      </c>
      <c r="T14" s="718"/>
      <c r="U14" s="718"/>
      <c r="V14" s="718"/>
      <c r="W14" s="718">
        <f>SUM(S14:V14)</f>
        <v>0</v>
      </c>
      <c r="X14" s="718">
        <f>N14-W14</f>
        <v>0</v>
      </c>
      <c r="Y14" s="697">
        <f>SUM(T14:X14)</f>
        <v>0</v>
      </c>
      <c r="Z14" s="720"/>
      <c r="AA14" s="697">
        <f>Y14+Z14</f>
        <v>0</v>
      </c>
      <c r="AB14" s="697">
        <f>O14-AA14</f>
        <v>0</v>
      </c>
      <c r="AC14" s="697">
        <f>AA14-AD14-AE14</f>
        <v>-244104</v>
      </c>
      <c r="AD14" s="697"/>
      <c r="AE14" s="697">
        <v>244104</v>
      </c>
      <c r="AF14" s="689"/>
      <c r="AG14" s="689"/>
      <c r="AH14" s="689"/>
      <c r="AI14" s="689"/>
      <c r="AJ14" s="689"/>
      <c r="AK14" s="689"/>
      <c r="AL14" s="725"/>
      <c r="AM14" s="725"/>
      <c r="AN14" s="725"/>
      <c r="AO14" s="725"/>
      <c r="AP14" s="725"/>
      <c r="AQ14" s="725"/>
      <c r="AR14" s="725"/>
      <c r="AS14" s="725"/>
      <c r="AT14" s="726"/>
      <c r="AW14" s="726"/>
      <c r="AX14" s="726"/>
      <c r="AY14" s="726"/>
      <c r="AZ14" s="728"/>
      <c r="BA14" s="728"/>
      <c r="BB14" s="728"/>
      <c r="BC14" s="728"/>
      <c r="BD14" s="728"/>
      <c r="BE14" s="728"/>
      <c r="BF14" s="728"/>
      <c r="BG14" s="728"/>
      <c r="BH14" s="728"/>
    </row>
    <row r="15" spans="1:62" s="732" customFormat="1" ht="30" customHeight="1">
      <c r="A15" s="729" t="s">
        <v>1196</v>
      </c>
      <c r="B15" s="691"/>
      <c r="C15" s="716">
        <v>6</v>
      </c>
      <c r="D15" s="701">
        <v>1921</v>
      </c>
      <c r="E15" s="331" t="s">
        <v>1628</v>
      </c>
      <c r="F15" s="697">
        <v>9716000</v>
      </c>
      <c r="G15" s="697">
        <v>9716000</v>
      </c>
      <c r="H15" s="697">
        <f t="shared" ref="H15:H25" si="4">F15-G15</f>
        <v>0</v>
      </c>
      <c r="I15" s="697">
        <v>5247391</v>
      </c>
      <c r="J15" s="697">
        <v>4468609</v>
      </c>
      <c r="K15" s="697">
        <f t="shared" ref="K15:K25" si="5">F15-I15-J15</f>
        <v>0</v>
      </c>
      <c r="L15" s="697">
        <v>4028609</v>
      </c>
      <c r="M15" s="697">
        <f>J15-L15</f>
        <v>440000</v>
      </c>
      <c r="N15" s="697">
        <v>440000</v>
      </c>
      <c r="O15" s="697">
        <f t="shared" si="2"/>
        <v>0</v>
      </c>
      <c r="P15" s="697">
        <f t="shared" si="3"/>
        <v>-197347</v>
      </c>
      <c r="Q15" s="697"/>
      <c r="R15" s="697">
        <v>197347</v>
      </c>
      <c r="S15" s="702" t="s">
        <v>1197</v>
      </c>
      <c r="T15" s="703"/>
      <c r="U15" s="382"/>
      <c r="V15" s="382"/>
      <c r="W15" s="382"/>
      <c r="X15" s="382"/>
      <c r="Y15" s="697">
        <f>SUM(T15:X15)</f>
        <v>0</v>
      </c>
      <c r="Z15" s="713"/>
      <c r="AA15" s="697">
        <f>Y15+Z15</f>
        <v>0</v>
      </c>
      <c r="AB15" s="697">
        <f>O15-AA15</f>
        <v>0</v>
      </c>
      <c r="AC15" s="697">
        <f>AA15-AD15-AE15</f>
        <v>-197347</v>
      </c>
      <c r="AD15" s="697"/>
      <c r="AE15" s="697">
        <v>197347</v>
      </c>
      <c r="AF15" s="687"/>
      <c r="AG15" s="687"/>
      <c r="AH15" s="687"/>
      <c r="AI15" s="687"/>
      <c r="AJ15" s="687"/>
      <c r="AK15" s="687"/>
      <c r="AL15" s="687"/>
      <c r="AM15" s="687"/>
      <c r="AN15" s="730"/>
      <c r="AO15" s="730"/>
      <c r="AP15" s="730"/>
      <c r="AQ15" s="730"/>
      <c r="AR15" s="730"/>
      <c r="AS15" s="730"/>
      <c r="AT15" s="730"/>
      <c r="AU15" s="730"/>
      <c r="AV15" s="731"/>
      <c r="AY15" s="731"/>
      <c r="AZ15" s="731"/>
      <c r="BA15" s="731"/>
      <c r="BB15" s="287"/>
      <c r="BC15" s="287"/>
      <c r="BD15" s="287"/>
      <c r="BE15" s="287"/>
      <c r="BF15" s="287"/>
      <c r="BG15" s="287"/>
      <c r="BH15" s="287"/>
      <c r="BI15" s="287"/>
      <c r="BJ15" s="287"/>
    </row>
    <row r="16" spans="1:62" s="732" customFormat="1" ht="30" customHeight="1">
      <c r="A16" s="729"/>
      <c r="B16" s="691"/>
      <c r="C16" s="716">
        <v>7</v>
      </c>
      <c r="D16" s="701">
        <v>1357</v>
      </c>
      <c r="E16" s="331" t="s">
        <v>47</v>
      </c>
      <c r="F16" s="697">
        <v>25000000</v>
      </c>
      <c r="G16" s="697">
        <v>25000000</v>
      </c>
      <c r="H16" s="697">
        <f t="shared" si="4"/>
        <v>0</v>
      </c>
      <c r="I16" s="697">
        <f>12565023+46977</f>
        <v>12612000</v>
      </c>
      <c r="J16" s="697">
        <v>2000000</v>
      </c>
      <c r="K16" s="697">
        <f t="shared" si="5"/>
        <v>10388000</v>
      </c>
      <c r="L16" s="697"/>
      <c r="M16" s="697">
        <f>J16-L16</f>
        <v>2000000</v>
      </c>
      <c r="N16" s="697"/>
      <c r="O16" s="697">
        <f t="shared" si="2"/>
        <v>2000000</v>
      </c>
      <c r="P16" s="697">
        <f t="shared" si="3"/>
        <v>2000000</v>
      </c>
      <c r="Q16" s="697"/>
      <c r="R16" s="697"/>
      <c r="S16" s="702" t="s">
        <v>1198</v>
      </c>
      <c r="T16" s="697"/>
      <c r="U16" s="697"/>
      <c r="V16" s="697">
        <v>2000000</v>
      </c>
      <c r="W16" s="697"/>
      <c r="X16" s="697"/>
      <c r="Y16" s="697">
        <f t="shared" ref="Y16:Y27" si="6">SUM(T16:X16)</f>
        <v>2000000</v>
      </c>
      <c r="Z16" s="713"/>
      <c r="AA16" s="697">
        <f>Y16+Z16</f>
        <v>2000000</v>
      </c>
      <c r="AB16" s="697">
        <f>O16-AA16</f>
        <v>0</v>
      </c>
      <c r="AC16" s="697">
        <f>AA16-AD16-AE16</f>
        <v>2000000</v>
      </c>
      <c r="AD16" s="697"/>
      <c r="AE16" s="697"/>
      <c r="AF16" s="687"/>
      <c r="AG16" s="687"/>
      <c r="AH16" s="687"/>
      <c r="AI16" s="687"/>
      <c r="AJ16" s="687"/>
      <c r="AK16" s="687"/>
      <c r="AL16" s="687"/>
      <c r="AM16" s="687"/>
      <c r="AN16" s="730"/>
      <c r="AO16" s="730"/>
      <c r="AP16" s="730"/>
      <c r="AQ16" s="730"/>
      <c r="AR16" s="730"/>
      <c r="AS16" s="730"/>
      <c r="AT16" s="730"/>
      <c r="AU16" s="730"/>
      <c r="AV16" s="731"/>
      <c r="AY16" s="731"/>
      <c r="AZ16" s="731"/>
      <c r="BA16" s="731"/>
      <c r="BB16" s="287"/>
      <c r="BC16" s="287"/>
      <c r="BD16" s="287"/>
      <c r="BE16" s="287"/>
      <c r="BF16" s="287"/>
      <c r="BG16" s="287"/>
      <c r="BH16" s="287"/>
      <c r="BI16" s="287"/>
      <c r="BJ16" s="287"/>
    </row>
    <row r="17" spans="1:62" s="732" customFormat="1" ht="30" customHeight="1">
      <c r="A17" s="729"/>
      <c r="B17" s="691"/>
      <c r="C17" s="716">
        <v>8</v>
      </c>
      <c r="D17" s="701">
        <v>2185</v>
      </c>
      <c r="E17" s="331" t="s">
        <v>949</v>
      </c>
      <c r="F17" s="697">
        <v>500000</v>
      </c>
      <c r="G17" s="697"/>
      <c r="H17" s="697">
        <f t="shared" si="4"/>
        <v>500000</v>
      </c>
      <c r="I17" s="697"/>
      <c r="J17" s="697">
        <v>500000</v>
      </c>
      <c r="K17" s="697">
        <f t="shared" si="5"/>
        <v>0</v>
      </c>
      <c r="L17" s="697"/>
      <c r="M17" s="697">
        <f>J17-L17</f>
        <v>500000</v>
      </c>
      <c r="N17" s="697"/>
      <c r="O17" s="697">
        <f t="shared" si="2"/>
        <v>500000</v>
      </c>
      <c r="P17" s="697">
        <f t="shared" si="3"/>
        <v>500000</v>
      </c>
      <c r="Q17" s="697"/>
      <c r="R17" s="697"/>
      <c r="S17" s="702" t="s">
        <v>1199</v>
      </c>
      <c r="T17" s="697"/>
      <c r="U17" s="697">
        <v>500000</v>
      </c>
      <c r="V17" s="697"/>
      <c r="W17" s="697"/>
      <c r="X17" s="697"/>
      <c r="Y17" s="697">
        <f t="shared" si="6"/>
        <v>500000</v>
      </c>
      <c r="Z17" s="713"/>
      <c r="AA17" s="697">
        <f t="shared" ref="AA17:AA27" si="7">Y17+Z17</f>
        <v>500000</v>
      </c>
      <c r="AB17" s="697">
        <f t="shared" ref="AB17:AB27" si="8">O17-AA17</f>
        <v>0</v>
      </c>
      <c r="AC17" s="697">
        <f t="shared" ref="AC17:AC27" si="9">AA17-AD17-AE17</f>
        <v>500000</v>
      </c>
      <c r="AD17" s="697"/>
      <c r="AE17" s="697"/>
      <c r="AF17" s="687"/>
      <c r="AG17" s="687"/>
      <c r="AH17" s="687"/>
      <c r="AI17" s="687"/>
      <c r="AJ17" s="687"/>
      <c r="AK17" s="687"/>
      <c r="AL17" s="687"/>
      <c r="AM17" s="687"/>
      <c r="AN17" s="730"/>
      <c r="AO17" s="730"/>
      <c r="AP17" s="730"/>
      <c r="AQ17" s="730"/>
      <c r="AR17" s="730"/>
      <c r="AS17" s="730"/>
      <c r="AT17" s="730"/>
      <c r="AU17" s="730"/>
      <c r="AV17" s="731"/>
      <c r="AY17" s="731"/>
      <c r="AZ17" s="731"/>
      <c r="BA17" s="731"/>
      <c r="BB17" s="287"/>
      <c r="BC17" s="287"/>
      <c r="BD17" s="287"/>
      <c r="BE17" s="287"/>
      <c r="BF17" s="287"/>
      <c r="BG17" s="287"/>
      <c r="BH17" s="287"/>
      <c r="BI17" s="287"/>
      <c r="BJ17" s="287"/>
    </row>
    <row r="18" spans="1:62" s="732" customFormat="1" ht="30" customHeight="1">
      <c r="A18" s="729"/>
      <c r="B18" s="691"/>
      <c r="C18" s="716">
        <v>9</v>
      </c>
      <c r="D18" s="701">
        <v>2186</v>
      </c>
      <c r="E18" s="331" t="s">
        <v>1200</v>
      </c>
      <c r="F18" s="697">
        <v>500000</v>
      </c>
      <c r="G18" s="697"/>
      <c r="H18" s="697">
        <f t="shared" si="4"/>
        <v>500000</v>
      </c>
      <c r="I18" s="697"/>
      <c r="J18" s="697">
        <v>500000</v>
      </c>
      <c r="K18" s="697">
        <f t="shared" si="5"/>
        <v>0</v>
      </c>
      <c r="L18" s="697"/>
      <c r="M18" s="697">
        <f>J18-L18</f>
        <v>500000</v>
      </c>
      <c r="N18" s="697"/>
      <c r="O18" s="697">
        <f t="shared" si="2"/>
        <v>500000</v>
      </c>
      <c r="P18" s="697">
        <f t="shared" si="3"/>
        <v>500000</v>
      </c>
      <c r="Q18" s="697"/>
      <c r="R18" s="697"/>
      <c r="S18" s="702" t="s">
        <v>1201</v>
      </c>
      <c r="T18" s="697"/>
      <c r="U18" s="697">
        <v>500000</v>
      </c>
      <c r="V18" s="697"/>
      <c r="W18" s="697"/>
      <c r="X18" s="697"/>
      <c r="Y18" s="697">
        <f t="shared" si="6"/>
        <v>500000</v>
      </c>
      <c r="Z18" s="713"/>
      <c r="AA18" s="697">
        <f t="shared" si="7"/>
        <v>500000</v>
      </c>
      <c r="AB18" s="697">
        <f t="shared" si="8"/>
        <v>0</v>
      </c>
      <c r="AC18" s="697">
        <f t="shared" si="9"/>
        <v>500000</v>
      </c>
      <c r="AD18" s="697"/>
      <c r="AE18" s="697"/>
      <c r="AF18" s="687"/>
      <c r="AG18" s="687"/>
      <c r="AH18" s="687"/>
      <c r="AI18" s="687"/>
      <c r="AJ18" s="687"/>
      <c r="AK18" s="687"/>
      <c r="AL18" s="687"/>
      <c r="AM18" s="687"/>
      <c r="AN18" s="730"/>
      <c r="AO18" s="730"/>
      <c r="AP18" s="730"/>
      <c r="AQ18" s="730"/>
      <c r="AR18" s="730"/>
      <c r="AS18" s="730"/>
      <c r="AT18" s="730"/>
      <c r="AU18" s="730"/>
      <c r="AV18" s="731"/>
      <c r="AY18" s="731"/>
      <c r="AZ18" s="731"/>
      <c r="BA18" s="731"/>
      <c r="BB18" s="287"/>
      <c r="BC18" s="287"/>
      <c r="BD18" s="287"/>
      <c r="BE18" s="287"/>
      <c r="BF18" s="287"/>
      <c r="BG18" s="287"/>
      <c r="BH18" s="287"/>
      <c r="BI18" s="287"/>
      <c r="BJ18" s="287"/>
    </row>
    <row r="19" spans="1:62" s="699" customFormat="1" ht="30" customHeight="1">
      <c r="A19" s="700"/>
      <c r="B19" s="691"/>
      <c r="C19" s="716">
        <v>10</v>
      </c>
      <c r="D19" s="419">
        <v>1723</v>
      </c>
      <c r="E19" s="331" t="s">
        <v>28</v>
      </c>
      <c r="F19" s="697">
        <v>17500000</v>
      </c>
      <c r="G19" s="697">
        <v>17500000</v>
      </c>
      <c r="H19" s="697">
        <f>F19-G19</f>
        <v>0</v>
      </c>
      <c r="I19" s="697">
        <v>1535538</v>
      </c>
      <c r="J19" s="697">
        <f>8676922-7769603</f>
        <v>907319</v>
      </c>
      <c r="K19" s="697">
        <f>F19-I19-J19</f>
        <v>15057143</v>
      </c>
      <c r="L19" s="697">
        <f>8676922+2000000</f>
        <v>10676922</v>
      </c>
      <c r="M19" s="697">
        <f>J19-L19</f>
        <v>-9769603</v>
      </c>
      <c r="N19" s="697">
        <v>-2000000</v>
      </c>
      <c r="O19" s="697">
        <f>M19-N19</f>
        <v>-7769603</v>
      </c>
      <c r="P19" s="697">
        <f>O19-Q19-R19</f>
        <v>0</v>
      </c>
      <c r="Q19" s="697"/>
      <c r="R19" s="697">
        <v>-7769603</v>
      </c>
      <c r="S19" s="702" t="s">
        <v>1202</v>
      </c>
      <c r="T19" s="697"/>
      <c r="U19" s="697"/>
      <c r="V19" s="697"/>
      <c r="W19" s="697">
        <v>-7769603</v>
      </c>
      <c r="X19" s="697"/>
      <c r="Y19" s="697">
        <f t="shared" si="6"/>
        <v>-7769603</v>
      </c>
      <c r="Z19" s="713"/>
      <c r="AA19" s="697">
        <f t="shared" si="7"/>
        <v>-7769603</v>
      </c>
      <c r="AB19" s="697">
        <f t="shared" si="8"/>
        <v>0</v>
      </c>
      <c r="AC19" s="697">
        <f t="shared" si="9"/>
        <v>0</v>
      </c>
      <c r="AD19" s="697"/>
      <c r="AE19" s="697">
        <v>-7769603</v>
      </c>
      <c r="AF19" s="687"/>
      <c r="AG19" s="687"/>
      <c r="AH19" s="687"/>
      <c r="AI19" s="687"/>
      <c r="AJ19" s="687"/>
      <c r="AK19" s="687"/>
      <c r="AL19" s="687"/>
      <c r="AM19" s="687"/>
      <c r="AN19" s="688"/>
      <c r="AO19" s="688"/>
      <c r="AP19" s="688"/>
      <c r="AQ19" s="688"/>
      <c r="AR19" s="688"/>
      <c r="AS19" s="688"/>
      <c r="AT19" s="688"/>
      <c r="AU19" s="688"/>
      <c r="AV19" s="164"/>
      <c r="AY19" s="164"/>
      <c r="AZ19" s="164"/>
      <c r="BA19" s="164"/>
      <c r="BB19" s="166"/>
      <c r="BC19" s="166"/>
      <c r="BD19" s="166"/>
      <c r="BE19" s="166"/>
      <c r="BF19" s="166"/>
      <c r="BG19" s="166"/>
      <c r="BH19" s="166"/>
      <c r="BI19" s="166"/>
      <c r="BJ19" s="166"/>
    </row>
    <row r="20" spans="1:62" s="732" customFormat="1" ht="30" customHeight="1">
      <c r="A20" s="729"/>
      <c r="B20" s="691"/>
      <c r="C20" s="716">
        <v>11</v>
      </c>
      <c r="D20" s="701">
        <v>2174</v>
      </c>
      <c r="E20" s="331" t="s">
        <v>1129</v>
      </c>
      <c r="F20" s="697">
        <v>12600000</v>
      </c>
      <c r="G20" s="697">
        <v>500000</v>
      </c>
      <c r="H20" s="697">
        <f t="shared" si="4"/>
        <v>12100000</v>
      </c>
      <c r="I20" s="697"/>
      <c r="J20" s="697">
        <v>4500000</v>
      </c>
      <c r="K20" s="697">
        <f t="shared" si="5"/>
        <v>8100000</v>
      </c>
      <c r="L20" s="697"/>
      <c r="M20" s="697">
        <f t="shared" ref="M20:M27" si="10">J20-L20</f>
        <v>4500000</v>
      </c>
      <c r="N20" s="697">
        <v>500000</v>
      </c>
      <c r="O20" s="697">
        <f t="shared" si="2"/>
        <v>4000000</v>
      </c>
      <c r="P20" s="697">
        <f t="shared" ref="P20:P25" si="11">O20-R20</f>
        <v>4000000</v>
      </c>
      <c r="Q20" s="697"/>
      <c r="R20" s="697"/>
      <c r="S20" s="702" t="s">
        <v>1203</v>
      </c>
      <c r="T20" s="697"/>
      <c r="U20" s="697"/>
      <c r="V20" s="697"/>
      <c r="W20" s="697"/>
      <c r="X20" s="697">
        <v>4000000</v>
      </c>
      <c r="Y20" s="697">
        <f t="shared" si="6"/>
        <v>4000000</v>
      </c>
      <c r="Z20" s="713"/>
      <c r="AA20" s="697">
        <f t="shared" si="7"/>
        <v>4000000</v>
      </c>
      <c r="AB20" s="697">
        <f t="shared" si="8"/>
        <v>0</v>
      </c>
      <c r="AC20" s="697">
        <f t="shared" si="9"/>
        <v>4000000</v>
      </c>
      <c r="AD20" s="697"/>
      <c r="AE20" s="697"/>
      <c r="AF20" s="687"/>
      <c r="AG20" s="687"/>
      <c r="AH20" s="687"/>
      <c r="AI20" s="687"/>
      <c r="AJ20" s="687"/>
      <c r="AK20" s="687"/>
      <c r="AL20" s="687"/>
      <c r="AM20" s="730"/>
      <c r="AN20" s="730"/>
      <c r="AO20" s="730"/>
      <c r="AP20" s="730"/>
      <c r="AQ20" s="730"/>
      <c r="AR20" s="730"/>
      <c r="AS20" s="730"/>
      <c r="AT20" s="730"/>
      <c r="AU20" s="731"/>
      <c r="AX20" s="731"/>
      <c r="AY20" s="731"/>
      <c r="AZ20" s="731"/>
      <c r="BA20" s="287"/>
      <c r="BB20" s="287"/>
      <c r="BC20" s="287"/>
      <c r="BD20" s="287"/>
      <c r="BE20" s="287"/>
      <c r="BF20" s="287"/>
      <c r="BG20" s="287"/>
      <c r="BH20" s="287"/>
      <c r="BI20" s="287"/>
    </row>
    <row r="21" spans="1:62" s="732" customFormat="1" ht="30" customHeight="1">
      <c r="A21" s="729"/>
      <c r="B21" s="691"/>
      <c r="C21" s="716">
        <v>12</v>
      </c>
      <c r="D21" s="701">
        <v>2175</v>
      </c>
      <c r="E21" s="331" t="s">
        <v>1132</v>
      </c>
      <c r="F21" s="697">
        <v>20500000</v>
      </c>
      <c r="G21" s="697">
        <v>500000</v>
      </c>
      <c r="H21" s="697">
        <f t="shared" si="4"/>
        <v>20000000</v>
      </c>
      <c r="I21" s="697"/>
      <c r="J21" s="697">
        <v>5500000</v>
      </c>
      <c r="K21" s="697">
        <f t="shared" si="5"/>
        <v>15000000</v>
      </c>
      <c r="L21" s="697"/>
      <c r="M21" s="697">
        <f t="shared" si="10"/>
        <v>5500000</v>
      </c>
      <c r="N21" s="697">
        <v>500000</v>
      </c>
      <c r="O21" s="697">
        <f t="shared" si="2"/>
        <v>5000000</v>
      </c>
      <c r="P21" s="697">
        <f t="shared" si="11"/>
        <v>5000000</v>
      </c>
      <c r="Q21" s="697"/>
      <c r="R21" s="697"/>
      <c r="S21" s="702" t="s">
        <v>1204</v>
      </c>
      <c r="T21" s="697"/>
      <c r="U21" s="697"/>
      <c r="V21" s="697"/>
      <c r="W21" s="697"/>
      <c r="X21" s="697">
        <v>5000000</v>
      </c>
      <c r="Y21" s="697">
        <f t="shared" si="6"/>
        <v>5000000</v>
      </c>
      <c r="Z21" s="713"/>
      <c r="AA21" s="697">
        <f t="shared" si="7"/>
        <v>5000000</v>
      </c>
      <c r="AB21" s="697">
        <f t="shared" si="8"/>
        <v>0</v>
      </c>
      <c r="AC21" s="697">
        <f t="shared" si="9"/>
        <v>5000000</v>
      </c>
      <c r="AD21" s="697"/>
      <c r="AE21" s="697"/>
      <c r="AF21" s="687"/>
      <c r="AG21" s="687"/>
      <c r="AH21" s="687"/>
      <c r="AI21" s="687"/>
      <c r="AJ21" s="687"/>
      <c r="AK21" s="687"/>
      <c r="AL21" s="687"/>
      <c r="AM21" s="730"/>
      <c r="AN21" s="730"/>
      <c r="AO21" s="730"/>
      <c r="AP21" s="730"/>
      <c r="AQ21" s="730"/>
      <c r="AR21" s="730"/>
      <c r="AS21" s="730"/>
      <c r="AT21" s="730"/>
      <c r="AU21" s="731"/>
      <c r="AX21" s="731"/>
      <c r="AY21" s="731"/>
      <c r="AZ21" s="731"/>
      <c r="BA21" s="287"/>
      <c r="BB21" s="287"/>
      <c r="BC21" s="287"/>
      <c r="BD21" s="287"/>
      <c r="BE21" s="287"/>
      <c r="BF21" s="287"/>
      <c r="BG21" s="287"/>
      <c r="BH21" s="287"/>
      <c r="BI21" s="287"/>
    </row>
    <row r="22" spans="1:62" s="732" customFormat="1" ht="30" customHeight="1">
      <c r="A22" s="729"/>
      <c r="B22" s="691"/>
      <c r="C22" s="716">
        <v>13</v>
      </c>
      <c r="D22" s="701">
        <v>2186</v>
      </c>
      <c r="E22" s="331" t="s">
        <v>1200</v>
      </c>
      <c r="F22" s="697">
        <v>8100000</v>
      </c>
      <c r="G22" s="697">
        <v>500000</v>
      </c>
      <c r="H22" s="697">
        <f t="shared" si="4"/>
        <v>7600000</v>
      </c>
      <c r="I22" s="697"/>
      <c r="J22" s="697">
        <v>3200000</v>
      </c>
      <c r="K22" s="697">
        <f t="shared" si="5"/>
        <v>4900000</v>
      </c>
      <c r="L22" s="697"/>
      <c r="M22" s="697">
        <f t="shared" si="10"/>
        <v>3200000</v>
      </c>
      <c r="N22" s="697">
        <v>500000</v>
      </c>
      <c r="O22" s="697">
        <f t="shared" si="2"/>
        <v>2700000</v>
      </c>
      <c r="P22" s="697">
        <f t="shared" si="11"/>
        <v>2700000</v>
      </c>
      <c r="Q22" s="697"/>
      <c r="R22" s="697"/>
      <c r="S22" s="702" t="s">
        <v>1205</v>
      </c>
      <c r="T22" s="697"/>
      <c r="U22" s="697"/>
      <c r="V22" s="697"/>
      <c r="W22" s="697"/>
      <c r="X22" s="697">
        <v>2700000</v>
      </c>
      <c r="Y22" s="697">
        <f t="shared" si="6"/>
        <v>2700000</v>
      </c>
      <c r="Z22" s="713"/>
      <c r="AA22" s="697">
        <f t="shared" si="7"/>
        <v>2700000</v>
      </c>
      <c r="AB22" s="697">
        <f t="shared" si="8"/>
        <v>0</v>
      </c>
      <c r="AC22" s="697">
        <f t="shared" si="9"/>
        <v>2700000</v>
      </c>
      <c r="AD22" s="697"/>
      <c r="AE22" s="697"/>
      <c r="AF22" s="687"/>
      <c r="AG22" s="687"/>
      <c r="AH22" s="687"/>
      <c r="AI22" s="687"/>
      <c r="AJ22" s="687"/>
      <c r="AK22" s="687"/>
      <c r="AL22" s="687"/>
      <c r="AM22" s="730"/>
      <c r="AN22" s="730"/>
      <c r="AO22" s="730"/>
      <c r="AP22" s="730"/>
      <c r="AQ22" s="730"/>
      <c r="AR22" s="730"/>
      <c r="AS22" s="730"/>
      <c r="AT22" s="730"/>
      <c r="AU22" s="731"/>
      <c r="AX22" s="731"/>
      <c r="AY22" s="731"/>
      <c r="AZ22" s="731"/>
      <c r="BA22" s="287"/>
      <c r="BB22" s="287"/>
      <c r="BC22" s="287"/>
      <c r="BD22" s="287"/>
      <c r="BE22" s="287"/>
      <c r="BF22" s="287"/>
      <c r="BG22" s="287"/>
      <c r="BH22" s="287"/>
      <c r="BI22" s="287"/>
    </row>
    <row r="23" spans="1:62" s="732" customFormat="1" ht="30" customHeight="1">
      <c r="A23" s="729"/>
      <c r="B23" s="691"/>
      <c r="C23" s="716">
        <v>14</v>
      </c>
      <c r="D23" s="701">
        <v>2024</v>
      </c>
      <c r="E23" s="331" t="s">
        <v>385</v>
      </c>
      <c r="F23" s="697">
        <v>16300000</v>
      </c>
      <c r="G23" s="697">
        <v>7340000</v>
      </c>
      <c r="H23" s="697">
        <f t="shared" si="4"/>
        <v>8960000</v>
      </c>
      <c r="I23" s="697">
        <v>249913</v>
      </c>
      <c r="J23" s="697">
        <f>7090087+2700000</f>
        <v>9790087</v>
      </c>
      <c r="K23" s="697">
        <f t="shared" si="5"/>
        <v>6260000</v>
      </c>
      <c r="L23" s="697">
        <v>450087</v>
      </c>
      <c r="M23" s="697">
        <f t="shared" si="10"/>
        <v>9340000</v>
      </c>
      <c r="N23" s="697">
        <v>6640000</v>
      </c>
      <c r="O23" s="697">
        <f t="shared" si="2"/>
        <v>2700000</v>
      </c>
      <c r="P23" s="697">
        <f t="shared" si="11"/>
        <v>2700000</v>
      </c>
      <c r="Q23" s="697"/>
      <c r="R23" s="697"/>
      <c r="S23" s="702" t="s">
        <v>1206</v>
      </c>
      <c r="T23" s="697"/>
      <c r="U23" s="697"/>
      <c r="V23" s="697"/>
      <c r="W23" s="697"/>
      <c r="X23" s="697">
        <v>2700000</v>
      </c>
      <c r="Y23" s="697">
        <f t="shared" si="6"/>
        <v>2700000</v>
      </c>
      <c r="Z23" s="713"/>
      <c r="AA23" s="697">
        <f t="shared" si="7"/>
        <v>2700000</v>
      </c>
      <c r="AB23" s="697">
        <f t="shared" si="8"/>
        <v>0</v>
      </c>
      <c r="AC23" s="697">
        <f t="shared" si="9"/>
        <v>2700000</v>
      </c>
      <c r="AD23" s="697"/>
      <c r="AE23" s="697"/>
      <c r="AF23" s="687"/>
      <c r="AG23" s="687"/>
      <c r="AH23" s="687"/>
      <c r="AI23" s="687"/>
      <c r="AJ23" s="687"/>
      <c r="AK23" s="687"/>
      <c r="AL23" s="687"/>
      <c r="AM23" s="730"/>
      <c r="AN23" s="730"/>
      <c r="AO23" s="730"/>
      <c r="AP23" s="730"/>
      <c r="AQ23" s="730"/>
      <c r="AR23" s="730"/>
      <c r="AS23" s="730"/>
      <c r="AT23" s="730"/>
      <c r="AU23" s="731"/>
      <c r="AX23" s="731"/>
      <c r="AY23" s="731"/>
      <c r="AZ23" s="731"/>
      <c r="BA23" s="287"/>
      <c r="BB23" s="287"/>
      <c r="BC23" s="287"/>
      <c r="BD23" s="287"/>
      <c r="BE23" s="287"/>
      <c r="BF23" s="287"/>
      <c r="BG23" s="287"/>
      <c r="BH23" s="287"/>
      <c r="BI23" s="287"/>
    </row>
    <row r="24" spans="1:62" s="732" customFormat="1" ht="30" customHeight="1">
      <c r="A24" s="729"/>
      <c r="B24" s="691"/>
      <c r="C24" s="716">
        <v>15</v>
      </c>
      <c r="D24" s="701">
        <v>2147</v>
      </c>
      <c r="E24" s="331" t="s">
        <v>705</v>
      </c>
      <c r="F24" s="697">
        <v>6500000</v>
      </c>
      <c r="G24" s="697">
        <v>6500000</v>
      </c>
      <c r="H24" s="697">
        <f t="shared" si="4"/>
        <v>0</v>
      </c>
      <c r="I24" s="697"/>
      <c r="J24" s="697">
        <v>6500000</v>
      </c>
      <c r="K24" s="697">
        <f t="shared" si="5"/>
        <v>0</v>
      </c>
      <c r="L24" s="697">
        <v>250000</v>
      </c>
      <c r="M24" s="697">
        <f t="shared" si="10"/>
        <v>6250000</v>
      </c>
      <c r="N24" s="697">
        <v>5250000</v>
      </c>
      <c r="O24" s="697">
        <f t="shared" si="2"/>
        <v>1000000</v>
      </c>
      <c r="P24" s="697">
        <f t="shared" si="11"/>
        <v>1000000</v>
      </c>
      <c r="Q24" s="697"/>
      <c r="R24" s="697"/>
      <c r="S24" s="702" t="s">
        <v>1207</v>
      </c>
      <c r="T24" s="697"/>
      <c r="U24" s="697"/>
      <c r="V24" s="697"/>
      <c r="W24" s="697"/>
      <c r="X24" s="697">
        <v>1000000</v>
      </c>
      <c r="Y24" s="697">
        <f t="shared" si="6"/>
        <v>1000000</v>
      </c>
      <c r="Z24" s="713"/>
      <c r="AA24" s="697">
        <f t="shared" si="7"/>
        <v>1000000</v>
      </c>
      <c r="AB24" s="697">
        <f t="shared" si="8"/>
        <v>0</v>
      </c>
      <c r="AC24" s="697">
        <f t="shared" si="9"/>
        <v>1000000</v>
      </c>
      <c r="AD24" s="697"/>
      <c r="AE24" s="697"/>
      <c r="AF24" s="687"/>
      <c r="AG24" s="687"/>
      <c r="AH24" s="687"/>
      <c r="AI24" s="687"/>
      <c r="AJ24" s="687"/>
      <c r="AK24" s="687"/>
      <c r="AL24" s="687"/>
      <c r="AM24" s="730"/>
      <c r="AN24" s="730"/>
      <c r="AO24" s="730"/>
      <c r="AP24" s="730"/>
      <c r="AQ24" s="730"/>
      <c r="AR24" s="730"/>
      <c r="AS24" s="730"/>
      <c r="AT24" s="730"/>
      <c r="AU24" s="731"/>
      <c r="AX24" s="731"/>
      <c r="AY24" s="731"/>
      <c r="AZ24" s="731"/>
      <c r="BA24" s="287"/>
      <c r="BB24" s="287"/>
      <c r="BC24" s="287"/>
      <c r="BD24" s="287"/>
      <c r="BE24" s="287"/>
      <c r="BF24" s="287"/>
      <c r="BG24" s="287"/>
      <c r="BH24" s="287"/>
      <c r="BI24" s="287"/>
    </row>
    <row r="25" spans="1:62" s="732" customFormat="1" ht="30" customHeight="1">
      <c r="A25" s="729"/>
      <c r="B25" s="691"/>
      <c r="C25" s="716">
        <v>16</v>
      </c>
      <c r="D25" s="701">
        <v>1443</v>
      </c>
      <c r="E25" s="331" t="s">
        <v>87</v>
      </c>
      <c r="F25" s="697">
        <v>78500000</v>
      </c>
      <c r="G25" s="697">
        <v>78500000</v>
      </c>
      <c r="H25" s="697">
        <f t="shared" si="4"/>
        <v>0</v>
      </c>
      <c r="I25" s="697">
        <f>50824299</f>
        <v>50824299</v>
      </c>
      <c r="J25" s="697">
        <f>15701+3000000</f>
        <v>3015701</v>
      </c>
      <c r="K25" s="697">
        <f t="shared" si="5"/>
        <v>24660000</v>
      </c>
      <c r="L25" s="697">
        <v>15701</v>
      </c>
      <c r="M25" s="697">
        <f t="shared" si="10"/>
        <v>3000000</v>
      </c>
      <c r="N25" s="697"/>
      <c r="O25" s="697">
        <f t="shared" si="2"/>
        <v>3000000</v>
      </c>
      <c r="P25" s="697">
        <f t="shared" si="11"/>
        <v>0</v>
      </c>
      <c r="Q25" s="697"/>
      <c r="R25" s="697">
        <v>3000000</v>
      </c>
      <c r="S25" s="702" t="s">
        <v>1208</v>
      </c>
      <c r="T25" s="697"/>
      <c r="U25" s="697"/>
      <c r="V25" s="697"/>
      <c r="W25" s="697"/>
      <c r="X25" s="697">
        <v>3000000</v>
      </c>
      <c r="Y25" s="697">
        <f t="shared" si="6"/>
        <v>3000000</v>
      </c>
      <c r="Z25" s="713"/>
      <c r="AA25" s="697">
        <f t="shared" si="7"/>
        <v>3000000</v>
      </c>
      <c r="AB25" s="697">
        <f t="shared" si="8"/>
        <v>0</v>
      </c>
      <c r="AC25" s="697">
        <f t="shared" si="9"/>
        <v>0</v>
      </c>
      <c r="AD25" s="697"/>
      <c r="AE25" s="697">
        <v>3000000</v>
      </c>
      <c r="AF25" s="687"/>
      <c r="AG25" s="687"/>
      <c r="AH25" s="687"/>
      <c r="AI25" s="687"/>
      <c r="AJ25" s="687"/>
      <c r="AK25" s="687"/>
      <c r="AL25" s="687"/>
      <c r="AM25" s="730"/>
      <c r="AN25" s="730"/>
      <c r="AO25" s="730"/>
      <c r="AP25" s="730"/>
      <c r="AQ25" s="730"/>
      <c r="AR25" s="730"/>
      <c r="AS25" s="730"/>
      <c r="AT25" s="730"/>
      <c r="AU25" s="731"/>
      <c r="AX25" s="731"/>
      <c r="AY25" s="731"/>
      <c r="AZ25" s="731"/>
      <c r="BA25" s="287"/>
      <c r="BB25" s="287"/>
      <c r="BC25" s="287"/>
      <c r="BD25" s="287"/>
      <c r="BE25" s="287"/>
      <c r="BF25" s="287"/>
      <c r="BG25" s="287"/>
      <c r="BH25" s="287"/>
      <c r="BI25" s="287"/>
    </row>
    <row r="26" spans="1:62" s="699" customFormat="1" ht="30" customHeight="1">
      <c r="A26" s="700"/>
      <c r="B26" s="691"/>
      <c r="C26" s="716">
        <v>17</v>
      </c>
      <c r="D26" s="419">
        <v>1919</v>
      </c>
      <c r="E26" s="331" t="s">
        <v>134</v>
      </c>
      <c r="F26" s="697">
        <v>135100000</v>
      </c>
      <c r="G26" s="697">
        <v>135100000</v>
      </c>
      <c r="H26" s="697">
        <f>F26-G26</f>
        <v>0</v>
      </c>
      <c r="I26" s="697">
        <v>39911763</v>
      </c>
      <c r="J26" s="697">
        <f>28546373+1901605</f>
        <v>30447978</v>
      </c>
      <c r="K26" s="697">
        <f>F26-I26-J26</f>
        <v>64740259</v>
      </c>
      <c r="L26" s="697">
        <v>693015</v>
      </c>
      <c r="M26" s="697">
        <f t="shared" si="10"/>
        <v>29754963</v>
      </c>
      <c r="N26" s="697">
        <v>27853358</v>
      </c>
      <c r="O26" s="697">
        <f>M26-N26</f>
        <v>1901605</v>
      </c>
      <c r="P26" s="697">
        <f>O26-Q26-R26</f>
        <v>0</v>
      </c>
      <c r="Q26" s="697"/>
      <c r="R26" s="697">
        <v>1901605</v>
      </c>
      <c r="S26" s="702" t="s">
        <v>1209</v>
      </c>
      <c r="T26" s="697"/>
      <c r="U26" s="697"/>
      <c r="V26" s="697"/>
      <c r="W26" s="697"/>
      <c r="X26" s="697">
        <v>1901605</v>
      </c>
      <c r="Y26" s="697">
        <f t="shared" si="6"/>
        <v>1901605</v>
      </c>
      <c r="Z26" s="713"/>
      <c r="AA26" s="697">
        <f t="shared" si="7"/>
        <v>1901605</v>
      </c>
      <c r="AB26" s="697">
        <f t="shared" si="8"/>
        <v>0</v>
      </c>
      <c r="AC26" s="697">
        <f t="shared" si="9"/>
        <v>0</v>
      </c>
      <c r="AD26" s="697"/>
      <c r="AE26" s="697">
        <v>1901605</v>
      </c>
      <c r="AF26" s="687"/>
      <c r="AG26" s="687"/>
      <c r="AH26" s="687"/>
      <c r="AI26" s="687"/>
      <c r="AJ26" s="687"/>
      <c r="AK26" s="687"/>
      <c r="AL26" s="687"/>
      <c r="AM26" s="688"/>
      <c r="AN26" s="688"/>
      <c r="AO26" s="688"/>
      <c r="AP26" s="688"/>
      <c r="AQ26" s="688"/>
      <c r="AR26" s="688"/>
      <c r="AS26" s="688"/>
      <c r="AT26" s="688"/>
      <c r="AU26" s="164"/>
      <c r="AX26" s="164"/>
      <c r="AY26" s="164"/>
      <c r="AZ26" s="164"/>
      <c r="BA26" s="166"/>
      <c r="BB26" s="166"/>
      <c r="BC26" s="166"/>
      <c r="BD26" s="166"/>
      <c r="BE26" s="166"/>
      <c r="BF26" s="166"/>
      <c r="BG26" s="166"/>
      <c r="BH26" s="166"/>
      <c r="BI26" s="166"/>
    </row>
    <row r="27" spans="1:62" s="699" customFormat="1" ht="30" customHeight="1">
      <c r="A27" s="729"/>
      <c r="B27" s="691"/>
      <c r="C27" s="716">
        <v>18</v>
      </c>
      <c r="D27" s="701">
        <v>1827</v>
      </c>
      <c r="E27" s="331" t="s">
        <v>1210</v>
      </c>
      <c r="F27" s="697">
        <v>100000000</v>
      </c>
      <c r="G27" s="697">
        <v>100000000</v>
      </c>
      <c r="H27" s="697">
        <f>F27-G27</f>
        <v>0</v>
      </c>
      <c r="I27" s="697">
        <f>68354160</f>
        <v>68354160</v>
      </c>
      <c r="J27" s="697">
        <f>5285530+70000000-38454164-5185526</f>
        <v>31645840</v>
      </c>
      <c r="K27" s="697">
        <f>F27-I27-J27</f>
        <v>0</v>
      </c>
      <c r="L27" s="697">
        <f>100004-4</f>
        <v>100000</v>
      </c>
      <c r="M27" s="697">
        <f t="shared" si="10"/>
        <v>31545840</v>
      </c>
      <c r="N27" s="697"/>
      <c r="O27" s="697">
        <f>M27-N27</f>
        <v>31545840</v>
      </c>
      <c r="P27" s="697">
        <f>O27-Q27-R27</f>
        <v>0</v>
      </c>
      <c r="Q27" s="697"/>
      <c r="R27" s="697">
        <v>31545840</v>
      </c>
      <c r="S27" s="702" t="s">
        <v>1211</v>
      </c>
      <c r="T27" s="697"/>
      <c r="U27" s="697"/>
      <c r="V27" s="697"/>
      <c r="W27" s="697"/>
      <c r="X27" s="697">
        <v>15317465</v>
      </c>
      <c r="Y27" s="697">
        <f t="shared" si="6"/>
        <v>15317465</v>
      </c>
      <c r="Z27" s="713"/>
      <c r="AA27" s="697">
        <f t="shared" si="7"/>
        <v>15317465</v>
      </c>
      <c r="AB27" s="697">
        <f t="shared" si="8"/>
        <v>16228375</v>
      </c>
      <c r="AC27" s="697">
        <f t="shared" si="9"/>
        <v>0</v>
      </c>
      <c r="AD27" s="697"/>
      <c r="AE27" s="697">
        <v>15317465</v>
      </c>
      <c r="AF27" s="687"/>
      <c r="AG27" s="687"/>
      <c r="AH27" s="687"/>
      <c r="AI27" s="687"/>
      <c r="AJ27" s="687"/>
      <c r="AK27" s="687"/>
      <c r="AL27" s="687"/>
      <c r="AM27" s="688"/>
      <c r="AN27" s="688"/>
      <c r="AO27" s="688"/>
      <c r="AP27" s="688"/>
      <c r="AQ27" s="688"/>
      <c r="AR27" s="688"/>
      <c r="AS27" s="688"/>
      <c r="AT27" s="688"/>
      <c r="AU27" s="164"/>
      <c r="AX27" s="164"/>
      <c r="AY27" s="164"/>
      <c r="AZ27" s="164"/>
      <c r="BA27" s="166"/>
      <c r="BB27" s="166"/>
      <c r="BC27" s="166"/>
      <c r="BD27" s="166"/>
      <c r="BE27" s="166"/>
      <c r="BF27" s="166"/>
      <c r="BG27" s="166"/>
      <c r="BH27" s="166"/>
      <c r="BI27" s="166"/>
    </row>
    <row r="28" spans="1:62" s="699" customFormat="1" ht="30" customHeight="1">
      <c r="A28" s="704"/>
      <c r="B28" s="705"/>
      <c r="C28" s="706"/>
      <c r="D28" s="707"/>
      <c r="E28" s="696" t="s">
        <v>88</v>
      </c>
      <c r="F28" s="708">
        <f>SUM(F13:F27)</f>
        <v>463156000</v>
      </c>
      <c r="G28" s="708">
        <f t="shared" ref="G28:AE28" si="12">SUM(G13:G27)</f>
        <v>413496000</v>
      </c>
      <c r="H28" s="708">
        <f t="shared" si="12"/>
        <v>49660000</v>
      </c>
      <c r="I28" s="708">
        <f t="shared" si="12"/>
        <v>198687064</v>
      </c>
      <c r="J28" s="708">
        <f t="shared" si="12"/>
        <v>107975534</v>
      </c>
      <c r="K28" s="708">
        <f t="shared" si="12"/>
        <v>156493402</v>
      </c>
      <c r="L28" s="708">
        <f t="shared" si="12"/>
        <v>21214334</v>
      </c>
      <c r="M28" s="708">
        <f t="shared" si="12"/>
        <v>91761200</v>
      </c>
      <c r="N28" s="708">
        <f t="shared" si="12"/>
        <v>44683358</v>
      </c>
      <c r="O28" s="708">
        <f t="shared" si="12"/>
        <v>47077842</v>
      </c>
      <c r="P28" s="708">
        <f t="shared" si="12"/>
        <v>17914869</v>
      </c>
      <c r="Q28" s="708">
        <f t="shared" si="12"/>
        <v>0</v>
      </c>
      <c r="R28" s="708">
        <f t="shared" si="12"/>
        <v>29162973</v>
      </c>
      <c r="S28" s="708">
        <f t="shared" si="12"/>
        <v>0</v>
      </c>
      <c r="T28" s="708">
        <f t="shared" si="12"/>
        <v>0</v>
      </c>
      <c r="U28" s="708">
        <f t="shared" si="12"/>
        <v>1000000</v>
      </c>
      <c r="V28" s="708">
        <f t="shared" si="12"/>
        <v>2000000</v>
      </c>
      <c r="W28" s="708">
        <f t="shared" si="12"/>
        <v>-7769603</v>
      </c>
      <c r="X28" s="708">
        <f t="shared" si="12"/>
        <v>35619070</v>
      </c>
      <c r="Y28" s="708">
        <f t="shared" si="12"/>
        <v>30849467</v>
      </c>
      <c r="Z28" s="708">
        <f t="shared" si="12"/>
        <v>0</v>
      </c>
      <c r="AA28" s="708">
        <f t="shared" si="12"/>
        <v>30849467</v>
      </c>
      <c r="AB28" s="708">
        <f t="shared" si="12"/>
        <v>16228375</v>
      </c>
      <c r="AC28" s="708">
        <f t="shared" si="12"/>
        <v>17914869</v>
      </c>
      <c r="AD28" s="708">
        <f t="shared" si="12"/>
        <v>0</v>
      </c>
      <c r="AE28" s="708">
        <f t="shared" si="12"/>
        <v>12934598</v>
      </c>
      <c r="AF28" s="687"/>
      <c r="AG28" s="687"/>
      <c r="AH28" s="687"/>
      <c r="AI28" s="687"/>
      <c r="AJ28" s="687"/>
      <c r="AK28" s="687"/>
      <c r="AL28" s="687"/>
      <c r="AM28" s="688"/>
      <c r="AN28" s="688"/>
      <c r="AO28" s="688"/>
      <c r="AP28" s="688"/>
      <c r="AQ28" s="688"/>
      <c r="AR28" s="688"/>
      <c r="AS28" s="688"/>
      <c r="AT28" s="688"/>
      <c r="AU28" s="164"/>
      <c r="AX28" s="164"/>
      <c r="AY28" s="164"/>
      <c r="AZ28" s="164"/>
      <c r="BA28" s="166"/>
      <c r="BB28" s="166"/>
      <c r="BC28" s="166"/>
      <c r="BD28" s="166"/>
      <c r="BE28" s="166"/>
      <c r="BF28" s="166"/>
      <c r="BG28" s="166"/>
      <c r="BH28" s="166"/>
      <c r="BI28" s="166"/>
    </row>
    <row r="29" spans="1:62" s="699" customFormat="1" ht="30" customHeight="1">
      <c r="A29" s="704"/>
      <c r="B29" s="705"/>
      <c r="C29" s="706"/>
      <c r="D29" s="707"/>
      <c r="E29" s="696"/>
      <c r="F29" s="708"/>
      <c r="G29" s="708"/>
      <c r="H29" s="708"/>
      <c r="I29" s="708"/>
      <c r="J29" s="708"/>
      <c r="K29" s="708"/>
      <c r="L29" s="708"/>
      <c r="M29" s="708"/>
      <c r="N29" s="708"/>
      <c r="O29" s="708"/>
      <c r="P29" s="708"/>
      <c r="Q29" s="708"/>
      <c r="R29" s="708"/>
      <c r="S29" s="181"/>
      <c r="T29" s="708"/>
      <c r="U29" s="708"/>
      <c r="V29" s="708"/>
      <c r="W29" s="708"/>
      <c r="X29" s="708"/>
      <c r="Y29" s="708"/>
      <c r="Z29" s="713"/>
      <c r="AA29" s="713"/>
      <c r="AB29" s="708"/>
      <c r="AC29" s="708"/>
      <c r="AD29" s="708"/>
      <c r="AE29" s="697"/>
      <c r="AF29" s="687"/>
      <c r="AG29" s="687"/>
      <c r="AH29" s="687"/>
      <c r="AI29" s="687"/>
      <c r="AJ29" s="687"/>
      <c r="AK29" s="687"/>
      <c r="AL29" s="687"/>
      <c r="AM29" s="688"/>
      <c r="AN29" s="688"/>
      <c r="AO29" s="688"/>
      <c r="AP29" s="688"/>
      <c r="AQ29" s="688"/>
      <c r="AR29" s="688"/>
      <c r="AS29" s="688"/>
      <c r="AT29" s="688"/>
      <c r="AU29" s="164"/>
      <c r="AX29" s="164"/>
      <c r="AY29" s="164"/>
      <c r="AZ29" s="164"/>
      <c r="BA29" s="166"/>
      <c r="BB29" s="166"/>
      <c r="BC29" s="166"/>
      <c r="BD29" s="166"/>
      <c r="BE29" s="166"/>
      <c r="BF29" s="166"/>
      <c r="BG29" s="166"/>
      <c r="BH29" s="166"/>
      <c r="BI29" s="166"/>
    </row>
    <row r="30" spans="1:62" s="699" customFormat="1" ht="30" customHeight="1">
      <c r="A30" s="694"/>
      <c r="B30" s="695"/>
      <c r="C30" s="382"/>
      <c r="D30" s="684"/>
      <c r="E30" s="696" t="s">
        <v>648</v>
      </c>
      <c r="F30" s="697"/>
      <c r="G30" s="697"/>
      <c r="H30" s="697"/>
      <c r="I30" s="697"/>
      <c r="J30" s="697"/>
      <c r="K30" s="697"/>
      <c r="L30" s="697"/>
      <c r="M30" s="697"/>
      <c r="N30" s="697"/>
      <c r="O30" s="697"/>
      <c r="P30" s="697"/>
      <c r="Q30" s="697"/>
      <c r="R30" s="382"/>
      <c r="S30" s="698"/>
      <c r="T30" s="382"/>
      <c r="U30" s="382"/>
      <c r="V30" s="382"/>
      <c r="W30" s="382"/>
      <c r="X30" s="382"/>
      <c r="Y30" s="382"/>
      <c r="Z30" s="713"/>
      <c r="AA30" s="713"/>
      <c r="AB30" s="382"/>
      <c r="AC30" s="382"/>
      <c r="AD30" s="382"/>
      <c r="AE30" s="697"/>
      <c r="AF30" s="687"/>
      <c r="AG30" s="687"/>
      <c r="AH30" s="687"/>
      <c r="AI30" s="687"/>
      <c r="AJ30" s="687"/>
      <c r="AK30" s="687"/>
      <c r="AL30" s="687"/>
      <c r="AM30" s="688"/>
      <c r="AN30" s="688"/>
      <c r="AO30" s="688"/>
      <c r="AP30" s="688"/>
      <c r="AQ30" s="688"/>
      <c r="AR30" s="688"/>
      <c r="AS30" s="688"/>
      <c r="AT30" s="688"/>
      <c r="AU30" s="164"/>
      <c r="AX30" s="164"/>
      <c r="AY30" s="164"/>
      <c r="AZ30" s="164"/>
      <c r="BA30" s="166"/>
      <c r="BB30" s="166"/>
      <c r="BC30" s="166"/>
      <c r="BD30" s="166"/>
      <c r="BE30" s="166"/>
      <c r="BF30" s="166"/>
      <c r="BG30" s="166"/>
      <c r="BH30" s="166"/>
      <c r="BI30" s="166"/>
    </row>
    <row r="31" spans="1:62" s="699" customFormat="1" ht="30" customHeight="1">
      <c r="A31" s="729" t="s">
        <v>1196</v>
      </c>
      <c r="B31" s="691"/>
      <c r="C31" s="701">
        <v>19</v>
      </c>
      <c r="D31" s="701">
        <v>1970</v>
      </c>
      <c r="E31" s="331" t="s">
        <v>599</v>
      </c>
      <c r="F31" s="697">
        <v>34200000</v>
      </c>
      <c r="G31" s="697">
        <v>34200000</v>
      </c>
      <c r="H31" s="697">
        <f t="shared" ref="H31:H42" si="13">F31-G31</f>
        <v>0</v>
      </c>
      <c r="I31" s="697">
        <v>23123330</v>
      </c>
      <c r="J31" s="697">
        <f>3576670+3000000+200000</f>
        <v>6776670</v>
      </c>
      <c r="K31" s="697">
        <f t="shared" ref="K31:K42" si="14">F31-I31-J31</f>
        <v>4300000</v>
      </c>
      <c r="L31" s="697">
        <v>1678670</v>
      </c>
      <c r="M31" s="697">
        <f>J31-L31</f>
        <v>5098000</v>
      </c>
      <c r="N31" s="697">
        <v>1898000</v>
      </c>
      <c r="O31" s="697">
        <f t="shared" ref="O31:O42" si="15">M31-N31</f>
        <v>3200000</v>
      </c>
      <c r="P31" s="697">
        <f t="shared" ref="P31:P42" si="16">O31-Q31-R31</f>
        <v>2000000</v>
      </c>
      <c r="Q31" s="697">
        <f>1000000+200000</f>
        <v>1200000</v>
      </c>
      <c r="R31" s="697"/>
      <c r="S31" s="733" t="s">
        <v>1723</v>
      </c>
      <c r="T31" s="697">
        <v>3200000</v>
      </c>
      <c r="U31" s="697"/>
      <c r="V31" s="697"/>
      <c r="W31" s="697"/>
      <c r="X31" s="697"/>
      <c r="Y31" s="697">
        <f t="shared" ref="Y31:Y42" si="17">SUM(T31:X31)</f>
        <v>3200000</v>
      </c>
      <c r="Z31" s="713"/>
      <c r="AA31" s="697">
        <f>Y31+Z31</f>
        <v>3200000</v>
      </c>
      <c r="AB31" s="697">
        <f>O31-AA31</f>
        <v>0</v>
      </c>
      <c r="AC31" s="697">
        <f>AA31-AD31-AE31</f>
        <v>2000000</v>
      </c>
      <c r="AD31" s="697">
        <v>1200000</v>
      </c>
      <c r="AE31" s="697"/>
      <c r="AF31" s="687"/>
      <c r="AG31" s="687"/>
      <c r="AH31" s="687"/>
      <c r="AI31" s="687"/>
      <c r="AJ31" s="687"/>
      <c r="AK31" s="687"/>
      <c r="AL31" s="687"/>
      <c r="AM31" s="688"/>
      <c r="AN31" s="688"/>
      <c r="AO31" s="688"/>
      <c r="AP31" s="688"/>
      <c r="AQ31" s="688"/>
      <c r="AR31" s="688"/>
      <c r="AS31" s="688"/>
      <c r="AT31" s="688"/>
      <c r="AU31" s="164"/>
      <c r="AX31" s="164"/>
      <c r="AY31" s="164"/>
      <c r="AZ31" s="164"/>
      <c r="BA31" s="166"/>
      <c r="BB31" s="166"/>
      <c r="BC31" s="166"/>
      <c r="BD31" s="166"/>
      <c r="BE31" s="166"/>
      <c r="BF31" s="166"/>
      <c r="BG31" s="166"/>
      <c r="BH31" s="166"/>
      <c r="BI31" s="166"/>
    </row>
    <row r="32" spans="1:62" s="699" customFormat="1" ht="30" customHeight="1">
      <c r="A32" s="729" t="s">
        <v>1196</v>
      </c>
      <c r="B32" s="691"/>
      <c r="C32" s="701">
        <v>20</v>
      </c>
      <c r="D32" s="734">
        <v>2030</v>
      </c>
      <c r="E32" s="331" t="s">
        <v>329</v>
      </c>
      <c r="F32" s="697">
        <v>31500000</v>
      </c>
      <c r="G32" s="697">
        <v>31500000</v>
      </c>
      <c r="H32" s="697">
        <f t="shared" si="13"/>
        <v>0</v>
      </c>
      <c r="I32" s="697">
        <f>8741437-1</f>
        <v>8741436</v>
      </c>
      <c r="J32" s="697">
        <f>558564+600000</f>
        <v>1158564</v>
      </c>
      <c r="K32" s="697">
        <f t="shared" si="14"/>
        <v>21600000</v>
      </c>
      <c r="L32" s="697">
        <v>558564</v>
      </c>
      <c r="M32" s="697">
        <f>J32-L32</f>
        <v>600000</v>
      </c>
      <c r="N32" s="697"/>
      <c r="O32" s="697">
        <f t="shared" si="15"/>
        <v>600000</v>
      </c>
      <c r="P32" s="697">
        <f t="shared" si="16"/>
        <v>600000</v>
      </c>
      <c r="Q32" s="697"/>
      <c r="R32" s="697"/>
      <c r="S32" s="702" t="s">
        <v>1212</v>
      </c>
      <c r="T32" s="697">
        <v>600000</v>
      </c>
      <c r="U32" s="697"/>
      <c r="V32" s="697"/>
      <c r="W32" s="697"/>
      <c r="X32" s="697"/>
      <c r="Y32" s="697">
        <f t="shared" si="17"/>
        <v>600000</v>
      </c>
      <c r="Z32" s="713"/>
      <c r="AA32" s="697">
        <f>Y32+Z32</f>
        <v>600000</v>
      </c>
      <c r="AB32" s="697">
        <f>O32-AA32</f>
        <v>0</v>
      </c>
      <c r="AC32" s="697">
        <f>AA32-AD32-AE32</f>
        <v>600000</v>
      </c>
      <c r="AD32" s="697"/>
      <c r="AE32" s="697"/>
      <c r="AF32" s="687"/>
      <c r="AG32" s="687"/>
      <c r="AH32" s="687"/>
      <c r="AI32" s="687"/>
      <c r="AJ32" s="687"/>
      <c r="AK32" s="687"/>
      <c r="AL32" s="687"/>
      <c r="AM32" s="688"/>
      <c r="AN32" s="688"/>
      <c r="AO32" s="688"/>
      <c r="AP32" s="688"/>
      <c r="AQ32" s="688"/>
      <c r="AR32" s="688"/>
      <c r="AS32" s="688"/>
      <c r="AT32" s="688"/>
      <c r="AU32" s="164"/>
      <c r="AX32" s="164"/>
      <c r="AY32" s="164"/>
      <c r="AZ32" s="164"/>
      <c r="BA32" s="166"/>
      <c r="BB32" s="166"/>
      <c r="BC32" s="166"/>
      <c r="BD32" s="166"/>
      <c r="BE32" s="166"/>
      <c r="BF32" s="166"/>
      <c r="BG32" s="166"/>
      <c r="BH32" s="166"/>
      <c r="BI32" s="166"/>
    </row>
    <row r="33" spans="1:62" s="699" customFormat="1" ht="30" customHeight="1">
      <c r="A33" s="729" t="s">
        <v>1196</v>
      </c>
      <c r="B33" s="691"/>
      <c r="C33" s="701">
        <v>21</v>
      </c>
      <c r="D33" s="701">
        <v>2001</v>
      </c>
      <c r="E33" s="331" t="s">
        <v>181</v>
      </c>
      <c r="F33" s="697">
        <v>18500000</v>
      </c>
      <c r="G33" s="697">
        <v>18500000</v>
      </c>
      <c r="H33" s="697">
        <f t="shared" si="13"/>
        <v>0</v>
      </c>
      <c r="I33" s="697">
        <v>884293</v>
      </c>
      <c r="J33" s="697">
        <f>1000000+14407</f>
        <v>1014407</v>
      </c>
      <c r="K33" s="697">
        <f t="shared" si="14"/>
        <v>16601300</v>
      </c>
      <c r="L33" s="697">
        <v>14407</v>
      </c>
      <c r="M33" s="697">
        <f>J33-L33</f>
        <v>1000000</v>
      </c>
      <c r="N33" s="697"/>
      <c r="O33" s="697">
        <f t="shared" si="15"/>
        <v>1000000</v>
      </c>
      <c r="P33" s="697">
        <f t="shared" si="16"/>
        <v>1000000</v>
      </c>
      <c r="Q33" s="697"/>
      <c r="R33" s="697"/>
      <c r="S33" s="733" t="s">
        <v>1213</v>
      </c>
      <c r="T33" s="697">
        <v>500000</v>
      </c>
      <c r="U33" s="697"/>
      <c r="V33" s="697"/>
      <c r="W33" s="697"/>
      <c r="X33" s="697"/>
      <c r="Y33" s="697">
        <f t="shared" si="17"/>
        <v>500000</v>
      </c>
      <c r="Z33" s="713"/>
      <c r="AA33" s="697">
        <f>Y33+Z33</f>
        <v>500000</v>
      </c>
      <c r="AB33" s="697">
        <f>O33-AA33</f>
        <v>500000</v>
      </c>
      <c r="AC33" s="697">
        <f>AA33-AD33-AE33</f>
        <v>500000</v>
      </c>
      <c r="AD33" s="697"/>
      <c r="AE33" s="697"/>
      <c r="AF33" s="687"/>
      <c r="AG33" s="687"/>
      <c r="AH33" s="687"/>
      <c r="AI33" s="687"/>
      <c r="AJ33" s="687"/>
      <c r="AK33" s="687"/>
      <c r="AL33" s="687"/>
      <c r="AM33" s="688"/>
      <c r="AN33" s="688"/>
      <c r="AO33" s="688"/>
      <c r="AP33" s="688"/>
      <c r="AQ33" s="688"/>
      <c r="AR33" s="688"/>
      <c r="AS33" s="688"/>
      <c r="AT33" s="688"/>
      <c r="AU33" s="164"/>
      <c r="AX33" s="164"/>
      <c r="AY33" s="164"/>
      <c r="AZ33" s="164"/>
      <c r="BA33" s="166"/>
      <c r="BB33" s="166"/>
      <c r="BC33" s="166"/>
      <c r="BD33" s="166"/>
      <c r="BE33" s="166"/>
      <c r="BF33" s="166"/>
      <c r="BG33" s="166"/>
      <c r="BH33" s="166"/>
      <c r="BI33" s="166"/>
    </row>
    <row r="34" spans="1:62" s="699" customFormat="1" ht="30" customHeight="1">
      <c r="A34" s="729" t="s">
        <v>1196</v>
      </c>
      <c r="B34" s="691"/>
      <c r="C34" s="701">
        <v>22</v>
      </c>
      <c r="D34" s="734">
        <v>2183</v>
      </c>
      <c r="E34" s="3" t="s">
        <v>957</v>
      </c>
      <c r="F34" s="697">
        <v>800000</v>
      </c>
      <c r="G34" s="697"/>
      <c r="H34" s="697">
        <f t="shared" si="13"/>
        <v>800000</v>
      </c>
      <c r="I34" s="697"/>
      <c r="J34" s="697">
        <v>800000</v>
      </c>
      <c r="K34" s="697">
        <f t="shared" si="14"/>
        <v>0</v>
      </c>
      <c r="L34" s="697"/>
      <c r="M34" s="697">
        <f>J34-L34</f>
        <v>800000</v>
      </c>
      <c r="N34" s="697"/>
      <c r="O34" s="697">
        <f t="shared" si="15"/>
        <v>800000</v>
      </c>
      <c r="P34" s="697">
        <f t="shared" si="16"/>
        <v>0</v>
      </c>
      <c r="Q34" s="697">
        <v>800000</v>
      </c>
      <c r="R34" s="697"/>
      <c r="S34" s="702" t="s">
        <v>1214</v>
      </c>
      <c r="T34" s="697">
        <v>800000</v>
      </c>
      <c r="U34" s="697"/>
      <c r="V34" s="697"/>
      <c r="W34" s="697"/>
      <c r="X34" s="697"/>
      <c r="Y34" s="697">
        <f t="shared" si="17"/>
        <v>800000</v>
      </c>
      <c r="Z34" s="713"/>
      <c r="AA34" s="697">
        <f>Y34+Z34</f>
        <v>800000</v>
      </c>
      <c r="AB34" s="697">
        <f>O34-AA34</f>
        <v>0</v>
      </c>
      <c r="AC34" s="697">
        <f>AA34-AD34-AE34</f>
        <v>0</v>
      </c>
      <c r="AD34" s="697">
        <v>800000</v>
      </c>
      <c r="AE34" s="697"/>
      <c r="AF34" s="687"/>
      <c r="AG34" s="687"/>
      <c r="AH34" s="687"/>
      <c r="AI34" s="687"/>
      <c r="AJ34" s="687"/>
      <c r="AK34" s="687"/>
      <c r="AL34" s="687"/>
      <c r="AM34" s="688"/>
      <c r="AN34" s="688"/>
      <c r="AO34" s="688"/>
      <c r="AP34" s="688"/>
      <c r="AQ34" s="688"/>
      <c r="AR34" s="688"/>
      <c r="AS34" s="688"/>
      <c r="AT34" s="688"/>
      <c r="AU34" s="164"/>
      <c r="AX34" s="164"/>
      <c r="AY34" s="164"/>
      <c r="AZ34" s="164"/>
      <c r="BA34" s="166"/>
      <c r="BB34" s="166"/>
      <c r="BC34" s="166"/>
      <c r="BD34" s="166"/>
      <c r="BE34" s="166"/>
      <c r="BF34" s="166"/>
      <c r="BG34" s="166"/>
      <c r="BH34" s="166"/>
      <c r="BI34" s="166"/>
    </row>
    <row r="35" spans="1:62" s="699" customFormat="1" ht="30" customHeight="1">
      <c r="A35" s="729"/>
      <c r="B35" s="691"/>
      <c r="C35" s="701">
        <v>23</v>
      </c>
      <c r="D35" s="701">
        <v>1970</v>
      </c>
      <c r="E35" s="331" t="s">
        <v>599</v>
      </c>
      <c r="F35" s="697">
        <v>34200000</v>
      </c>
      <c r="G35" s="697">
        <v>34200000</v>
      </c>
      <c r="H35" s="697">
        <f t="shared" si="13"/>
        <v>0</v>
      </c>
      <c r="I35" s="697">
        <v>23123330</v>
      </c>
      <c r="J35" s="697">
        <f>3576670+3000000+200000+1100000</f>
        <v>7876670</v>
      </c>
      <c r="K35" s="697">
        <f t="shared" si="14"/>
        <v>3200000</v>
      </c>
      <c r="L35" s="697">
        <v>1678670</v>
      </c>
      <c r="M35" s="697">
        <f t="shared" ref="M35:M42" si="18">J35-L35</f>
        <v>6198000</v>
      </c>
      <c r="N35" s="697">
        <v>5098000</v>
      </c>
      <c r="O35" s="697">
        <f t="shared" si="15"/>
        <v>1100000</v>
      </c>
      <c r="P35" s="697">
        <f t="shared" si="16"/>
        <v>1100000</v>
      </c>
      <c r="Q35" s="697"/>
      <c r="R35" s="697"/>
      <c r="S35" s="733" t="s">
        <v>1724</v>
      </c>
      <c r="T35" s="697"/>
      <c r="U35" s="697">
        <v>1100000</v>
      </c>
      <c r="V35" s="697"/>
      <c r="W35" s="697"/>
      <c r="X35" s="697"/>
      <c r="Y35" s="697">
        <f t="shared" si="17"/>
        <v>1100000</v>
      </c>
      <c r="Z35" s="713"/>
      <c r="AA35" s="697">
        <f>Y35+Z35</f>
        <v>1100000</v>
      </c>
      <c r="AB35" s="697">
        <f>O35-AA35</f>
        <v>0</v>
      </c>
      <c r="AC35" s="697">
        <f>AA35-AD35-AE35</f>
        <v>1100000</v>
      </c>
      <c r="AD35" s="697"/>
      <c r="AE35" s="697"/>
      <c r="AF35" s="687"/>
      <c r="AG35" s="687"/>
      <c r="AH35" s="687"/>
      <c r="AI35" s="687"/>
      <c r="AJ35" s="687"/>
      <c r="AK35" s="687"/>
      <c r="AL35" s="687"/>
      <c r="AM35" s="687"/>
      <c r="AN35" s="688"/>
      <c r="AO35" s="688"/>
      <c r="AP35" s="688"/>
      <c r="AQ35" s="688"/>
      <c r="AR35" s="688"/>
      <c r="AS35" s="688"/>
      <c r="AT35" s="688"/>
      <c r="AU35" s="688"/>
      <c r="AV35" s="164"/>
      <c r="AY35" s="164"/>
      <c r="AZ35" s="164"/>
      <c r="BA35" s="164"/>
      <c r="BB35" s="166"/>
      <c r="BC35" s="166"/>
      <c r="BD35" s="166"/>
      <c r="BE35" s="166"/>
      <c r="BF35" s="166"/>
      <c r="BG35" s="166"/>
      <c r="BH35" s="166"/>
      <c r="BI35" s="166"/>
      <c r="BJ35" s="166"/>
    </row>
    <row r="36" spans="1:62" s="699" customFormat="1" ht="30" customHeight="1">
      <c r="A36" s="729"/>
      <c r="B36" s="691"/>
      <c r="C36" s="701">
        <v>24</v>
      </c>
      <c r="D36" s="734">
        <v>1947</v>
      </c>
      <c r="E36" s="331" t="s">
        <v>1627</v>
      </c>
      <c r="F36" s="697">
        <v>2500000</v>
      </c>
      <c r="G36" s="697">
        <v>2500000</v>
      </c>
      <c r="H36" s="697">
        <f t="shared" si="13"/>
        <v>0</v>
      </c>
      <c r="I36" s="697">
        <v>224631</v>
      </c>
      <c r="J36" s="697">
        <v>725369</v>
      </c>
      <c r="K36" s="697">
        <f t="shared" si="14"/>
        <v>1550000</v>
      </c>
      <c r="L36" s="697">
        <v>725369</v>
      </c>
      <c r="M36" s="697">
        <f t="shared" si="18"/>
        <v>0</v>
      </c>
      <c r="N36" s="697"/>
      <c r="O36" s="697">
        <f t="shared" si="15"/>
        <v>0</v>
      </c>
      <c r="P36" s="697">
        <f t="shared" si="16"/>
        <v>-1000000</v>
      </c>
      <c r="Q36" s="697">
        <v>1000000</v>
      </c>
      <c r="R36" s="697"/>
      <c r="S36" s="702" t="s">
        <v>1215</v>
      </c>
      <c r="T36" s="697"/>
      <c r="U36" s="697"/>
      <c r="V36" s="697"/>
      <c r="W36" s="697"/>
      <c r="X36" s="697"/>
      <c r="Y36" s="697">
        <f t="shared" si="17"/>
        <v>0</v>
      </c>
      <c r="Z36" s="713"/>
      <c r="AA36" s="697">
        <f t="shared" ref="AA36:AA41" si="19">Y36+Z36</f>
        <v>0</v>
      </c>
      <c r="AB36" s="697">
        <f t="shared" ref="AB36:AB41" si="20">O36-AA36</f>
        <v>0</v>
      </c>
      <c r="AC36" s="697">
        <f t="shared" ref="AC36:AC41" si="21">AA36-AD36-AE36</f>
        <v>-1000000</v>
      </c>
      <c r="AD36" s="697">
        <v>1000000</v>
      </c>
      <c r="AE36" s="697"/>
      <c r="AF36" s="687"/>
      <c r="AG36" s="687"/>
      <c r="AH36" s="687"/>
      <c r="AI36" s="687"/>
      <c r="AJ36" s="687"/>
      <c r="AK36" s="687"/>
      <c r="AL36" s="687"/>
      <c r="AM36" s="687"/>
      <c r="AN36" s="688"/>
      <c r="AO36" s="688"/>
      <c r="AP36" s="688"/>
      <c r="AQ36" s="688"/>
      <c r="AR36" s="688"/>
      <c r="AS36" s="688"/>
      <c r="AT36" s="688"/>
      <c r="AU36" s="688"/>
      <c r="AV36" s="164"/>
      <c r="AY36" s="164"/>
      <c r="AZ36" s="164"/>
      <c r="BA36" s="164"/>
      <c r="BB36" s="166"/>
      <c r="BC36" s="166"/>
      <c r="BD36" s="166"/>
      <c r="BE36" s="166"/>
      <c r="BF36" s="166"/>
      <c r="BG36" s="166"/>
      <c r="BH36" s="166"/>
      <c r="BI36" s="166"/>
      <c r="BJ36" s="166"/>
    </row>
    <row r="37" spans="1:62" s="699" customFormat="1" ht="30" customHeight="1">
      <c r="A37" s="729"/>
      <c r="B37" s="691"/>
      <c r="C37" s="701">
        <v>25</v>
      </c>
      <c r="D37" s="734">
        <v>2184</v>
      </c>
      <c r="E37" s="3" t="s">
        <v>1216</v>
      </c>
      <c r="F37" s="697">
        <v>2180000</v>
      </c>
      <c r="G37" s="697"/>
      <c r="H37" s="697">
        <f t="shared" si="13"/>
        <v>2180000</v>
      </c>
      <c r="I37" s="697"/>
      <c r="J37" s="697">
        <v>560000</v>
      </c>
      <c r="K37" s="697">
        <f t="shared" si="14"/>
        <v>1620000</v>
      </c>
      <c r="L37" s="697"/>
      <c r="M37" s="697">
        <f t="shared" si="18"/>
        <v>560000</v>
      </c>
      <c r="N37" s="697"/>
      <c r="O37" s="697">
        <f t="shared" si="15"/>
        <v>560000</v>
      </c>
      <c r="P37" s="697">
        <f t="shared" si="16"/>
        <v>300000</v>
      </c>
      <c r="Q37" s="697"/>
      <c r="R37" s="697">
        <v>260000</v>
      </c>
      <c r="S37" s="702" t="s">
        <v>1217</v>
      </c>
      <c r="T37" s="697"/>
      <c r="U37" s="697">
        <v>560000</v>
      </c>
      <c r="V37" s="697"/>
      <c r="W37" s="697"/>
      <c r="X37" s="697"/>
      <c r="Y37" s="697">
        <f t="shared" si="17"/>
        <v>560000</v>
      </c>
      <c r="Z37" s="713"/>
      <c r="AA37" s="697">
        <f t="shared" si="19"/>
        <v>560000</v>
      </c>
      <c r="AB37" s="697">
        <f t="shared" si="20"/>
        <v>0</v>
      </c>
      <c r="AC37" s="697">
        <f t="shared" si="21"/>
        <v>300000</v>
      </c>
      <c r="AD37" s="697"/>
      <c r="AE37" s="697">
        <v>260000</v>
      </c>
      <c r="AF37" s="687"/>
      <c r="AG37" s="687"/>
      <c r="AH37" s="687"/>
      <c r="AI37" s="687"/>
      <c r="AJ37" s="687"/>
      <c r="AK37" s="687"/>
      <c r="AL37" s="687"/>
      <c r="AM37" s="687"/>
      <c r="AN37" s="688"/>
      <c r="AO37" s="688"/>
      <c r="AP37" s="688"/>
      <c r="AQ37" s="688"/>
      <c r="AR37" s="688"/>
      <c r="AS37" s="688"/>
      <c r="AT37" s="688"/>
      <c r="AU37" s="688"/>
      <c r="AV37" s="164"/>
      <c r="AY37" s="164"/>
      <c r="AZ37" s="164"/>
      <c r="BA37" s="164"/>
      <c r="BB37" s="166"/>
      <c r="BC37" s="166"/>
      <c r="BD37" s="166"/>
      <c r="BE37" s="166"/>
      <c r="BF37" s="166"/>
      <c r="BG37" s="166"/>
      <c r="BH37" s="166"/>
      <c r="BI37" s="166"/>
      <c r="BJ37" s="166"/>
    </row>
    <row r="38" spans="1:62" s="699" customFormat="1" ht="30" customHeight="1">
      <c r="A38" s="729"/>
      <c r="B38" s="691"/>
      <c r="C38" s="701">
        <v>26</v>
      </c>
      <c r="D38" s="701">
        <v>1970</v>
      </c>
      <c r="E38" s="331" t="s">
        <v>599</v>
      </c>
      <c r="F38" s="697">
        <v>34200000</v>
      </c>
      <c r="G38" s="697">
        <v>34200000</v>
      </c>
      <c r="H38" s="697">
        <f t="shared" si="13"/>
        <v>0</v>
      </c>
      <c r="I38" s="697">
        <v>23123330</v>
      </c>
      <c r="J38" s="697">
        <f>3576670+3000000+200000+1100000+1000000</f>
        <v>8876670</v>
      </c>
      <c r="K38" s="697">
        <f t="shared" si="14"/>
        <v>2200000</v>
      </c>
      <c r="L38" s="697">
        <v>1678670</v>
      </c>
      <c r="M38" s="697">
        <f t="shared" si="18"/>
        <v>7198000</v>
      </c>
      <c r="N38" s="697">
        <v>6198000</v>
      </c>
      <c r="O38" s="697">
        <f t="shared" si="15"/>
        <v>1000000</v>
      </c>
      <c r="P38" s="697">
        <f t="shared" si="16"/>
        <v>1000000</v>
      </c>
      <c r="Q38" s="697"/>
      <c r="R38" s="697"/>
      <c r="S38" s="733" t="s">
        <v>1725</v>
      </c>
      <c r="T38" s="697"/>
      <c r="U38" s="697"/>
      <c r="V38" s="697"/>
      <c r="W38" s="697">
        <v>1000000</v>
      </c>
      <c r="X38" s="697"/>
      <c r="Y38" s="697">
        <f t="shared" si="17"/>
        <v>1000000</v>
      </c>
      <c r="Z38" s="713"/>
      <c r="AA38" s="697">
        <f t="shared" si="19"/>
        <v>1000000</v>
      </c>
      <c r="AB38" s="697">
        <f t="shared" si="20"/>
        <v>0</v>
      </c>
      <c r="AC38" s="697">
        <f t="shared" si="21"/>
        <v>1000000</v>
      </c>
      <c r="AD38" s="697"/>
      <c r="AE38" s="697"/>
      <c r="AF38" s="687"/>
      <c r="AG38" s="687"/>
      <c r="AH38" s="687"/>
      <c r="AI38" s="687"/>
      <c r="AJ38" s="687"/>
      <c r="AK38" s="687"/>
      <c r="AL38" s="687"/>
      <c r="AM38" s="687"/>
      <c r="AN38" s="688"/>
      <c r="AO38" s="688"/>
      <c r="AP38" s="688"/>
      <c r="AQ38" s="688"/>
      <c r="AR38" s="688"/>
      <c r="AS38" s="688"/>
      <c r="AT38" s="688"/>
      <c r="AU38" s="688"/>
      <c r="AV38" s="164"/>
      <c r="AY38" s="164"/>
      <c r="AZ38" s="164"/>
      <c r="BA38" s="164"/>
      <c r="BB38" s="166"/>
      <c r="BC38" s="166"/>
      <c r="BD38" s="166"/>
      <c r="BE38" s="166"/>
      <c r="BF38" s="166"/>
      <c r="BG38" s="166"/>
      <c r="BH38" s="166"/>
      <c r="BI38" s="166"/>
      <c r="BJ38" s="166"/>
    </row>
    <row r="39" spans="1:62" s="699" customFormat="1" ht="30" customHeight="1">
      <c r="A39" s="729"/>
      <c r="B39" s="691"/>
      <c r="C39" s="701">
        <v>27</v>
      </c>
      <c r="D39" s="734">
        <v>2063</v>
      </c>
      <c r="E39" s="331" t="s">
        <v>413</v>
      </c>
      <c r="F39" s="697">
        <f>1490000+910000</f>
        <v>2400000</v>
      </c>
      <c r="G39" s="697">
        <v>1490000</v>
      </c>
      <c r="H39" s="697">
        <f t="shared" si="13"/>
        <v>910000</v>
      </c>
      <c r="I39" s="697">
        <v>196319</v>
      </c>
      <c r="J39" s="697">
        <f>1293681+910000</f>
        <v>2203681</v>
      </c>
      <c r="K39" s="697">
        <f t="shared" si="14"/>
        <v>0</v>
      </c>
      <c r="L39" s="697">
        <v>1293681</v>
      </c>
      <c r="M39" s="697">
        <f t="shared" si="18"/>
        <v>910000</v>
      </c>
      <c r="N39" s="697"/>
      <c r="O39" s="697">
        <f t="shared" si="15"/>
        <v>910000</v>
      </c>
      <c r="P39" s="697">
        <f t="shared" si="16"/>
        <v>910000</v>
      </c>
      <c r="Q39" s="697"/>
      <c r="R39" s="697"/>
      <c r="S39" s="702" t="s">
        <v>1218</v>
      </c>
      <c r="T39" s="697"/>
      <c r="U39" s="697"/>
      <c r="V39" s="697"/>
      <c r="W39" s="697">
        <v>910000</v>
      </c>
      <c r="X39" s="697"/>
      <c r="Y39" s="697">
        <f t="shared" si="17"/>
        <v>910000</v>
      </c>
      <c r="Z39" s="713"/>
      <c r="AA39" s="697">
        <f t="shared" si="19"/>
        <v>910000</v>
      </c>
      <c r="AB39" s="697">
        <f t="shared" si="20"/>
        <v>0</v>
      </c>
      <c r="AC39" s="697">
        <f t="shared" si="21"/>
        <v>910000</v>
      </c>
      <c r="AD39" s="697"/>
      <c r="AE39" s="697"/>
      <c r="AF39" s="687"/>
      <c r="AG39" s="687"/>
      <c r="AH39" s="687"/>
      <c r="AI39" s="687"/>
      <c r="AJ39" s="687"/>
      <c r="AK39" s="687"/>
      <c r="AL39" s="687"/>
      <c r="AM39" s="687"/>
      <c r="AN39" s="688"/>
      <c r="AO39" s="688"/>
      <c r="AP39" s="688"/>
      <c r="AQ39" s="688"/>
      <c r="AR39" s="688"/>
      <c r="AS39" s="688"/>
      <c r="AT39" s="688"/>
      <c r="AU39" s="688"/>
      <c r="AV39" s="164"/>
      <c r="AY39" s="164"/>
      <c r="AZ39" s="164"/>
      <c r="BA39" s="164"/>
      <c r="BB39" s="166"/>
      <c r="BC39" s="166"/>
      <c r="BD39" s="166"/>
      <c r="BE39" s="166"/>
      <c r="BF39" s="166"/>
      <c r="BG39" s="166"/>
      <c r="BH39" s="166"/>
      <c r="BI39" s="166"/>
      <c r="BJ39" s="166"/>
    </row>
    <row r="40" spans="1:62" s="699" customFormat="1" ht="30" customHeight="1">
      <c r="A40" s="729"/>
      <c r="B40" s="691"/>
      <c r="C40" s="701">
        <v>28</v>
      </c>
      <c r="D40" s="701">
        <v>1970</v>
      </c>
      <c r="E40" s="331" t="s">
        <v>599</v>
      </c>
      <c r="F40" s="697">
        <v>34200000</v>
      </c>
      <c r="G40" s="697">
        <v>34200000</v>
      </c>
      <c r="H40" s="697">
        <f t="shared" si="13"/>
        <v>0</v>
      </c>
      <c r="I40" s="697">
        <v>23123330</v>
      </c>
      <c r="J40" s="697">
        <f>3576670+3000000+200000+1100000+1000000+500000</f>
        <v>9376670</v>
      </c>
      <c r="K40" s="697">
        <f t="shared" si="14"/>
        <v>1700000</v>
      </c>
      <c r="L40" s="697">
        <v>1678670</v>
      </c>
      <c r="M40" s="697">
        <f t="shared" si="18"/>
        <v>7698000</v>
      </c>
      <c r="N40" s="697">
        <v>7198000</v>
      </c>
      <c r="O40" s="697">
        <f t="shared" si="15"/>
        <v>500000</v>
      </c>
      <c r="P40" s="697">
        <f t="shared" si="16"/>
        <v>500000</v>
      </c>
      <c r="Q40" s="697"/>
      <c r="R40" s="697"/>
      <c r="S40" s="733" t="s">
        <v>1726</v>
      </c>
      <c r="T40" s="697"/>
      <c r="U40" s="697"/>
      <c r="V40" s="697"/>
      <c r="W40" s="697"/>
      <c r="X40" s="697">
        <v>500000</v>
      </c>
      <c r="Y40" s="697">
        <f t="shared" si="17"/>
        <v>500000</v>
      </c>
      <c r="Z40" s="713"/>
      <c r="AA40" s="697">
        <f t="shared" si="19"/>
        <v>500000</v>
      </c>
      <c r="AB40" s="697">
        <f t="shared" si="20"/>
        <v>0</v>
      </c>
      <c r="AC40" s="697">
        <f t="shared" si="21"/>
        <v>500000</v>
      </c>
      <c r="AD40" s="697"/>
      <c r="AE40" s="697"/>
      <c r="AF40" s="687"/>
      <c r="AG40" s="687"/>
      <c r="AH40" s="687"/>
      <c r="AI40" s="687"/>
      <c r="AJ40" s="687"/>
      <c r="AK40" s="687"/>
      <c r="AL40" s="687"/>
      <c r="AM40" s="688"/>
      <c r="AN40" s="688"/>
      <c r="AO40" s="688"/>
      <c r="AP40" s="688"/>
      <c r="AQ40" s="688"/>
      <c r="AR40" s="688"/>
      <c r="AS40" s="688"/>
      <c r="AT40" s="688"/>
      <c r="AU40" s="164"/>
      <c r="AX40" s="164"/>
      <c r="AY40" s="164"/>
      <c r="AZ40" s="164"/>
      <c r="BA40" s="166"/>
      <c r="BB40" s="166"/>
      <c r="BC40" s="166"/>
      <c r="BD40" s="166"/>
      <c r="BE40" s="166"/>
      <c r="BF40" s="166"/>
      <c r="BG40" s="166"/>
      <c r="BH40" s="166"/>
      <c r="BI40" s="166"/>
    </row>
    <row r="41" spans="1:62" s="699" customFormat="1" ht="30" customHeight="1">
      <c r="A41" s="729"/>
      <c r="B41" s="691"/>
      <c r="C41" s="701">
        <v>29</v>
      </c>
      <c r="D41" s="701">
        <v>2028</v>
      </c>
      <c r="E41" s="326" t="s">
        <v>411</v>
      </c>
      <c r="F41" s="697">
        <v>2435000</v>
      </c>
      <c r="G41" s="697">
        <v>2200000</v>
      </c>
      <c r="H41" s="697">
        <f t="shared" si="13"/>
        <v>235000</v>
      </c>
      <c r="I41" s="697">
        <v>1759632</v>
      </c>
      <c r="J41" s="697">
        <f>440368+235000</f>
        <v>675368</v>
      </c>
      <c r="K41" s="697">
        <f t="shared" si="14"/>
        <v>0</v>
      </c>
      <c r="L41" s="697">
        <v>440368</v>
      </c>
      <c r="M41" s="697">
        <f t="shared" si="18"/>
        <v>235000</v>
      </c>
      <c r="N41" s="697"/>
      <c r="O41" s="697">
        <f t="shared" si="15"/>
        <v>235000</v>
      </c>
      <c r="P41" s="697">
        <f t="shared" si="16"/>
        <v>235000</v>
      </c>
      <c r="Q41" s="697"/>
      <c r="R41" s="697"/>
      <c r="S41" s="733" t="s">
        <v>1219</v>
      </c>
      <c r="T41" s="697"/>
      <c r="U41" s="697"/>
      <c r="V41" s="697"/>
      <c r="W41" s="697"/>
      <c r="X41" s="697">
        <v>235000</v>
      </c>
      <c r="Y41" s="697">
        <f t="shared" si="17"/>
        <v>235000</v>
      </c>
      <c r="Z41" s="713"/>
      <c r="AA41" s="697">
        <f t="shared" si="19"/>
        <v>235000</v>
      </c>
      <c r="AB41" s="697">
        <f t="shared" si="20"/>
        <v>0</v>
      </c>
      <c r="AC41" s="697">
        <f t="shared" si="21"/>
        <v>235000</v>
      </c>
      <c r="AD41" s="697"/>
      <c r="AE41" s="697"/>
      <c r="AF41" s="687"/>
      <c r="AG41" s="687"/>
      <c r="AH41" s="687"/>
      <c r="AI41" s="687"/>
      <c r="AJ41" s="687"/>
      <c r="AK41" s="687"/>
      <c r="AL41" s="687"/>
      <c r="AM41" s="688"/>
      <c r="AN41" s="688"/>
      <c r="AO41" s="688"/>
      <c r="AP41" s="688"/>
      <c r="AQ41" s="688"/>
      <c r="AR41" s="688"/>
      <c r="AS41" s="688"/>
      <c r="AT41" s="688"/>
      <c r="AU41" s="164"/>
      <c r="AX41" s="164"/>
      <c r="AY41" s="164"/>
      <c r="AZ41" s="164"/>
      <c r="BA41" s="166"/>
      <c r="BB41" s="166"/>
      <c r="BC41" s="166"/>
      <c r="BD41" s="166"/>
      <c r="BE41" s="166"/>
      <c r="BF41" s="166"/>
      <c r="BG41" s="166"/>
      <c r="BH41" s="166"/>
      <c r="BI41" s="166"/>
    </row>
    <row r="42" spans="1:62" s="699" customFormat="1" ht="30" customHeight="1">
      <c r="A42" s="729"/>
      <c r="B42" s="691"/>
      <c r="C42" s="701">
        <v>30</v>
      </c>
      <c r="D42" s="734">
        <v>2187</v>
      </c>
      <c r="E42" s="326" t="s">
        <v>1220</v>
      </c>
      <c r="F42" s="697">
        <v>800000</v>
      </c>
      <c r="G42" s="697"/>
      <c r="H42" s="697">
        <f t="shared" si="13"/>
        <v>800000</v>
      </c>
      <c r="I42" s="697"/>
      <c r="J42" s="697">
        <v>800000</v>
      </c>
      <c r="K42" s="697">
        <f t="shared" si="14"/>
        <v>0</v>
      </c>
      <c r="L42" s="697"/>
      <c r="M42" s="697">
        <f t="shared" si="18"/>
        <v>800000</v>
      </c>
      <c r="N42" s="697"/>
      <c r="O42" s="697">
        <f t="shared" si="15"/>
        <v>800000</v>
      </c>
      <c r="P42" s="697">
        <f t="shared" si="16"/>
        <v>800000</v>
      </c>
      <c r="Q42" s="697"/>
      <c r="R42" s="697"/>
      <c r="S42" s="702" t="s">
        <v>1221</v>
      </c>
      <c r="T42" s="697"/>
      <c r="U42" s="697"/>
      <c r="V42" s="697"/>
      <c r="W42" s="697"/>
      <c r="X42" s="697">
        <v>800000</v>
      </c>
      <c r="Y42" s="697">
        <f t="shared" si="17"/>
        <v>800000</v>
      </c>
      <c r="Z42" s="713"/>
      <c r="AA42" s="697">
        <f>Y42+Z42</f>
        <v>800000</v>
      </c>
      <c r="AB42" s="697">
        <f>O42-AA42</f>
        <v>0</v>
      </c>
      <c r="AC42" s="697">
        <f>AA42-AD42-AE42</f>
        <v>800000</v>
      </c>
      <c r="AD42" s="697"/>
      <c r="AE42" s="697"/>
      <c r="AF42" s="687"/>
      <c r="AG42" s="687"/>
      <c r="AH42" s="687"/>
      <c r="AI42" s="687"/>
      <c r="AJ42" s="687"/>
      <c r="AK42" s="687"/>
      <c r="AL42" s="687"/>
      <c r="AM42" s="688"/>
      <c r="AN42" s="688"/>
      <c r="AO42" s="688"/>
      <c r="AP42" s="688"/>
      <c r="AQ42" s="688"/>
      <c r="AR42" s="688"/>
      <c r="AS42" s="688"/>
      <c r="AT42" s="688"/>
      <c r="AU42" s="164"/>
      <c r="AX42" s="164"/>
      <c r="AY42" s="164"/>
      <c r="AZ42" s="164"/>
      <c r="BA42" s="166"/>
      <c r="BB42" s="166"/>
      <c r="BC42" s="166"/>
      <c r="BD42" s="166"/>
      <c r="BE42" s="166"/>
      <c r="BF42" s="166"/>
      <c r="BG42" s="166"/>
      <c r="BH42" s="166"/>
      <c r="BI42" s="166"/>
    </row>
    <row r="43" spans="1:62" s="699" customFormat="1" ht="30" customHeight="1">
      <c r="A43" s="704"/>
      <c r="B43" s="705"/>
      <c r="C43" s="706"/>
      <c r="D43" s="707"/>
      <c r="E43" s="696" t="s">
        <v>652</v>
      </c>
      <c r="F43" s="708">
        <f>SUM(F31:F42)</f>
        <v>197915000</v>
      </c>
      <c r="G43" s="708">
        <f t="shared" ref="G43:AE43" si="22">SUM(G31:G42)</f>
        <v>192990000</v>
      </c>
      <c r="H43" s="708">
        <f t="shared" si="22"/>
        <v>4925000</v>
      </c>
      <c r="I43" s="708">
        <f t="shared" si="22"/>
        <v>104299631</v>
      </c>
      <c r="J43" s="708">
        <f t="shared" si="22"/>
        <v>40844069</v>
      </c>
      <c r="K43" s="708">
        <f t="shared" si="22"/>
        <v>52771300</v>
      </c>
      <c r="L43" s="708">
        <f t="shared" si="22"/>
        <v>9747069</v>
      </c>
      <c r="M43" s="708">
        <f t="shared" si="22"/>
        <v>31097000</v>
      </c>
      <c r="N43" s="708">
        <f t="shared" si="22"/>
        <v>20392000</v>
      </c>
      <c r="O43" s="708">
        <f t="shared" si="22"/>
        <v>10705000</v>
      </c>
      <c r="P43" s="708">
        <f t="shared" si="22"/>
        <v>7445000</v>
      </c>
      <c r="Q43" s="708">
        <f t="shared" si="22"/>
        <v>3000000</v>
      </c>
      <c r="R43" s="708">
        <f t="shared" si="22"/>
        <v>260000</v>
      </c>
      <c r="S43" s="708"/>
      <c r="T43" s="708">
        <f t="shared" si="22"/>
        <v>5100000</v>
      </c>
      <c r="U43" s="708">
        <f t="shared" si="22"/>
        <v>1660000</v>
      </c>
      <c r="V43" s="708">
        <f t="shared" si="22"/>
        <v>0</v>
      </c>
      <c r="W43" s="708">
        <f t="shared" si="22"/>
        <v>1910000</v>
      </c>
      <c r="X43" s="708">
        <f t="shared" si="22"/>
        <v>1535000</v>
      </c>
      <c r="Y43" s="708">
        <f t="shared" si="22"/>
        <v>10205000</v>
      </c>
      <c r="Z43" s="708">
        <f t="shared" si="22"/>
        <v>0</v>
      </c>
      <c r="AA43" s="708">
        <f t="shared" si="22"/>
        <v>10205000</v>
      </c>
      <c r="AB43" s="708">
        <f t="shared" si="22"/>
        <v>500000</v>
      </c>
      <c r="AC43" s="708">
        <f t="shared" si="22"/>
        <v>6945000</v>
      </c>
      <c r="AD43" s="708">
        <f t="shared" si="22"/>
        <v>3000000</v>
      </c>
      <c r="AE43" s="708">
        <f t="shared" si="22"/>
        <v>260000</v>
      </c>
      <c r="AF43" s="687"/>
      <c r="AG43" s="687"/>
      <c r="AH43" s="687"/>
      <c r="AI43" s="687"/>
      <c r="AJ43" s="687"/>
      <c r="AK43" s="687"/>
      <c r="AL43" s="687"/>
      <c r="AM43" s="687"/>
      <c r="AN43" s="688"/>
      <c r="AO43" s="688"/>
      <c r="AP43" s="688"/>
      <c r="AQ43" s="688"/>
      <c r="AR43" s="688"/>
      <c r="AS43" s="688"/>
      <c r="AT43" s="688"/>
      <c r="AU43" s="688"/>
      <c r="AV43" s="164"/>
      <c r="AY43" s="164"/>
      <c r="AZ43" s="164"/>
      <c r="BA43" s="164"/>
      <c r="BB43" s="166"/>
      <c r="BC43" s="166"/>
      <c r="BD43" s="166"/>
      <c r="BE43" s="166"/>
      <c r="BF43" s="166"/>
      <c r="BG43" s="166"/>
      <c r="BH43" s="166"/>
      <c r="BI43" s="166"/>
      <c r="BJ43" s="166"/>
    </row>
    <row r="44" spans="1:62" s="699" customFormat="1" ht="30" customHeight="1">
      <c r="A44" s="704"/>
      <c r="B44" s="705"/>
      <c r="C44" s="706"/>
      <c r="D44" s="707"/>
      <c r="E44" s="696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181"/>
      <c r="T44" s="708"/>
      <c r="U44" s="708"/>
      <c r="V44" s="708"/>
      <c r="W44" s="708"/>
      <c r="X44" s="708"/>
      <c r="Y44" s="708"/>
      <c r="Z44" s="713"/>
      <c r="AA44" s="713"/>
      <c r="AB44" s="708"/>
      <c r="AC44" s="708"/>
      <c r="AD44" s="708"/>
      <c r="AE44" s="708"/>
      <c r="AF44" s="687"/>
      <c r="AG44" s="687"/>
      <c r="AH44" s="687"/>
      <c r="AI44" s="687"/>
      <c r="AJ44" s="687"/>
      <c r="AK44" s="687"/>
      <c r="AL44" s="687"/>
      <c r="AM44" s="687"/>
      <c r="AN44" s="688"/>
      <c r="AO44" s="688"/>
      <c r="AP44" s="688"/>
      <c r="AQ44" s="688"/>
      <c r="AR44" s="688"/>
      <c r="AS44" s="688"/>
      <c r="AT44" s="688"/>
      <c r="AU44" s="688"/>
      <c r="AV44" s="164"/>
      <c r="AY44" s="164"/>
      <c r="AZ44" s="164"/>
      <c r="BA44" s="164"/>
      <c r="BB44" s="166"/>
      <c r="BC44" s="166"/>
      <c r="BD44" s="166"/>
      <c r="BE44" s="166"/>
      <c r="BF44" s="166"/>
      <c r="BG44" s="166"/>
      <c r="BH44" s="166"/>
      <c r="BI44" s="166"/>
      <c r="BJ44" s="166"/>
    </row>
    <row r="45" spans="1:62" s="699" customFormat="1" ht="25" hidden="1" customHeight="1">
      <c r="A45" s="694"/>
      <c r="B45" s="695"/>
      <c r="C45" s="382"/>
      <c r="D45" s="684"/>
      <c r="E45" s="696" t="s">
        <v>653</v>
      </c>
      <c r="F45" s="697"/>
      <c r="G45" s="697"/>
      <c r="H45" s="697"/>
      <c r="I45" s="697"/>
      <c r="J45" s="697"/>
      <c r="K45" s="697"/>
      <c r="L45" s="697"/>
      <c r="M45" s="697"/>
      <c r="N45" s="697"/>
      <c r="O45" s="697"/>
      <c r="P45" s="697"/>
      <c r="Q45" s="697"/>
      <c r="R45" s="382"/>
      <c r="S45" s="698"/>
      <c r="T45" s="382"/>
      <c r="U45" s="382"/>
      <c r="V45" s="382"/>
      <c r="W45" s="382"/>
      <c r="X45" s="382"/>
      <c r="Y45" s="382"/>
      <c r="Z45" s="713"/>
      <c r="AA45" s="713"/>
      <c r="AB45" s="382"/>
      <c r="AC45" s="382"/>
      <c r="AD45" s="382"/>
      <c r="AE45" s="382"/>
      <c r="AF45" s="687"/>
      <c r="AG45" s="687"/>
      <c r="AH45" s="687"/>
      <c r="AI45" s="687"/>
      <c r="AJ45" s="687"/>
      <c r="AK45" s="687"/>
      <c r="AL45" s="687"/>
      <c r="AM45" s="687"/>
      <c r="AN45" s="688"/>
      <c r="AO45" s="688"/>
      <c r="AP45" s="688"/>
      <c r="AQ45" s="688"/>
      <c r="AR45" s="688"/>
      <c r="AS45" s="688"/>
      <c r="AT45" s="688"/>
      <c r="AU45" s="688"/>
      <c r="AV45" s="164"/>
      <c r="AY45" s="164"/>
      <c r="AZ45" s="164"/>
      <c r="BA45" s="164"/>
      <c r="BB45" s="166"/>
      <c r="BC45" s="166"/>
      <c r="BD45" s="166"/>
      <c r="BE45" s="166"/>
      <c r="BF45" s="166"/>
      <c r="BG45" s="166"/>
      <c r="BH45" s="166"/>
      <c r="BI45" s="166"/>
      <c r="BJ45" s="166"/>
    </row>
    <row r="46" spans="1:62" s="699" customFormat="1" ht="25" hidden="1" customHeight="1">
      <c r="A46" s="700"/>
      <c r="B46" s="691"/>
      <c r="C46" s="382"/>
      <c r="D46" s="684"/>
      <c r="E46" s="331"/>
      <c r="F46" s="697"/>
      <c r="G46" s="697"/>
      <c r="H46" s="697">
        <f>F46-G46</f>
        <v>0</v>
      </c>
      <c r="I46" s="697"/>
      <c r="J46" s="697"/>
      <c r="K46" s="697">
        <f>F46-I46-J46</f>
        <v>0</v>
      </c>
      <c r="L46" s="697">
        <f>I46</f>
        <v>0</v>
      </c>
      <c r="M46" s="697">
        <f>J46</f>
        <v>0</v>
      </c>
      <c r="N46" s="697"/>
      <c r="O46" s="697">
        <f>M46-N46</f>
        <v>0</v>
      </c>
      <c r="P46" s="697">
        <f>O46-Q46-R46</f>
        <v>0</v>
      </c>
      <c r="Q46" s="697"/>
      <c r="R46" s="697"/>
      <c r="S46" s="152"/>
      <c r="T46" s="697"/>
      <c r="U46" s="697"/>
      <c r="V46" s="697"/>
      <c r="W46" s="697"/>
      <c r="X46" s="697"/>
      <c r="Y46" s="697">
        <f>SUM(T46:X46)</f>
        <v>0</v>
      </c>
      <c r="Z46" s="713"/>
      <c r="AA46" s="713"/>
      <c r="AB46" s="697">
        <f>O46-Y46</f>
        <v>0</v>
      </c>
      <c r="AC46" s="697">
        <f>X46-AD46-AE46</f>
        <v>0</v>
      </c>
      <c r="AD46" s="697"/>
      <c r="AE46" s="697"/>
      <c r="AF46" s="687"/>
      <c r="AG46" s="687"/>
      <c r="AH46" s="687"/>
      <c r="AI46" s="687"/>
      <c r="AJ46" s="687"/>
      <c r="AK46" s="687"/>
      <c r="AL46" s="687"/>
      <c r="AM46" s="687"/>
      <c r="AN46" s="688"/>
      <c r="AO46" s="688"/>
      <c r="AP46" s="688"/>
      <c r="AQ46" s="688"/>
      <c r="AR46" s="688"/>
      <c r="AS46" s="688"/>
      <c r="AT46" s="688"/>
      <c r="AU46" s="688"/>
      <c r="AV46" s="164"/>
      <c r="AY46" s="164"/>
      <c r="AZ46" s="164"/>
      <c r="BA46" s="164"/>
      <c r="BB46" s="166"/>
      <c r="BC46" s="166"/>
      <c r="BD46" s="166"/>
      <c r="BE46" s="166"/>
      <c r="BF46" s="166"/>
      <c r="BG46" s="166"/>
      <c r="BH46" s="166"/>
      <c r="BI46" s="166"/>
      <c r="BJ46" s="166"/>
    </row>
    <row r="47" spans="1:62" s="699" customFormat="1" ht="25" hidden="1" customHeight="1">
      <c r="A47" s="700"/>
      <c r="B47" s="691"/>
      <c r="C47" s="382"/>
      <c r="D47" s="734"/>
      <c r="E47" s="331"/>
      <c r="F47" s="697"/>
      <c r="G47" s="697"/>
      <c r="H47" s="697">
        <f>F47-G47</f>
        <v>0</v>
      </c>
      <c r="I47" s="697"/>
      <c r="J47" s="697"/>
      <c r="K47" s="697">
        <f>F47-I47-J47</f>
        <v>0</v>
      </c>
      <c r="L47" s="697">
        <f>I47</f>
        <v>0</v>
      </c>
      <c r="M47" s="697">
        <f>J47</f>
        <v>0</v>
      </c>
      <c r="N47" s="697"/>
      <c r="O47" s="697">
        <f>M47-N47</f>
        <v>0</v>
      </c>
      <c r="P47" s="697">
        <f>O47-Q47-R47</f>
        <v>0</v>
      </c>
      <c r="Q47" s="697"/>
      <c r="R47" s="697"/>
      <c r="S47" s="152"/>
      <c r="T47" s="697"/>
      <c r="U47" s="697"/>
      <c r="V47" s="697"/>
      <c r="W47" s="697"/>
      <c r="X47" s="697"/>
      <c r="Y47" s="697">
        <f>SUM(T47:X47)</f>
        <v>0</v>
      </c>
      <c r="Z47" s="713"/>
      <c r="AA47" s="713"/>
      <c r="AB47" s="697">
        <f>O47-Y47</f>
        <v>0</v>
      </c>
      <c r="AC47" s="697">
        <f>X47-AD47-AE47</f>
        <v>0</v>
      </c>
      <c r="AD47" s="697"/>
      <c r="AE47" s="697"/>
      <c r="AF47" s="687"/>
      <c r="AG47" s="687"/>
      <c r="AH47" s="687"/>
      <c r="AI47" s="687"/>
      <c r="AJ47" s="687"/>
      <c r="AK47" s="687"/>
      <c r="AL47" s="687"/>
      <c r="AM47" s="687"/>
      <c r="AN47" s="688"/>
      <c r="AO47" s="688"/>
      <c r="AP47" s="688"/>
      <c r="AQ47" s="688"/>
      <c r="AR47" s="688"/>
      <c r="AS47" s="688"/>
      <c r="AT47" s="688"/>
      <c r="AU47" s="688"/>
      <c r="AV47" s="164"/>
      <c r="AY47" s="164"/>
      <c r="AZ47" s="164"/>
      <c r="BA47" s="164"/>
      <c r="BB47" s="166"/>
      <c r="BC47" s="166"/>
      <c r="BD47" s="166"/>
      <c r="BE47" s="166"/>
      <c r="BF47" s="166"/>
      <c r="BG47" s="166"/>
      <c r="BH47" s="166"/>
      <c r="BI47" s="166"/>
      <c r="BJ47" s="166"/>
    </row>
    <row r="48" spans="1:62" s="699" customFormat="1" ht="25" hidden="1" customHeight="1">
      <c r="A48" s="704"/>
      <c r="B48" s="705"/>
      <c r="C48" s="706">
        <f>COUNT(C46:C47)</f>
        <v>0</v>
      </c>
      <c r="D48" s="707"/>
      <c r="E48" s="696" t="s">
        <v>654</v>
      </c>
      <c r="F48" s="708">
        <f t="shared" ref="F48:R48" si="23">SUM(F46:F47)</f>
        <v>0</v>
      </c>
      <c r="G48" s="708">
        <f t="shared" si="23"/>
        <v>0</v>
      </c>
      <c r="H48" s="708">
        <f t="shared" si="23"/>
        <v>0</v>
      </c>
      <c r="I48" s="708">
        <f t="shared" si="23"/>
        <v>0</v>
      </c>
      <c r="J48" s="708">
        <f t="shared" si="23"/>
        <v>0</v>
      </c>
      <c r="K48" s="708">
        <f t="shared" si="23"/>
        <v>0</v>
      </c>
      <c r="L48" s="708">
        <f t="shared" si="23"/>
        <v>0</v>
      </c>
      <c r="M48" s="708">
        <f t="shared" si="23"/>
        <v>0</v>
      </c>
      <c r="N48" s="708">
        <f t="shared" si="23"/>
        <v>0</v>
      </c>
      <c r="O48" s="708">
        <f t="shared" si="23"/>
        <v>0</v>
      </c>
      <c r="P48" s="708">
        <f t="shared" si="23"/>
        <v>0</v>
      </c>
      <c r="Q48" s="708">
        <f t="shared" si="23"/>
        <v>0</v>
      </c>
      <c r="R48" s="708">
        <f t="shared" si="23"/>
        <v>0</v>
      </c>
      <c r="S48" s="181"/>
      <c r="T48" s="708">
        <f t="shared" ref="T48:AE48" si="24">SUM(T46:T47)</f>
        <v>0</v>
      </c>
      <c r="U48" s="708">
        <f t="shared" si="24"/>
        <v>0</v>
      </c>
      <c r="V48" s="708">
        <f t="shared" si="24"/>
        <v>0</v>
      </c>
      <c r="W48" s="708">
        <f t="shared" si="24"/>
        <v>0</v>
      </c>
      <c r="X48" s="708">
        <f t="shared" si="24"/>
        <v>0</v>
      </c>
      <c r="Y48" s="708">
        <f t="shared" si="24"/>
        <v>0</v>
      </c>
      <c r="Z48" s="713"/>
      <c r="AA48" s="713"/>
      <c r="AB48" s="708">
        <f t="shared" si="24"/>
        <v>0</v>
      </c>
      <c r="AC48" s="708">
        <f t="shared" si="24"/>
        <v>0</v>
      </c>
      <c r="AD48" s="708">
        <f t="shared" si="24"/>
        <v>0</v>
      </c>
      <c r="AE48" s="708">
        <f t="shared" si="24"/>
        <v>0</v>
      </c>
      <c r="AF48" s="687"/>
      <c r="AG48" s="687"/>
      <c r="AH48" s="687"/>
      <c r="AI48" s="687"/>
      <c r="AJ48" s="687"/>
      <c r="AK48" s="687"/>
      <c r="AL48" s="687"/>
      <c r="AM48" s="687"/>
      <c r="AN48" s="688"/>
      <c r="AO48" s="688"/>
      <c r="AP48" s="688"/>
      <c r="AQ48" s="688"/>
      <c r="AR48" s="688"/>
      <c r="AS48" s="688"/>
      <c r="AT48" s="688"/>
      <c r="AU48" s="688"/>
      <c r="AV48" s="164"/>
      <c r="AY48" s="164"/>
      <c r="AZ48" s="164"/>
      <c r="BA48" s="164"/>
      <c r="BB48" s="166"/>
      <c r="BC48" s="166"/>
      <c r="BD48" s="166"/>
      <c r="BE48" s="166"/>
      <c r="BF48" s="166"/>
      <c r="BG48" s="166"/>
      <c r="BH48" s="166"/>
      <c r="BI48" s="166"/>
      <c r="BJ48" s="166"/>
    </row>
    <row r="49" spans="1:62" s="699" customFormat="1" ht="25" hidden="1" customHeight="1">
      <c r="A49" s="704"/>
      <c r="B49" s="705"/>
      <c r="C49" s="706"/>
      <c r="D49" s="707"/>
      <c r="E49" s="696"/>
      <c r="F49" s="708"/>
      <c r="G49" s="708"/>
      <c r="H49" s="708"/>
      <c r="I49" s="708"/>
      <c r="J49" s="708"/>
      <c r="K49" s="708"/>
      <c r="L49" s="708"/>
      <c r="M49" s="708"/>
      <c r="N49" s="708"/>
      <c r="O49" s="708"/>
      <c r="P49" s="708"/>
      <c r="Q49" s="708"/>
      <c r="R49" s="708"/>
      <c r="S49" s="181"/>
      <c r="T49" s="708"/>
      <c r="U49" s="708"/>
      <c r="V49" s="708"/>
      <c r="W49" s="708"/>
      <c r="X49" s="708"/>
      <c r="Y49" s="708"/>
      <c r="Z49" s="713"/>
      <c r="AA49" s="713"/>
      <c r="AB49" s="708"/>
      <c r="AC49" s="708"/>
      <c r="AD49" s="708"/>
      <c r="AE49" s="708"/>
      <c r="AF49" s="687"/>
      <c r="AG49" s="687"/>
      <c r="AH49" s="687"/>
      <c r="AI49" s="687"/>
      <c r="AJ49" s="687"/>
      <c r="AK49" s="687"/>
      <c r="AL49" s="687"/>
      <c r="AM49" s="687"/>
      <c r="AN49" s="688"/>
      <c r="AO49" s="688"/>
      <c r="AP49" s="688"/>
      <c r="AQ49" s="688"/>
      <c r="AR49" s="688"/>
      <c r="AS49" s="688"/>
      <c r="AT49" s="688"/>
      <c r="AU49" s="688"/>
      <c r="AV49" s="164"/>
      <c r="AY49" s="164"/>
      <c r="AZ49" s="164"/>
      <c r="BA49" s="164"/>
      <c r="BB49" s="166"/>
      <c r="BC49" s="166"/>
      <c r="BD49" s="166"/>
      <c r="BE49" s="166"/>
      <c r="BF49" s="166"/>
      <c r="BG49" s="166"/>
      <c r="BH49" s="166"/>
      <c r="BI49" s="166"/>
      <c r="BJ49" s="166"/>
    </row>
    <row r="50" spans="1:62" s="699" customFormat="1" ht="30" customHeight="1">
      <c r="A50" s="694"/>
      <c r="B50" s="695"/>
      <c r="C50" s="382"/>
      <c r="D50" s="684"/>
      <c r="E50" s="696" t="s">
        <v>323</v>
      </c>
      <c r="F50" s="697"/>
      <c r="G50" s="697"/>
      <c r="H50" s="697"/>
      <c r="I50" s="697"/>
      <c r="J50" s="697"/>
      <c r="K50" s="697"/>
      <c r="L50" s="697"/>
      <c r="M50" s="697"/>
      <c r="N50" s="697"/>
      <c r="O50" s="697"/>
      <c r="P50" s="697"/>
      <c r="Q50" s="697"/>
      <c r="R50" s="382"/>
      <c r="S50" s="698"/>
      <c r="T50" s="382"/>
      <c r="U50" s="382"/>
      <c r="V50" s="382"/>
      <c r="W50" s="382"/>
      <c r="X50" s="382"/>
      <c r="Y50" s="382"/>
      <c r="Z50" s="713"/>
      <c r="AA50" s="713"/>
      <c r="AB50" s="382"/>
      <c r="AC50" s="382"/>
      <c r="AD50" s="382"/>
      <c r="AE50" s="382"/>
      <c r="AF50" s="687"/>
      <c r="AG50" s="687"/>
      <c r="AH50" s="687"/>
      <c r="AI50" s="687"/>
      <c r="AJ50" s="687"/>
      <c r="AK50" s="687"/>
      <c r="AL50" s="687"/>
      <c r="AM50" s="687"/>
      <c r="AN50" s="688"/>
      <c r="AO50" s="688"/>
      <c r="AP50" s="688"/>
      <c r="AQ50" s="688"/>
      <c r="AR50" s="688"/>
      <c r="AS50" s="688"/>
      <c r="AT50" s="688"/>
      <c r="AU50" s="688"/>
      <c r="AV50" s="164"/>
      <c r="AY50" s="164"/>
      <c r="AZ50" s="164"/>
      <c r="BA50" s="164"/>
      <c r="BB50" s="166"/>
      <c r="BC50" s="166"/>
      <c r="BD50" s="166"/>
      <c r="BE50" s="166"/>
      <c r="BF50" s="166"/>
      <c r="BG50" s="166"/>
      <c r="BH50" s="166"/>
      <c r="BI50" s="166"/>
      <c r="BJ50" s="166"/>
    </row>
    <row r="51" spans="1:62" s="699" customFormat="1" ht="30" customHeight="1">
      <c r="A51" s="735"/>
      <c r="B51" s="691"/>
      <c r="C51" s="701">
        <v>31</v>
      </c>
      <c r="D51" s="701">
        <v>2034</v>
      </c>
      <c r="E51" s="331" t="s">
        <v>421</v>
      </c>
      <c r="F51" s="697">
        <f>2515000+85000</f>
        <v>2600000</v>
      </c>
      <c r="G51" s="697">
        <v>2515000</v>
      </c>
      <c r="H51" s="697">
        <f>F51-G51</f>
        <v>85000</v>
      </c>
      <c r="I51" s="697">
        <v>1928752</v>
      </c>
      <c r="J51" s="697">
        <f>471248+200000</f>
        <v>671248</v>
      </c>
      <c r="K51" s="697">
        <f>F51-I51-J51</f>
        <v>0</v>
      </c>
      <c r="L51" s="697">
        <v>71248</v>
      </c>
      <c r="M51" s="697">
        <f>J51-L51</f>
        <v>600000</v>
      </c>
      <c r="N51" s="697">
        <v>400000</v>
      </c>
      <c r="O51" s="697">
        <f>M51-N51</f>
        <v>200000</v>
      </c>
      <c r="P51" s="697">
        <f>O51-Q51-R51</f>
        <v>0</v>
      </c>
      <c r="Q51" s="697">
        <v>200000</v>
      </c>
      <c r="R51" s="697"/>
      <c r="S51" s="702" t="s">
        <v>1222</v>
      </c>
      <c r="T51" s="697"/>
      <c r="U51" s="697"/>
      <c r="V51" s="697"/>
      <c r="W51" s="697"/>
      <c r="X51" s="697">
        <v>200000</v>
      </c>
      <c r="Y51" s="697">
        <f>SUM(T51:X51)</f>
        <v>200000</v>
      </c>
      <c r="Z51" s="713"/>
      <c r="AA51" s="697">
        <f>Y51+Z51</f>
        <v>200000</v>
      </c>
      <c r="AB51" s="697">
        <f>O51-AA51</f>
        <v>0</v>
      </c>
      <c r="AC51" s="697">
        <f>AA51-AD51-AE51</f>
        <v>0</v>
      </c>
      <c r="AD51" s="697">
        <v>200000</v>
      </c>
      <c r="AE51" s="697"/>
      <c r="AF51" s="687"/>
      <c r="AG51" s="687"/>
      <c r="AH51" s="687"/>
      <c r="AI51" s="687"/>
      <c r="AJ51" s="687"/>
      <c r="AK51" s="687"/>
      <c r="AL51" s="687"/>
      <c r="AM51" s="688"/>
      <c r="AN51" s="688"/>
      <c r="AO51" s="688"/>
      <c r="AP51" s="688"/>
      <c r="AQ51" s="688"/>
      <c r="AR51" s="688"/>
      <c r="AS51" s="688"/>
      <c r="AT51" s="688"/>
      <c r="AU51" s="164"/>
      <c r="AX51" s="164"/>
      <c r="AY51" s="164"/>
      <c r="AZ51" s="164"/>
      <c r="BA51" s="166"/>
      <c r="BB51" s="166"/>
      <c r="BC51" s="166"/>
      <c r="BD51" s="166"/>
      <c r="BE51" s="166"/>
      <c r="BF51" s="166"/>
      <c r="BG51" s="166"/>
      <c r="BH51" s="166"/>
      <c r="BI51" s="166"/>
    </row>
    <row r="52" spans="1:62" s="699" customFormat="1" ht="30" customHeight="1">
      <c r="A52" s="326"/>
      <c r="B52" s="691"/>
      <c r="C52" s="701">
        <v>32</v>
      </c>
      <c r="D52" s="734">
        <v>1776</v>
      </c>
      <c r="E52" s="331" t="s">
        <v>59</v>
      </c>
      <c r="F52" s="697">
        <f>1205000+50000</f>
        <v>1255000</v>
      </c>
      <c r="G52" s="697">
        <v>1205000</v>
      </c>
      <c r="H52" s="697">
        <f>F52-G52</f>
        <v>50000</v>
      </c>
      <c r="I52" s="697">
        <v>814725</v>
      </c>
      <c r="J52" s="697">
        <f>390275+50000</f>
        <v>440275</v>
      </c>
      <c r="K52" s="697">
        <f>F52-I52-J52</f>
        <v>0</v>
      </c>
      <c r="L52" s="697">
        <v>100275</v>
      </c>
      <c r="M52" s="697">
        <f>J52-L52</f>
        <v>340000</v>
      </c>
      <c r="N52" s="697">
        <v>290000</v>
      </c>
      <c r="O52" s="697">
        <f>M52-N52</f>
        <v>50000</v>
      </c>
      <c r="P52" s="697">
        <f>O52-Q52-R52</f>
        <v>0</v>
      </c>
      <c r="Q52" s="697">
        <v>50000</v>
      </c>
      <c r="R52" s="697"/>
      <c r="S52" s="702" t="s">
        <v>1223</v>
      </c>
      <c r="T52" s="697"/>
      <c r="U52" s="697"/>
      <c r="V52" s="697"/>
      <c r="W52" s="697"/>
      <c r="X52" s="697">
        <v>50000</v>
      </c>
      <c r="Y52" s="697">
        <f>SUM(T52:X52)</f>
        <v>50000</v>
      </c>
      <c r="Z52" s="713"/>
      <c r="AA52" s="697">
        <f>Y52+Z52</f>
        <v>50000</v>
      </c>
      <c r="AB52" s="697">
        <f>O52-AA52</f>
        <v>0</v>
      </c>
      <c r="AC52" s="697">
        <f>AA52-AD52-AE52</f>
        <v>0</v>
      </c>
      <c r="AD52" s="697">
        <v>50000</v>
      </c>
      <c r="AE52" s="697"/>
      <c r="AF52" s="687"/>
      <c r="AG52" s="687"/>
      <c r="AH52" s="687"/>
      <c r="AI52" s="687"/>
      <c r="AJ52" s="687"/>
      <c r="AK52" s="687"/>
      <c r="AL52" s="687"/>
      <c r="AM52" s="688"/>
      <c r="AN52" s="688"/>
      <c r="AO52" s="688"/>
      <c r="AP52" s="688"/>
      <c r="AQ52" s="688"/>
      <c r="AR52" s="688"/>
      <c r="AS52" s="688"/>
      <c r="AT52" s="688"/>
      <c r="AU52" s="164"/>
      <c r="AX52" s="164"/>
      <c r="AY52" s="164"/>
      <c r="AZ52" s="164"/>
      <c r="BA52" s="166"/>
      <c r="BB52" s="166"/>
      <c r="BC52" s="166"/>
      <c r="BD52" s="166"/>
      <c r="BE52" s="166"/>
      <c r="BF52" s="166"/>
      <c r="BG52" s="166"/>
      <c r="BH52" s="166"/>
      <c r="BI52" s="166"/>
    </row>
    <row r="53" spans="1:62" s="699" customFormat="1" ht="30" customHeight="1">
      <c r="A53" s="735"/>
      <c r="B53" s="691"/>
      <c r="C53" s="701">
        <v>33</v>
      </c>
      <c r="D53" s="701">
        <v>2033</v>
      </c>
      <c r="E53" s="331" t="s">
        <v>419</v>
      </c>
      <c r="F53" s="697">
        <v>1000000</v>
      </c>
      <c r="G53" s="697">
        <v>1000000</v>
      </c>
      <c r="H53" s="697">
        <f>F53-G53</f>
        <v>0</v>
      </c>
      <c r="I53" s="697">
        <v>562413</v>
      </c>
      <c r="J53" s="697">
        <f>437587-100000</f>
        <v>337587</v>
      </c>
      <c r="K53" s="697">
        <f>F53-I53-J53</f>
        <v>100000</v>
      </c>
      <c r="L53" s="697">
        <v>437587</v>
      </c>
      <c r="M53" s="697">
        <f>J53-L53</f>
        <v>-100000</v>
      </c>
      <c r="N53" s="697"/>
      <c r="O53" s="697">
        <f>M53-N53</f>
        <v>-100000</v>
      </c>
      <c r="P53" s="697">
        <f>O53-Q53-R53</f>
        <v>0</v>
      </c>
      <c r="Q53" s="697">
        <v>-100000</v>
      </c>
      <c r="R53" s="697"/>
      <c r="S53" s="702" t="s">
        <v>1224</v>
      </c>
      <c r="T53" s="697"/>
      <c r="U53" s="697"/>
      <c r="V53" s="697"/>
      <c r="W53" s="697"/>
      <c r="X53" s="697">
        <v>-100000</v>
      </c>
      <c r="Y53" s="697">
        <f>SUM(T53:X53)</f>
        <v>-100000</v>
      </c>
      <c r="Z53" s="713"/>
      <c r="AA53" s="697">
        <f>Y53+Z53</f>
        <v>-100000</v>
      </c>
      <c r="AB53" s="697">
        <f>O53-AA53</f>
        <v>0</v>
      </c>
      <c r="AC53" s="697">
        <f>AA53-AD53-AE53</f>
        <v>0</v>
      </c>
      <c r="AD53" s="697">
        <v>-100000</v>
      </c>
      <c r="AE53" s="697"/>
      <c r="AF53" s="687"/>
      <c r="AG53" s="687"/>
      <c r="AH53" s="687"/>
      <c r="AI53" s="687"/>
      <c r="AJ53" s="687"/>
      <c r="AK53" s="687"/>
      <c r="AL53" s="687"/>
      <c r="AM53" s="688"/>
      <c r="AN53" s="688"/>
      <c r="AO53" s="688"/>
      <c r="AP53" s="688"/>
      <c r="AQ53" s="688"/>
      <c r="AR53" s="688"/>
      <c r="AS53" s="688"/>
      <c r="AT53" s="688"/>
      <c r="AU53" s="164"/>
      <c r="AX53" s="164"/>
      <c r="AY53" s="164"/>
      <c r="AZ53" s="164"/>
      <c r="BA53" s="166"/>
      <c r="BB53" s="166"/>
      <c r="BC53" s="166"/>
      <c r="BD53" s="166"/>
      <c r="BE53" s="166"/>
      <c r="BF53" s="166"/>
      <c r="BG53" s="166"/>
      <c r="BH53" s="166"/>
      <c r="BI53" s="166"/>
    </row>
    <row r="54" spans="1:62" s="699" customFormat="1" ht="30" customHeight="1">
      <c r="A54" s="326"/>
      <c r="B54" s="691"/>
      <c r="C54" s="701">
        <v>34</v>
      </c>
      <c r="D54" s="734">
        <v>1930</v>
      </c>
      <c r="E54" s="331" t="s">
        <v>143</v>
      </c>
      <c r="F54" s="697">
        <v>1670000</v>
      </c>
      <c r="G54" s="697">
        <v>1670000</v>
      </c>
      <c r="H54" s="697">
        <f>F54-G54</f>
        <v>0</v>
      </c>
      <c r="I54" s="697">
        <v>900631</v>
      </c>
      <c r="J54" s="697">
        <f>479369-150000</f>
        <v>329369</v>
      </c>
      <c r="K54" s="697">
        <f>F54-I54-J54</f>
        <v>440000</v>
      </c>
      <c r="L54" s="697">
        <v>159369</v>
      </c>
      <c r="M54" s="697">
        <f>J54-L54</f>
        <v>170000</v>
      </c>
      <c r="N54" s="697">
        <v>320000</v>
      </c>
      <c r="O54" s="697">
        <f>M54-N54</f>
        <v>-150000</v>
      </c>
      <c r="P54" s="697">
        <f>O54-Q54-R54</f>
        <v>0</v>
      </c>
      <c r="Q54" s="697">
        <v>-150000</v>
      </c>
      <c r="R54" s="697"/>
      <c r="S54" s="702" t="s">
        <v>1224</v>
      </c>
      <c r="T54" s="697"/>
      <c r="U54" s="697"/>
      <c r="V54" s="697"/>
      <c r="W54" s="697"/>
      <c r="X54" s="697">
        <v>-150000</v>
      </c>
      <c r="Y54" s="697">
        <f>SUM(T54:X54)</f>
        <v>-150000</v>
      </c>
      <c r="Z54" s="713"/>
      <c r="AA54" s="697">
        <f>Y54+Z54</f>
        <v>-150000</v>
      </c>
      <c r="AB54" s="697">
        <f>O54-AA54</f>
        <v>0</v>
      </c>
      <c r="AC54" s="697">
        <f>AA54-AD54-AE54</f>
        <v>0</v>
      </c>
      <c r="AD54" s="697">
        <v>-150000</v>
      </c>
      <c r="AE54" s="697"/>
      <c r="AF54" s="687"/>
      <c r="AG54" s="687"/>
      <c r="AH54" s="687"/>
      <c r="AI54" s="687"/>
      <c r="AJ54" s="687"/>
      <c r="AK54" s="687"/>
      <c r="AL54" s="687"/>
      <c r="AM54" s="688"/>
      <c r="AN54" s="688"/>
      <c r="AO54" s="688"/>
      <c r="AP54" s="688"/>
      <c r="AQ54" s="688"/>
      <c r="AR54" s="688"/>
      <c r="AS54" s="688"/>
      <c r="AT54" s="688"/>
      <c r="AU54" s="164"/>
      <c r="AX54" s="164"/>
      <c r="AY54" s="164"/>
      <c r="AZ54" s="164"/>
      <c r="BA54" s="166"/>
      <c r="BB54" s="166"/>
      <c r="BC54" s="166"/>
      <c r="BD54" s="166"/>
      <c r="BE54" s="166"/>
      <c r="BF54" s="166"/>
      <c r="BG54" s="166"/>
      <c r="BH54" s="166"/>
      <c r="BI54" s="166"/>
    </row>
    <row r="55" spans="1:62" s="699" customFormat="1" ht="30" customHeight="1">
      <c r="A55" s="326"/>
      <c r="B55" s="691"/>
      <c r="C55" s="701">
        <v>35</v>
      </c>
      <c r="D55" s="734">
        <v>2092</v>
      </c>
      <c r="E55" s="331" t="s">
        <v>1225</v>
      </c>
      <c r="F55" s="697">
        <v>4050720</v>
      </c>
      <c r="G55" s="697">
        <v>4800000</v>
      </c>
      <c r="H55" s="697">
        <f>F55-G55</f>
        <v>-749280</v>
      </c>
      <c r="I55" s="697">
        <v>1709234</v>
      </c>
      <c r="J55" s="697">
        <f>3090766-749280</f>
        <v>2341486</v>
      </c>
      <c r="K55" s="697">
        <f>F55-I55-J55</f>
        <v>0</v>
      </c>
      <c r="L55" s="697">
        <v>3090766</v>
      </c>
      <c r="M55" s="697">
        <f>J55-L55</f>
        <v>-749280</v>
      </c>
      <c r="N55" s="697"/>
      <c r="O55" s="697">
        <f>M55-N55</f>
        <v>-749280</v>
      </c>
      <c r="P55" s="697">
        <f>O55-Q55-R55</f>
        <v>0</v>
      </c>
      <c r="Q55" s="697"/>
      <c r="R55" s="697">
        <v>-749280</v>
      </c>
      <c r="S55" s="702" t="s">
        <v>1226</v>
      </c>
      <c r="T55" s="697"/>
      <c r="U55" s="697"/>
      <c r="V55" s="697"/>
      <c r="W55" s="697"/>
      <c r="X55" s="697">
        <v>-749280</v>
      </c>
      <c r="Y55" s="697">
        <f>SUM(T55:X55)</f>
        <v>-749280</v>
      </c>
      <c r="Z55" s="713"/>
      <c r="AA55" s="697">
        <f>Y55+Z55</f>
        <v>-749280</v>
      </c>
      <c r="AB55" s="697">
        <f>O55-AA55</f>
        <v>0</v>
      </c>
      <c r="AC55" s="697">
        <f>AA55-AD55-AE55</f>
        <v>0</v>
      </c>
      <c r="AD55" s="697"/>
      <c r="AE55" s="697">
        <v>-749280</v>
      </c>
      <c r="AF55" s="687"/>
      <c r="AG55" s="687"/>
      <c r="AH55" s="687"/>
      <c r="AI55" s="687"/>
      <c r="AJ55" s="687"/>
      <c r="AK55" s="687"/>
      <c r="AL55" s="687"/>
      <c r="AM55" s="688"/>
      <c r="AN55" s="688"/>
      <c r="AO55" s="688"/>
      <c r="AP55" s="688"/>
      <c r="AQ55" s="688"/>
      <c r="AR55" s="688"/>
      <c r="AS55" s="688"/>
      <c r="AT55" s="688"/>
      <c r="AU55" s="164"/>
      <c r="AX55" s="164"/>
      <c r="AY55" s="164"/>
      <c r="AZ55" s="164"/>
      <c r="BA55" s="166"/>
      <c r="BB55" s="166"/>
      <c r="BC55" s="166"/>
      <c r="BD55" s="166"/>
      <c r="BE55" s="166"/>
      <c r="BF55" s="166"/>
      <c r="BG55" s="166"/>
      <c r="BH55" s="166"/>
      <c r="BI55" s="166"/>
    </row>
    <row r="56" spans="1:62" s="699" customFormat="1" ht="30" customHeight="1">
      <c r="A56" s="531"/>
      <c r="B56" s="705"/>
      <c r="C56" s="706"/>
      <c r="D56" s="707"/>
      <c r="E56" s="696" t="s">
        <v>450</v>
      </c>
      <c r="F56" s="708">
        <f>SUM(F51:F55)</f>
        <v>10575720</v>
      </c>
      <c r="G56" s="708">
        <f t="shared" ref="G56:AE56" si="25">SUM(G51:G55)</f>
        <v>11190000</v>
      </c>
      <c r="H56" s="708">
        <f t="shared" si="25"/>
        <v>-614280</v>
      </c>
      <c r="I56" s="708">
        <f t="shared" si="25"/>
        <v>5915755</v>
      </c>
      <c r="J56" s="708">
        <f t="shared" si="25"/>
        <v>4119965</v>
      </c>
      <c r="K56" s="708">
        <f t="shared" si="25"/>
        <v>540000</v>
      </c>
      <c r="L56" s="708">
        <f t="shared" si="25"/>
        <v>3859245</v>
      </c>
      <c r="M56" s="708">
        <f t="shared" si="25"/>
        <v>260720</v>
      </c>
      <c r="N56" s="708">
        <f t="shared" si="25"/>
        <v>1010000</v>
      </c>
      <c r="O56" s="708">
        <f t="shared" si="25"/>
        <v>-749280</v>
      </c>
      <c r="P56" s="708">
        <f t="shared" si="25"/>
        <v>0</v>
      </c>
      <c r="Q56" s="708">
        <f t="shared" si="25"/>
        <v>0</v>
      </c>
      <c r="R56" s="708">
        <f t="shared" si="25"/>
        <v>-749280</v>
      </c>
      <c r="S56" s="708"/>
      <c r="T56" s="708">
        <f t="shared" si="25"/>
        <v>0</v>
      </c>
      <c r="U56" s="708">
        <f t="shared" si="25"/>
        <v>0</v>
      </c>
      <c r="V56" s="708">
        <f t="shared" si="25"/>
        <v>0</v>
      </c>
      <c r="W56" s="708">
        <f t="shared" si="25"/>
        <v>0</v>
      </c>
      <c r="X56" s="708">
        <f t="shared" si="25"/>
        <v>-749280</v>
      </c>
      <c r="Y56" s="708">
        <f t="shared" si="25"/>
        <v>-749280</v>
      </c>
      <c r="Z56" s="708">
        <f t="shared" si="25"/>
        <v>0</v>
      </c>
      <c r="AA56" s="708">
        <f t="shared" si="25"/>
        <v>-749280</v>
      </c>
      <c r="AB56" s="708">
        <f t="shared" si="25"/>
        <v>0</v>
      </c>
      <c r="AC56" s="708">
        <f t="shared" si="25"/>
        <v>0</v>
      </c>
      <c r="AD56" s="708">
        <f t="shared" si="25"/>
        <v>0</v>
      </c>
      <c r="AE56" s="708">
        <f t="shared" si="25"/>
        <v>-749280</v>
      </c>
      <c r="AF56" s="687"/>
      <c r="AG56" s="687"/>
      <c r="AH56" s="687"/>
      <c r="AI56" s="687"/>
      <c r="AJ56" s="687"/>
      <c r="AK56" s="687"/>
      <c r="AL56" s="687"/>
      <c r="AM56" s="687"/>
      <c r="AN56" s="688"/>
      <c r="AO56" s="688"/>
      <c r="AP56" s="688"/>
      <c r="AQ56" s="688"/>
      <c r="AR56" s="688"/>
      <c r="AS56" s="688"/>
      <c r="AT56" s="688"/>
      <c r="AU56" s="688"/>
      <c r="AV56" s="164"/>
      <c r="AY56" s="164"/>
      <c r="AZ56" s="164"/>
      <c r="BA56" s="164"/>
      <c r="BB56" s="166"/>
      <c r="BC56" s="166"/>
      <c r="BD56" s="166"/>
      <c r="BE56" s="166"/>
      <c r="BF56" s="166"/>
      <c r="BG56" s="166"/>
      <c r="BH56" s="166"/>
      <c r="BI56" s="166"/>
      <c r="BJ56" s="166"/>
    </row>
    <row r="57" spans="1:62" s="699" customFormat="1" ht="25" hidden="1" customHeight="1">
      <c r="A57" s="531"/>
      <c r="B57" s="705"/>
      <c r="C57" s="706"/>
      <c r="D57" s="707"/>
      <c r="E57" s="696"/>
      <c r="F57" s="708"/>
      <c r="G57" s="708"/>
      <c r="H57" s="708"/>
      <c r="I57" s="708"/>
      <c r="J57" s="708"/>
      <c r="K57" s="708"/>
      <c r="L57" s="708"/>
      <c r="M57" s="708"/>
      <c r="N57" s="708"/>
      <c r="O57" s="708"/>
      <c r="P57" s="708"/>
      <c r="Q57" s="708"/>
      <c r="R57" s="708"/>
      <c r="S57" s="181"/>
      <c r="T57" s="708"/>
      <c r="U57" s="708"/>
      <c r="V57" s="708"/>
      <c r="W57" s="708"/>
      <c r="X57" s="708"/>
      <c r="Y57" s="708"/>
      <c r="Z57" s="713"/>
      <c r="AA57" s="713"/>
      <c r="AB57" s="708"/>
      <c r="AC57" s="708"/>
      <c r="AD57" s="708"/>
      <c r="AE57" s="708"/>
      <c r="AF57" s="687"/>
      <c r="AG57" s="687"/>
      <c r="AH57" s="687"/>
      <c r="AI57" s="687"/>
      <c r="AJ57" s="687"/>
      <c r="AK57" s="687"/>
      <c r="AL57" s="687"/>
      <c r="AM57" s="687"/>
      <c r="AN57" s="688"/>
      <c r="AO57" s="688"/>
      <c r="AP57" s="688"/>
      <c r="AQ57" s="688"/>
      <c r="AR57" s="688"/>
      <c r="AS57" s="688"/>
      <c r="AT57" s="688"/>
      <c r="AU57" s="688"/>
      <c r="AV57" s="164"/>
      <c r="AY57" s="164"/>
      <c r="AZ57" s="164"/>
      <c r="BA57" s="164"/>
      <c r="BB57" s="166"/>
      <c r="BC57" s="166"/>
      <c r="BD57" s="166"/>
      <c r="BE57" s="166"/>
      <c r="BF57" s="166"/>
      <c r="BG57" s="166"/>
      <c r="BH57" s="166"/>
      <c r="BI57" s="166"/>
      <c r="BJ57" s="166"/>
    </row>
    <row r="58" spans="1:62" s="699" customFormat="1" ht="25" hidden="1" customHeight="1">
      <c r="A58" s="184"/>
      <c r="B58" s="695"/>
      <c r="C58" s="382"/>
      <c r="D58" s="684"/>
      <c r="E58" s="696" t="s">
        <v>656</v>
      </c>
      <c r="F58" s="697"/>
      <c r="G58" s="697"/>
      <c r="H58" s="697"/>
      <c r="I58" s="697"/>
      <c r="J58" s="697"/>
      <c r="K58" s="697"/>
      <c r="L58" s="697"/>
      <c r="M58" s="697"/>
      <c r="N58" s="697"/>
      <c r="O58" s="697"/>
      <c r="P58" s="697"/>
      <c r="Q58" s="697"/>
      <c r="R58" s="382"/>
      <c r="S58" s="698"/>
      <c r="T58" s="382"/>
      <c r="U58" s="382"/>
      <c r="V58" s="382"/>
      <c r="W58" s="382"/>
      <c r="X58" s="382"/>
      <c r="Y58" s="382"/>
      <c r="Z58" s="713"/>
      <c r="AA58" s="713"/>
      <c r="AB58" s="382"/>
      <c r="AC58" s="382"/>
      <c r="AD58" s="382"/>
      <c r="AE58" s="382"/>
      <c r="AF58" s="687"/>
      <c r="AG58" s="687"/>
      <c r="AH58" s="687"/>
      <c r="AI58" s="687"/>
      <c r="AJ58" s="687"/>
      <c r="AK58" s="687"/>
      <c r="AL58" s="687"/>
      <c r="AM58" s="687"/>
      <c r="AN58" s="688"/>
      <c r="AO58" s="688"/>
      <c r="AP58" s="688"/>
      <c r="AQ58" s="688"/>
      <c r="AR58" s="688"/>
      <c r="AS58" s="688"/>
      <c r="AT58" s="688"/>
      <c r="AU58" s="688"/>
      <c r="AV58" s="164"/>
      <c r="AY58" s="164"/>
      <c r="AZ58" s="164"/>
      <c r="BA58" s="164"/>
      <c r="BB58" s="166"/>
      <c r="BC58" s="166"/>
      <c r="BD58" s="166"/>
      <c r="BE58" s="166"/>
      <c r="BF58" s="166"/>
      <c r="BG58" s="166"/>
      <c r="BH58" s="166"/>
      <c r="BI58" s="166"/>
      <c r="BJ58" s="166"/>
    </row>
    <row r="59" spans="1:62" s="699" customFormat="1" ht="25" hidden="1" customHeight="1">
      <c r="A59" s="326"/>
      <c r="B59" s="691"/>
      <c r="C59" s="701"/>
      <c r="D59" s="331"/>
      <c r="E59" s="331"/>
      <c r="F59" s="697"/>
      <c r="G59" s="697"/>
      <c r="H59" s="697">
        <f>F59-G59</f>
        <v>0</v>
      </c>
      <c r="I59" s="697"/>
      <c r="J59" s="697"/>
      <c r="K59" s="697">
        <f>F59-I59-J59</f>
        <v>0</v>
      </c>
      <c r="L59" s="697">
        <f>I59</f>
        <v>0</v>
      </c>
      <c r="M59" s="697">
        <f>J59</f>
        <v>0</v>
      </c>
      <c r="N59" s="697"/>
      <c r="O59" s="697">
        <f>M59-N59</f>
        <v>0</v>
      </c>
      <c r="P59" s="697">
        <f>O59-Q59-R59</f>
        <v>0</v>
      </c>
      <c r="Q59" s="697"/>
      <c r="R59" s="697"/>
      <c r="S59" s="702"/>
      <c r="T59" s="697"/>
      <c r="U59" s="697"/>
      <c r="V59" s="697"/>
      <c r="W59" s="697"/>
      <c r="X59" s="697"/>
      <c r="Y59" s="697">
        <f>SUM(T59:X59)</f>
        <v>0</v>
      </c>
      <c r="Z59" s="713"/>
      <c r="AA59" s="713"/>
      <c r="AB59" s="697">
        <f>O59-Y59</f>
        <v>0</v>
      </c>
      <c r="AC59" s="697">
        <f>X59-AD59-AE59</f>
        <v>0</v>
      </c>
      <c r="AD59" s="697"/>
      <c r="AE59" s="697"/>
      <c r="AF59" s="687"/>
      <c r="AG59" s="687"/>
      <c r="AH59" s="687"/>
      <c r="AI59" s="687"/>
      <c r="AJ59" s="687"/>
      <c r="AK59" s="687"/>
      <c r="AL59" s="687"/>
      <c r="AM59" s="687"/>
      <c r="AN59" s="688"/>
      <c r="AO59" s="688"/>
      <c r="AP59" s="688"/>
      <c r="AQ59" s="688"/>
      <c r="AR59" s="688"/>
      <c r="AS59" s="688"/>
      <c r="AT59" s="688"/>
      <c r="AU59" s="688"/>
      <c r="AV59" s="164"/>
      <c r="AY59" s="164"/>
      <c r="AZ59" s="164"/>
      <c r="BA59" s="164"/>
      <c r="BB59" s="166"/>
      <c r="BC59" s="166"/>
      <c r="BD59" s="166"/>
      <c r="BE59" s="166"/>
      <c r="BF59" s="166"/>
      <c r="BG59" s="166"/>
      <c r="BH59" s="166"/>
      <c r="BI59" s="166"/>
      <c r="BJ59" s="166"/>
    </row>
    <row r="60" spans="1:62" s="699" customFormat="1" ht="25" hidden="1" customHeight="1">
      <c r="A60" s="735"/>
      <c r="B60" s="691"/>
      <c r="C60" s="382"/>
      <c r="D60" s="734"/>
      <c r="E60" s="331"/>
      <c r="F60" s="697"/>
      <c r="G60" s="697"/>
      <c r="H60" s="697">
        <f>F60-G60</f>
        <v>0</v>
      </c>
      <c r="I60" s="697"/>
      <c r="J60" s="697"/>
      <c r="K60" s="697">
        <f>F60-I60-J60</f>
        <v>0</v>
      </c>
      <c r="L60" s="697">
        <f>I60</f>
        <v>0</v>
      </c>
      <c r="M60" s="697">
        <f>J60</f>
        <v>0</v>
      </c>
      <c r="N60" s="697"/>
      <c r="O60" s="697">
        <f>M60-N60</f>
        <v>0</v>
      </c>
      <c r="P60" s="697">
        <f>O60-Q60-R60</f>
        <v>0</v>
      </c>
      <c r="Q60" s="697"/>
      <c r="R60" s="697"/>
      <c r="S60" s="152"/>
      <c r="T60" s="697"/>
      <c r="U60" s="697"/>
      <c r="V60" s="697"/>
      <c r="W60" s="697"/>
      <c r="X60" s="697"/>
      <c r="Y60" s="697">
        <f>SUM(T60:X60)</f>
        <v>0</v>
      </c>
      <c r="Z60" s="713"/>
      <c r="AA60" s="713"/>
      <c r="AB60" s="697">
        <f>O60-Y60</f>
        <v>0</v>
      </c>
      <c r="AC60" s="697">
        <f>X60-AD60-AE60</f>
        <v>0</v>
      </c>
      <c r="AD60" s="697"/>
      <c r="AE60" s="697"/>
      <c r="AF60" s="687"/>
      <c r="AG60" s="687"/>
      <c r="AH60" s="687"/>
      <c r="AI60" s="687"/>
      <c r="AJ60" s="687"/>
      <c r="AK60" s="687"/>
      <c r="AL60" s="687"/>
      <c r="AM60" s="687"/>
      <c r="AN60" s="688"/>
      <c r="AO60" s="688"/>
      <c r="AP60" s="688"/>
      <c r="AQ60" s="688"/>
      <c r="AR60" s="688"/>
      <c r="AS60" s="688"/>
      <c r="AT60" s="688"/>
      <c r="AU60" s="688"/>
      <c r="AV60" s="164"/>
      <c r="AY60" s="164"/>
      <c r="AZ60" s="164"/>
      <c r="BA60" s="164"/>
      <c r="BB60" s="166"/>
      <c r="BC60" s="166"/>
      <c r="BD60" s="166"/>
      <c r="BE60" s="166"/>
      <c r="BF60" s="166"/>
      <c r="BG60" s="166"/>
      <c r="BH60" s="166"/>
      <c r="BI60" s="166"/>
      <c r="BJ60" s="166"/>
    </row>
    <row r="61" spans="1:62" s="699" customFormat="1" ht="25" hidden="1" customHeight="1">
      <c r="A61" s="531"/>
      <c r="B61" s="705"/>
      <c r="C61" s="706">
        <f>COUNT(C59:C60)</f>
        <v>0</v>
      </c>
      <c r="D61" s="707"/>
      <c r="E61" s="696" t="s">
        <v>657</v>
      </c>
      <c r="F61" s="708">
        <f t="shared" ref="F61:R61" si="26">SUM(F59:F60)</f>
        <v>0</v>
      </c>
      <c r="G61" s="708">
        <f t="shared" si="26"/>
        <v>0</v>
      </c>
      <c r="H61" s="708">
        <f t="shared" si="26"/>
        <v>0</v>
      </c>
      <c r="I61" s="708">
        <f t="shared" si="26"/>
        <v>0</v>
      </c>
      <c r="J61" s="708">
        <f t="shared" si="26"/>
        <v>0</v>
      </c>
      <c r="K61" s="708">
        <f t="shared" si="26"/>
        <v>0</v>
      </c>
      <c r="L61" s="708">
        <f t="shared" si="26"/>
        <v>0</v>
      </c>
      <c r="M61" s="708">
        <f t="shared" si="26"/>
        <v>0</v>
      </c>
      <c r="N61" s="708">
        <f t="shared" si="26"/>
        <v>0</v>
      </c>
      <c r="O61" s="708">
        <f t="shared" si="26"/>
        <v>0</v>
      </c>
      <c r="P61" s="708">
        <f t="shared" si="26"/>
        <v>0</v>
      </c>
      <c r="Q61" s="708">
        <f t="shared" si="26"/>
        <v>0</v>
      </c>
      <c r="R61" s="708">
        <f t="shared" si="26"/>
        <v>0</v>
      </c>
      <c r="S61" s="181"/>
      <c r="T61" s="708">
        <f t="shared" ref="T61:AE61" si="27">SUM(T59:T60)</f>
        <v>0</v>
      </c>
      <c r="U61" s="708">
        <f t="shared" si="27"/>
        <v>0</v>
      </c>
      <c r="V61" s="708">
        <f t="shared" si="27"/>
        <v>0</v>
      </c>
      <c r="W61" s="708">
        <f t="shared" si="27"/>
        <v>0</v>
      </c>
      <c r="X61" s="708">
        <f t="shared" si="27"/>
        <v>0</v>
      </c>
      <c r="Y61" s="708">
        <f t="shared" si="27"/>
        <v>0</v>
      </c>
      <c r="Z61" s="713"/>
      <c r="AA61" s="713"/>
      <c r="AB61" s="708">
        <f t="shared" si="27"/>
        <v>0</v>
      </c>
      <c r="AC61" s="708">
        <f t="shared" si="27"/>
        <v>0</v>
      </c>
      <c r="AD61" s="708">
        <f t="shared" si="27"/>
        <v>0</v>
      </c>
      <c r="AE61" s="708">
        <f t="shared" si="27"/>
        <v>0</v>
      </c>
      <c r="AF61" s="687"/>
      <c r="AG61" s="687"/>
      <c r="AH61" s="687"/>
      <c r="AI61" s="687"/>
      <c r="AJ61" s="687"/>
      <c r="AK61" s="687"/>
      <c r="AL61" s="687"/>
      <c r="AM61" s="687"/>
      <c r="AN61" s="688"/>
      <c r="AO61" s="688"/>
      <c r="AP61" s="688"/>
      <c r="AQ61" s="688"/>
      <c r="AR61" s="688"/>
      <c r="AS61" s="688"/>
      <c r="AT61" s="688"/>
      <c r="AU61" s="688"/>
      <c r="AV61" s="164"/>
      <c r="AY61" s="164"/>
      <c r="AZ61" s="164"/>
      <c r="BA61" s="164"/>
      <c r="BB61" s="166"/>
      <c r="BC61" s="166"/>
      <c r="BD61" s="166"/>
      <c r="BE61" s="166"/>
      <c r="BF61" s="166"/>
      <c r="BG61" s="166"/>
      <c r="BH61" s="166"/>
      <c r="BI61" s="166"/>
      <c r="BJ61" s="166"/>
    </row>
    <row r="62" spans="1:62" s="699" customFormat="1" ht="30" customHeight="1">
      <c r="A62" s="531"/>
      <c r="B62" s="705"/>
      <c r="C62" s="706"/>
      <c r="D62" s="707"/>
      <c r="E62" s="696"/>
      <c r="F62" s="708"/>
      <c r="G62" s="708"/>
      <c r="H62" s="708"/>
      <c r="I62" s="708"/>
      <c r="J62" s="708"/>
      <c r="K62" s="708"/>
      <c r="L62" s="708"/>
      <c r="M62" s="708"/>
      <c r="N62" s="708"/>
      <c r="O62" s="708"/>
      <c r="P62" s="708"/>
      <c r="Q62" s="708"/>
      <c r="R62" s="708"/>
      <c r="S62" s="181"/>
      <c r="T62" s="708"/>
      <c r="U62" s="708"/>
      <c r="V62" s="708"/>
      <c r="W62" s="708"/>
      <c r="X62" s="708"/>
      <c r="Y62" s="708"/>
      <c r="Z62" s="713"/>
      <c r="AA62" s="713"/>
      <c r="AB62" s="708"/>
      <c r="AC62" s="708"/>
      <c r="AD62" s="708"/>
      <c r="AE62" s="708"/>
      <c r="AF62" s="687"/>
      <c r="AG62" s="687"/>
      <c r="AH62" s="687"/>
      <c r="AI62" s="687"/>
      <c r="AJ62" s="687"/>
      <c r="AK62" s="687"/>
      <c r="AL62" s="687"/>
      <c r="AM62" s="687"/>
      <c r="AN62" s="688"/>
      <c r="AO62" s="688"/>
      <c r="AP62" s="688"/>
      <c r="AQ62" s="688"/>
      <c r="AR62" s="688"/>
      <c r="AS62" s="688"/>
      <c r="AT62" s="688"/>
      <c r="AU62" s="688"/>
      <c r="AV62" s="164"/>
      <c r="AY62" s="164"/>
      <c r="AZ62" s="164"/>
      <c r="BA62" s="164"/>
      <c r="BB62" s="166"/>
      <c r="BC62" s="166"/>
      <c r="BD62" s="166"/>
      <c r="BE62" s="166"/>
      <c r="BF62" s="166"/>
      <c r="BG62" s="166"/>
      <c r="BH62" s="166"/>
      <c r="BI62" s="166"/>
      <c r="BJ62" s="166"/>
    </row>
    <row r="63" spans="1:62" s="699" customFormat="1" ht="30" customHeight="1">
      <c r="A63" s="184"/>
      <c r="B63" s="695"/>
      <c r="C63" s="382"/>
      <c r="D63" s="684"/>
      <c r="E63" s="696" t="s">
        <v>190</v>
      </c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697"/>
      <c r="Q63" s="697"/>
      <c r="R63" s="382"/>
      <c r="S63" s="698"/>
      <c r="T63" s="382"/>
      <c r="U63" s="382"/>
      <c r="V63" s="382"/>
      <c r="W63" s="382"/>
      <c r="X63" s="382"/>
      <c r="Y63" s="382"/>
      <c r="Z63" s="713"/>
      <c r="AA63" s="713"/>
      <c r="AB63" s="382"/>
      <c r="AC63" s="382"/>
      <c r="AD63" s="382"/>
      <c r="AE63" s="382"/>
      <c r="AF63" s="687"/>
      <c r="AG63" s="687"/>
      <c r="AH63" s="687"/>
      <c r="AI63" s="687"/>
      <c r="AJ63" s="687"/>
      <c r="AK63" s="687"/>
      <c r="AL63" s="687"/>
      <c r="AM63" s="687"/>
      <c r="AN63" s="688"/>
      <c r="AO63" s="688"/>
      <c r="AP63" s="688"/>
      <c r="AQ63" s="688"/>
      <c r="AR63" s="688"/>
      <c r="AS63" s="688"/>
      <c r="AT63" s="688"/>
      <c r="AU63" s="688"/>
      <c r="AV63" s="164"/>
      <c r="AY63" s="164"/>
      <c r="AZ63" s="164"/>
      <c r="BA63" s="164"/>
      <c r="BB63" s="166"/>
      <c r="BC63" s="166"/>
      <c r="BD63" s="166"/>
      <c r="BE63" s="166"/>
      <c r="BF63" s="166"/>
      <c r="BG63" s="166"/>
      <c r="BH63" s="166"/>
      <c r="BI63" s="166"/>
      <c r="BJ63" s="166"/>
    </row>
    <row r="64" spans="1:62" s="699" customFormat="1" ht="30" customHeight="1">
      <c r="A64" s="729" t="s">
        <v>1196</v>
      </c>
      <c r="B64" s="691"/>
      <c r="C64" s="734">
        <v>36</v>
      </c>
      <c r="D64" s="734">
        <v>1254</v>
      </c>
      <c r="E64" s="331" t="s">
        <v>1227</v>
      </c>
      <c r="F64" s="697">
        <v>45990000</v>
      </c>
      <c r="G64" s="697">
        <v>45990000</v>
      </c>
      <c r="H64" s="697">
        <f>F64-G64</f>
        <v>0</v>
      </c>
      <c r="I64" s="697">
        <v>37583587</v>
      </c>
      <c r="J64" s="697">
        <f>2006413+183000</f>
        <v>2189413</v>
      </c>
      <c r="K64" s="697">
        <f>F64-I64-J64</f>
        <v>6217000</v>
      </c>
      <c r="L64" s="697">
        <v>2006413</v>
      </c>
      <c r="M64" s="697">
        <f>J64-L64</f>
        <v>183000</v>
      </c>
      <c r="N64" s="697"/>
      <c r="O64" s="697">
        <f>M64-N64</f>
        <v>183000</v>
      </c>
      <c r="P64" s="697">
        <f>O64-Q64-R64</f>
        <v>0</v>
      </c>
      <c r="Q64" s="697"/>
      <c r="R64" s="697">
        <v>183000</v>
      </c>
      <c r="S64" s="702" t="s">
        <v>1228</v>
      </c>
      <c r="T64" s="697">
        <v>182866</v>
      </c>
      <c r="U64" s="697"/>
      <c r="V64" s="697"/>
      <c r="W64" s="697"/>
      <c r="X64" s="697"/>
      <c r="Y64" s="697">
        <f>SUM(T64:X64)</f>
        <v>182866</v>
      </c>
      <c r="Z64" s="713"/>
      <c r="AA64" s="697">
        <f>Y64+Z64</f>
        <v>182866</v>
      </c>
      <c r="AB64" s="697">
        <f>O64-AA64</f>
        <v>134</v>
      </c>
      <c r="AC64" s="697">
        <f>AA64-AD64-AE64</f>
        <v>0</v>
      </c>
      <c r="AD64" s="697"/>
      <c r="AE64" s="697">
        <v>182866</v>
      </c>
      <c r="AF64" s="687"/>
      <c r="AG64" s="687"/>
      <c r="AH64" s="687"/>
      <c r="AI64" s="687"/>
      <c r="AJ64" s="687"/>
      <c r="AK64" s="687"/>
      <c r="AL64" s="687"/>
      <c r="AM64" s="687"/>
      <c r="AN64" s="688"/>
      <c r="AO64" s="688"/>
      <c r="AP64" s="688"/>
      <c r="AQ64" s="688"/>
      <c r="AR64" s="688"/>
      <c r="AS64" s="688"/>
      <c r="AT64" s="688"/>
      <c r="AU64" s="688"/>
      <c r="AV64" s="164"/>
      <c r="AY64" s="164"/>
      <c r="AZ64" s="164"/>
      <c r="BA64" s="164"/>
      <c r="BB64" s="166"/>
      <c r="BC64" s="166"/>
      <c r="BD64" s="166"/>
      <c r="BE64" s="166"/>
      <c r="BF64" s="166"/>
      <c r="BG64" s="166"/>
      <c r="BH64" s="166"/>
      <c r="BI64" s="166"/>
      <c r="BJ64" s="166"/>
    </row>
    <row r="65" spans="1:62" s="699" customFormat="1" ht="30" customHeight="1">
      <c r="A65" s="704"/>
      <c r="B65" s="705"/>
      <c r="C65" s="706"/>
      <c r="D65" s="707"/>
      <c r="E65" s="696" t="s">
        <v>658</v>
      </c>
      <c r="F65" s="708">
        <f>SUM(F64)</f>
        <v>45990000</v>
      </c>
      <c r="G65" s="708">
        <f t="shared" ref="G65:AE65" si="28">SUM(G64)</f>
        <v>45990000</v>
      </c>
      <c r="H65" s="708">
        <f t="shared" si="28"/>
        <v>0</v>
      </c>
      <c r="I65" s="708">
        <f t="shared" si="28"/>
        <v>37583587</v>
      </c>
      <c r="J65" s="708">
        <f t="shared" si="28"/>
        <v>2189413</v>
      </c>
      <c r="K65" s="708">
        <f t="shared" si="28"/>
        <v>6217000</v>
      </c>
      <c r="L65" s="708">
        <f t="shared" si="28"/>
        <v>2006413</v>
      </c>
      <c r="M65" s="708">
        <f t="shared" si="28"/>
        <v>183000</v>
      </c>
      <c r="N65" s="708">
        <f t="shared" si="28"/>
        <v>0</v>
      </c>
      <c r="O65" s="708">
        <f t="shared" si="28"/>
        <v>183000</v>
      </c>
      <c r="P65" s="708">
        <f t="shared" si="28"/>
        <v>0</v>
      </c>
      <c r="Q65" s="708">
        <f t="shared" si="28"/>
        <v>0</v>
      </c>
      <c r="R65" s="708">
        <f t="shared" si="28"/>
        <v>183000</v>
      </c>
      <c r="S65" s="181"/>
      <c r="T65" s="708">
        <f t="shared" si="28"/>
        <v>182866</v>
      </c>
      <c r="U65" s="708">
        <f t="shared" si="28"/>
        <v>0</v>
      </c>
      <c r="V65" s="708">
        <f t="shared" si="28"/>
        <v>0</v>
      </c>
      <c r="W65" s="708">
        <f t="shared" si="28"/>
        <v>0</v>
      </c>
      <c r="X65" s="708">
        <f t="shared" si="28"/>
        <v>0</v>
      </c>
      <c r="Y65" s="708">
        <f t="shared" si="28"/>
        <v>182866</v>
      </c>
      <c r="Z65" s="708">
        <f t="shared" si="28"/>
        <v>0</v>
      </c>
      <c r="AA65" s="708">
        <f t="shared" si="28"/>
        <v>182866</v>
      </c>
      <c r="AB65" s="708">
        <f t="shared" si="28"/>
        <v>134</v>
      </c>
      <c r="AC65" s="708">
        <f t="shared" si="28"/>
        <v>0</v>
      </c>
      <c r="AD65" s="708">
        <f t="shared" si="28"/>
        <v>0</v>
      </c>
      <c r="AE65" s="708">
        <f t="shared" si="28"/>
        <v>182866</v>
      </c>
      <c r="AF65" s="687"/>
      <c r="AG65" s="687"/>
      <c r="AH65" s="687"/>
      <c r="AI65" s="687"/>
      <c r="AJ65" s="687"/>
      <c r="AK65" s="687"/>
      <c r="AL65" s="687"/>
      <c r="AM65" s="687"/>
      <c r="AN65" s="688"/>
      <c r="AO65" s="688"/>
      <c r="AP65" s="688"/>
      <c r="AQ65" s="688"/>
      <c r="AR65" s="688"/>
      <c r="AS65" s="688"/>
      <c r="AT65" s="688"/>
      <c r="AU65" s="688"/>
      <c r="AV65" s="164"/>
      <c r="AY65" s="164"/>
      <c r="AZ65" s="164"/>
      <c r="BA65" s="164"/>
      <c r="BB65" s="166"/>
      <c r="BC65" s="166"/>
      <c r="BD65" s="166"/>
      <c r="BE65" s="166"/>
      <c r="BF65" s="166"/>
      <c r="BG65" s="166"/>
      <c r="BH65" s="166"/>
      <c r="BI65" s="166"/>
      <c r="BJ65" s="166"/>
    </row>
    <row r="66" spans="1:62" s="699" customFormat="1" ht="25" hidden="1" customHeight="1">
      <c r="A66" s="704"/>
      <c r="B66" s="705"/>
      <c r="C66" s="706"/>
      <c r="D66" s="707"/>
      <c r="E66" s="696"/>
      <c r="F66" s="708"/>
      <c r="G66" s="708"/>
      <c r="H66" s="708"/>
      <c r="I66" s="708"/>
      <c r="J66" s="708"/>
      <c r="K66" s="708"/>
      <c r="L66" s="708"/>
      <c r="M66" s="708"/>
      <c r="N66" s="708"/>
      <c r="O66" s="708"/>
      <c r="P66" s="708"/>
      <c r="Q66" s="708"/>
      <c r="R66" s="708"/>
      <c r="S66" s="181"/>
      <c r="T66" s="708"/>
      <c r="U66" s="708"/>
      <c r="V66" s="708"/>
      <c r="W66" s="708"/>
      <c r="X66" s="708"/>
      <c r="Y66" s="708"/>
      <c r="Z66" s="713"/>
      <c r="AA66" s="713"/>
      <c r="AB66" s="708"/>
      <c r="AC66" s="708"/>
      <c r="AD66" s="708"/>
      <c r="AE66" s="708"/>
      <c r="AF66" s="687"/>
      <c r="AG66" s="687"/>
      <c r="AH66" s="687"/>
      <c r="AI66" s="687"/>
      <c r="AJ66" s="687"/>
      <c r="AK66" s="687"/>
      <c r="AL66" s="687"/>
      <c r="AM66" s="687"/>
      <c r="AN66" s="688"/>
      <c r="AO66" s="688"/>
      <c r="AP66" s="688"/>
      <c r="AQ66" s="688"/>
      <c r="AR66" s="688"/>
      <c r="AS66" s="688"/>
      <c r="AT66" s="688"/>
      <c r="AU66" s="688"/>
      <c r="AV66" s="164"/>
      <c r="AY66" s="164"/>
      <c r="AZ66" s="164"/>
      <c r="BA66" s="164"/>
      <c r="BB66" s="166"/>
      <c r="BC66" s="166"/>
      <c r="BD66" s="166"/>
      <c r="BE66" s="166"/>
      <c r="BF66" s="166"/>
      <c r="BG66" s="166"/>
      <c r="BH66" s="166"/>
      <c r="BI66" s="166"/>
      <c r="BJ66" s="166"/>
    </row>
    <row r="67" spans="1:62" s="699" customFormat="1" ht="25" hidden="1" customHeight="1">
      <c r="A67" s="694"/>
      <c r="B67" s="695"/>
      <c r="C67" s="382"/>
      <c r="D67" s="684"/>
      <c r="E67" s="696" t="s">
        <v>92</v>
      </c>
      <c r="F67" s="697"/>
      <c r="G67" s="697"/>
      <c r="H67" s="697"/>
      <c r="I67" s="697"/>
      <c r="J67" s="697"/>
      <c r="K67" s="697"/>
      <c r="L67" s="697"/>
      <c r="M67" s="697"/>
      <c r="N67" s="697"/>
      <c r="O67" s="697"/>
      <c r="P67" s="697"/>
      <c r="Q67" s="697"/>
      <c r="R67" s="382"/>
      <c r="S67" s="698"/>
      <c r="T67" s="382"/>
      <c r="U67" s="382"/>
      <c r="V67" s="382"/>
      <c r="W67" s="382"/>
      <c r="X67" s="382"/>
      <c r="Y67" s="382"/>
      <c r="Z67" s="713"/>
      <c r="AA67" s="713"/>
      <c r="AB67" s="382"/>
      <c r="AC67" s="382"/>
      <c r="AD67" s="382"/>
      <c r="AE67" s="382"/>
      <c r="AF67" s="687"/>
      <c r="AG67" s="687"/>
      <c r="AH67" s="687"/>
      <c r="AI67" s="687"/>
      <c r="AJ67" s="687"/>
      <c r="AK67" s="687"/>
      <c r="AL67" s="687"/>
      <c r="AM67" s="687"/>
      <c r="AN67" s="688"/>
      <c r="AO67" s="688"/>
      <c r="AP67" s="688"/>
      <c r="AQ67" s="688"/>
      <c r="AR67" s="688"/>
      <c r="AS67" s="688"/>
      <c r="AT67" s="688"/>
      <c r="AU67" s="688"/>
      <c r="AV67" s="164"/>
      <c r="AY67" s="164"/>
      <c r="AZ67" s="164"/>
      <c r="BA67" s="164"/>
      <c r="BB67" s="166"/>
      <c r="BC67" s="166"/>
      <c r="BD67" s="166"/>
      <c r="BE67" s="166"/>
      <c r="BF67" s="166"/>
      <c r="BG67" s="166"/>
      <c r="BH67" s="166"/>
      <c r="BI67" s="166"/>
      <c r="BJ67" s="166"/>
    </row>
    <row r="68" spans="1:62" s="699" customFormat="1" ht="25" hidden="1" customHeight="1">
      <c r="A68" s="700"/>
      <c r="B68" s="691"/>
      <c r="C68" s="382"/>
      <c r="D68" s="736"/>
      <c r="E68" s="331"/>
      <c r="F68" s="697"/>
      <c r="G68" s="697"/>
      <c r="H68" s="697">
        <f>F68-G68</f>
        <v>0</v>
      </c>
      <c r="I68" s="697"/>
      <c r="J68" s="697"/>
      <c r="K68" s="697">
        <f>F68-I68-J68</f>
        <v>0</v>
      </c>
      <c r="L68" s="697">
        <f>I68</f>
        <v>0</v>
      </c>
      <c r="M68" s="697">
        <f>J68</f>
        <v>0</v>
      </c>
      <c r="N68" s="697"/>
      <c r="O68" s="697">
        <f>M68-N68</f>
        <v>0</v>
      </c>
      <c r="P68" s="697">
        <f>O68-Q68-R68</f>
        <v>0</v>
      </c>
      <c r="Q68" s="697"/>
      <c r="R68" s="697"/>
      <c r="S68" s="152"/>
      <c r="T68" s="697"/>
      <c r="U68" s="697"/>
      <c r="V68" s="697"/>
      <c r="W68" s="697"/>
      <c r="X68" s="697"/>
      <c r="Y68" s="697">
        <f>SUM(T68:X68)</f>
        <v>0</v>
      </c>
      <c r="Z68" s="713"/>
      <c r="AA68" s="713"/>
      <c r="AB68" s="697">
        <f>O68-Y68</f>
        <v>0</v>
      </c>
      <c r="AC68" s="697">
        <f>X68-AD68-AE68</f>
        <v>0</v>
      </c>
      <c r="AD68" s="697"/>
      <c r="AE68" s="697"/>
      <c r="AF68" s="687"/>
      <c r="AG68" s="687"/>
      <c r="AH68" s="687"/>
      <c r="AI68" s="687"/>
      <c r="AJ68" s="687"/>
      <c r="AK68" s="687"/>
      <c r="AL68" s="687"/>
      <c r="AM68" s="687"/>
      <c r="AN68" s="688"/>
      <c r="AO68" s="688"/>
      <c r="AP68" s="688"/>
      <c r="AQ68" s="688"/>
      <c r="AR68" s="688"/>
      <c r="AS68" s="688"/>
      <c r="AT68" s="688"/>
      <c r="AU68" s="688"/>
      <c r="AV68" s="164"/>
      <c r="AY68" s="164"/>
      <c r="AZ68" s="164"/>
      <c r="BA68" s="164"/>
      <c r="BB68" s="166"/>
      <c r="BC68" s="166"/>
      <c r="BD68" s="166"/>
      <c r="BE68" s="166"/>
      <c r="BF68" s="166"/>
      <c r="BG68" s="166"/>
      <c r="BH68" s="166"/>
      <c r="BI68" s="166"/>
      <c r="BJ68" s="166"/>
    </row>
    <row r="69" spans="1:62" s="699" customFormat="1" ht="25" hidden="1" customHeight="1">
      <c r="A69" s="729"/>
      <c r="B69" s="691"/>
      <c r="C69" s="382"/>
      <c r="D69" s="734"/>
      <c r="E69" s="331"/>
      <c r="F69" s="697"/>
      <c r="G69" s="697"/>
      <c r="H69" s="697">
        <f>F69-G69</f>
        <v>0</v>
      </c>
      <c r="I69" s="697"/>
      <c r="J69" s="697"/>
      <c r="K69" s="697">
        <f>F69-I69-J69</f>
        <v>0</v>
      </c>
      <c r="L69" s="697">
        <f>I69</f>
        <v>0</v>
      </c>
      <c r="M69" s="697">
        <f>J69</f>
        <v>0</v>
      </c>
      <c r="N69" s="697"/>
      <c r="O69" s="697">
        <f>M69-N69</f>
        <v>0</v>
      </c>
      <c r="P69" s="697">
        <f>O69-Q69-R69</f>
        <v>0</v>
      </c>
      <c r="Q69" s="697"/>
      <c r="R69" s="697"/>
      <c r="S69" s="331"/>
      <c r="T69" s="697"/>
      <c r="U69" s="697"/>
      <c r="V69" s="697"/>
      <c r="W69" s="697"/>
      <c r="X69" s="697"/>
      <c r="Y69" s="697">
        <f>SUM(T69:X69)</f>
        <v>0</v>
      </c>
      <c r="Z69" s="713"/>
      <c r="AA69" s="713"/>
      <c r="AB69" s="697">
        <f>O69-Y69</f>
        <v>0</v>
      </c>
      <c r="AC69" s="697">
        <f>X69-AD69-AE69</f>
        <v>0</v>
      </c>
      <c r="AD69" s="697"/>
      <c r="AE69" s="697"/>
      <c r="AF69" s="687"/>
      <c r="AG69" s="687"/>
      <c r="AH69" s="687"/>
      <c r="AI69" s="687"/>
      <c r="AJ69" s="687"/>
      <c r="AK69" s="687"/>
      <c r="AL69" s="687"/>
      <c r="AM69" s="687"/>
      <c r="AN69" s="688"/>
      <c r="AO69" s="688"/>
      <c r="AP69" s="688"/>
      <c r="AQ69" s="688"/>
      <c r="AR69" s="688"/>
      <c r="AS69" s="688"/>
      <c r="AT69" s="688"/>
      <c r="AU69" s="688"/>
      <c r="AV69" s="164"/>
      <c r="AY69" s="164"/>
      <c r="AZ69" s="164"/>
      <c r="BA69" s="164"/>
      <c r="BB69" s="166"/>
      <c r="BC69" s="166"/>
      <c r="BD69" s="166"/>
      <c r="BE69" s="166"/>
      <c r="BF69" s="166"/>
      <c r="BG69" s="166"/>
      <c r="BH69" s="166"/>
      <c r="BI69" s="166"/>
      <c r="BJ69" s="166"/>
    </row>
    <row r="70" spans="1:62" s="699" customFormat="1" ht="25" hidden="1" customHeight="1">
      <c r="A70" s="704"/>
      <c r="B70" s="705"/>
      <c r="C70" s="706">
        <f>COUNT(C68:C69)</f>
        <v>0</v>
      </c>
      <c r="D70" s="707"/>
      <c r="E70" s="696" t="s">
        <v>662</v>
      </c>
      <c r="F70" s="708">
        <f t="shared" ref="F70:R70" si="29">SUM(F68:F69)</f>
        <v>0</v>
      </c>
      <c r="G70" s="708">
        <f t="shared" si="29"/>
        <v>0</v>
      </c>
      <c r="H70" s="708">
        <f t="shared" si="29"/>
        <v>0</v>
      </c>
      <c r="I70" s="708">
        <f t="shared" si="29"/>
        <v>0</v>
      </c>
      <c r="J70" s="708">
        <f t="shared" si="29"/>
        <v>0</v>
      </c>
      <c r="K70" s="708">
        <f t="shared" si="29"/>
        <v>0</v>
      </c>
      <c r="L70" s="708">
        <f t="shared" si="29"/>
        <v>0</v>
      </c>
      <c r="M70" s="708">
        <f t="shared" si="29"/>
        <v>0</v>
      </c>
      <c r="N70" s="708">
        <f t="shared" si="29"/>
        <v>0</v>
      </c>
      <c r="O70" s="708">
        <f t="shared" si="29"/>
        <v>0</v>
      </c>
      <c r="P70" s="708">
        <f t="shared" si="29"/>
        <v>0</v>
      </c>
      <c r="Q70" s="708">
        <f t="shared" si="29"/>
        <v>0</v>
      </c>
      <c r="R70" s="708">
        <f t="shared" si="29"/>
        <v>0</v>
      </c>
      <c r="S70" s="181"/>
      <c r="T70" s="708">
        <f t="shared" ref="T70:AE70" si="30">SUM(T68:T69)</f>
        <v>0</v>
      </c>
      <c r="U70" s="708">
        <f t="shared" si="30"/>
        <v>0</v>
      </c>
      <c r="V70" s="708">
        <f t="shared" si="30"/>
        <v>0</v>
      </c>
      <c r="W70" s="708">
        <f t="shared" si="30"/>
        <v>0</v>
      </c>
      <c r="X70" s="708">
        <f t="shared" si="30"/>
        <v>0</v>
      </c>
      <c r="Y70" s="708">
        <f t="shared" si="30"/>
        <v>0</v>
      </c>
      <c r="Z70" s="713"/>
      <c r="AA70" s="713"/>
      <c r="AB70" s="708">
        <f t="shared" si="30"/>
        <v>0</v>
      </c>
      <c r="AC70" s="708">
        <f t="shared" si="30"/>
        <v>0</v>
      </c>
      <c r="AD70" s="708">
        <f t="shared" si="30"/>
        <v>0</v>
      </c>
      <c r="AE70" s="708">
        <f t="shared" si="30"/>
        <v>0</v>
      </c>
      <c r="AF70" s="687"/>
      <c r="AG70" s="687"/>
      <c r="AH70" s="687"/>
      <c r="AI70" s="687"/>
      <c r="AJ70" s="687"/>
      <c r="AK70" s="687"/>
      <c r="AL70" s="687"/>
      <c r="AM70" s="687"/>
      <c r="AN70" s="688"/>
      <c r="AO70" s="688"/>
      <c r="AP70" s="688"/>
      <c r="AQ70" s="688"/>
      <c r="AR70" s="688"/>
      <c r="AS70" s="688"/>
      <c r="AT70" s="688"/>
      <c r="AU70" s="688"/>
      <c r="AV70" s="164"/>
      <c r="AY70" s="164"/>
      <c r="AZ70" s="164"/>
      <c r="BA70" s="164"/>
      <c r="BB70" s="166"/>
      <c r="BC70" s="166"/>
      <c r="BD70" s="166"/>
      <c r="BE70" s="166"/>
      <c r="BF70" s="166"/>
      <c r="BG70" s="166"/>
      <c r="BH70" s="166"/>
      <c r="BI70" s="166"/>
      <c r="BJ70" s="166"/>
    </row>
    <row r="71" spans="1:62" s="699" customFormat="1" ht="30" customHeight="1">
      <c r="A71" s="704"/>
      <c r="B71" s="705"/>
      <c r="C71" s="706"/>
      <c r="D71" s="707"/>
      <c r="E71" s="696"/>
      <c r="F71" s="708"/>
      <c r="G71" s="708"/>
      <c r="H71" s="708"/>
      <c r="I71" s="708"/>
      <c r="J71" s="708"/>
      <c r="K71" s="708"/>
      <c r="L71" s="708"/>
      <c r="M71" s="708"/>
      <c r="N71" s="708"/>
      <c r="O71" s="708"/>
      <c r="P71" s="708"/>
      <c r="Q71" s="708"/>
      <c r="R71" s="708"/>
      <c r="S71" s="181"/>
      <c r="T71" s="708"/>
      <c r="U71" s="708"/>
      <c r="V71" s="708"/>
      <c r="W71" s="708"/>
      <c r="X71" s="708"/>
      <c r="Y71" s="708"/>
      <c r="Z71" s="713"/>
      <c r="AA71" s="713"/>
      <c r="AB71" s="708"/>
      <c r="AC71" s="708"/>
      <c r="AD71" s="708"/>
      <c r="AE71" s="708"/>
      <c r="AF71" s="687"/>
      <c r="AG71" s="687"/>
      <c r="AH71" s="687"/>
      <c r="AI71" s="687"/>
      <c r="AJ71" s="687"/>
      <c r="AK71" s="687"/>
      <c r="AL71" s="687"/>
      <c r="AM71" s="687"/>
      <c r="AN71" s="688"/>
      <c r="AO71" s="688"/>
      <c r="AP71" s="688"/>
      <c r="AQ71" s="688"/>
      <c r="AR71" s="688"/>
      <c r="AS71" s="688"/>
      <c r="AT71" s="688"/>
      <c r="AU71" s="688"/>
      <c r="AV71" s="164"/>
      <c r="AY71" s="164"/>
      <c r="AZ71" s="164"/>
      <c r="BA71" s="164"/>
      <c r="BB71" s="166"/>
      <c r="BC71" s="166"/>
      <c r="BD71" s="166"/>
      <c r="BE71" s="166"/>
      <c r="BF71" s="166"/>
      <c r="BG71" s="166"/>
      <c r="BH71" s="166"/>
      <c r="BI71" s="166"/>
      <c r="BJ71" s="166"/>
    </row>
    <row r="72" spans="1:62" s="699" customFormat="1" ht="30" customHeight="1">
      <c r="A72" s="694"/>
      <c r="B72" s="695"/>
      <c r="C72" s="382"/>
      <c r="D72" s="684"/>
      <c r="E72" s="696" t="s">
        <v>663</v>
      </c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382"/>
      <c r="S72" s="698"/>
      <c r="T72" s="382"/>
      <c r="U72" s="382"/>
      <c r="V72" s="382"/>
      <c r="W72" s="382"/>
      <c r="X72" s="382"/>
      <c r="Y72" s="382"/>
      <c r="Z72" s="713"/>
      <c r="AA72" s="713"/>
      <c r="AB72" s="382"/>
      <c r="AC72" s="382"/>
      <c r="AD72" s="382"/>
      <c r="AE72" s="382"/>
      <c r="AF72" s="687"/>
      <c r="AG72" s="687"/>
      <c r="AH72" s="687"/>
      <c r="AI72" s="687"/>
      <c r="AJ72" s="687"/>
      <c r="AK72" s="687"/>
      <c r="AL72" s="687"/>
      <c r="AM72" s="687"/>
      <c r="AN72" s="688"/>
      <c r="AO72" s="688"/>
      <c r="AP72" s="688"/>
      <c r="AQ72" s="688"/>
      <c r="AR72" s="688"/>
      <c r="AS72" s="688"/>
      <c r="AT72" s="688"/>
      <c r="AU72" s="688"/>
      <c r="AV72" s="164"/>
      <c r="AY72" s="164"/>
      <c r="AZ72" s="164"/>
      <c r="BA72" s="164"/>
      <c r="BB72" s="166"/>
      <c r="BC72" s="166"/>
      <c r="BD72" s="166"/>
      <c r="BE72" s="166"/>
      <c r="BF72" s="166"/>
      <c r="BG72" s="166"/>
      <c r="BH72" s="166"/>
      <c r="BI72" s="166"/>
      <c r="BJ72" s="166"/>
    </row>
    <row r="73" spans="1:62" s="699" customFormat="1" ht="30" customHeight="1">
      <c r="A73" s="700"/>
      <c r="B73" s="691"/>
      <c r="C73" s="734">
        <v>37</v>
      </c>
      <c r="D73" s="734">
        <v>1519</v>
      </c>
      <c r="E73" s="331" t="s">
        <v>1229</v>
      </c>
      <c r="F73" s="697">
        <v>8493000</v>
      </c>
      <c r="G73" s="697">
        <v>8493000</v>
      </c>
      <c r="H73" s="697">
        <f>F73-G73</f>
        <v>0</v>
      </c>
      <c r="I73" s="697">
        <v>727317</v>
      </c>
      <c r="J73" s="697">
        <f>1002683+950000</f>
        <v>1952683</v>
      </c>
      <c r="K73" s="697">
        <f>F73-I73-J73</f>
        <v>5813000</v>
      </c>
      <c r="L73" s="697">
        <v>2683</v>
      </c>
      <c r="M73" s="697">
        <f>J73-L73</f>
        <v>1950000</v>
      </c>
      <c r="N73" s="697">
        <v>1000000</v>
      </c>
      <c r="O73" s="697">
        <f>M73-N73</f>
        <v>950000</v>
      </c>
      <c r="P73" s="697">
        <f>O73-Q73-R73</f>
        <v>950000</v>
      </c>
      <c r="Q73" s="697"/>
      <c r="R73" s="697"/>
      <c r="S73" s="702" t="s">
        <v>1230</v>
      </c>
      <c r="T73" s="697"/>
      <c r="U73" s="697">
        <v>950000</v>
      </c>
      <c r="V73" s="697"/>
      <c r="W73" s="697"/>
      <c r="X73" s="697"/>
      <c r="Y73" s="697">
        <f>SUM(T73:X73)</f>
        <v>950000</v>
      </c>
      <c r="Z73" s="713"/>
      <c r="AA73" s="697">
        <f>Y73+Z73</f>
        <v>950000</v>
      </c>
      <c r="AB73" s="697">
        <f>O73-AA73</f>
        <v>0</v>
      </c>
      <c r="AC73" s="697">
        <f>AA73-AD73-AE73</f>
        <v>950000</v>
      </c>
      <c r="AD73" s="697"/>
      <c r="AE73" s="697"/>
      <c r="AF73" s="687"/>
      <c r="AG73" s="687"/>
      <c r="AH73" s="687"/>
      <c r="AI73" s="687"/>
      <c r="AJ73" s="687"/>
      <c r="AK73" s="687"/>
      <c r="AL73" s="687"/>
      <c r="AM73" s="687"/>
      <c r="AN73" s="688"/>
      <c r="AO73" s="688"/>
      <c r="AP73" s="688"/>
      <c r="AQ73" s="688"/>
      <c r="AR73" s="688"/>
      <c r="AS73" s="688"/>
      <c r="AT73" s="688"/>
      <c r="AU73" s="688"/>
      <c r="AV73" s="164"/>
      <c r="AY73" s="164"/>
      <c r="AZ73" s="164"/>
      <c r="BA73" s="164"/>
      <c r="BB73" s="166"/>
      <c r="BC73" s="166"/>
      <c r="BD73" s="166"/>
      <c r="BE73" s="166"/>
      <c r="BF73" s="166"/>
      <c r="BG73" s="166"/>
      <c r="BH73" s="166"/>
      <c r="BI73" s="166"/>
      <c r="BJ73" s="166"/>
    </row>
    <row r="74" spans="1:62" s="699" customFormat="1" ht="30" customHeight="1">
      <c r="A74" s="704"/>
      <c r="B74" s="705"/>
      <c r="C74" s="706"/>
      <c r="D74" s="707"/>
      <c r="E74" s="696" t="s">
        <v>299</v>
      </c>
      <c r="F74" s="708">
        <f t="shared" ref="F74:AE74" si="31">SUM(F73:F73)</f>
        <v>8493000</v>
      </c>
      <c r="G74" s="708">
        <f t="shared" si="31"/>
        <v>8493000</v>
      </c>
      <c r="H74" s="708">
        <f t="shared" si="31"/>
        <v>0</v>
      </c>
      <c r="I74" s="708">
        <f t="shared" si="31"/>
        <v>727317</v>
      </c>
      <c r="J74" s="708">
        <f t="shared" si="31"/>
        <v>1952683</v>
      </c>
      <c r="K74" s="708">
        <f t="shared" si="31"/>
        <v>5813000</v>
      </c>
      <c r="L74" s="708">
        <f t="shared" si="31"/>
        <v>2683</v>
      </c>
      <c r="M74" s="708">
        <f t="shared" si="31"/>
        <v>1950000</v>
      </c>
      <c r="N74" s="708">
        <f t="shared" si="31"/>
        <v>1000000</v>
      </c>
      <c r="O74" s="708">
        <f t="shared" si="31"/>
        <v>950000</v>
      </c>
      <c r="P74" s="708">
        <f t="shared" si="31"/>
        <v>950000</v>
      </c>
      <c r="Q74" s="708">
        <f t="shared" si="31"/>
        <v>0</v>
      </c>
      <c r="R74" s="708">
        <f t="shared" si="31"/>
        <v>0</v>
      </c>
      <c r="S74" s="181"/>
      <c r="T74" s="708">
        <f t="shared" si="31"/>
        <v>0</v>
      </c>
      <c r="U74" s="708">
        <f t="shared" si="31"/>
        <v>950000</v>
      </c>
      <c r="V74" s="708">
        <f t="shared" si="31"/>
        <v>0</v>
      </c>
      <c r="W74" s="708">
        <f t="shared" si="31"/>
        <v>0</v>
      </c>
      <c r="X74" s="708">
        <f t="shared" si="31"/>
        <v>0</v>
      </c>
      <c r="Y74" s="708">
        <f t="shared" si="31"/>
        <v>950000</v>
      </c>
      <c r="Z74" s="708">
        <f t="shared" si="31"/>
        <v>0</v>
      </c>
      <c r="AA74" s="708">
        <f t="shared" si="31"/>
        <v>950000</v>
      </c>
      <c r="AB74" s="708">
        <f t="shared" si="31"/>
        <v>0</v>
      </c>
      <c r="AC74" s="708">
        <f t="shared" si="31"/>
        <v>950000</v>
      </c>
      <c r="AD74" s="708">
        <f t="shared" si="31"/>
        <v>0</v>
      </c>
      <c r="AE74" s="708">
        <f t="shared" si="31"/>
        <v>0</v>
      </c>
      <c r="AF74" s="687"/>
      <c r="AG74" s="687"/>
      <c r="AH74" s="687"/>
      <c r="AI74" s="687"/>
      <c r="AJ74" s="687"/>
      <c r="AK74" s="687"/>
      <c r="AL74" s="687"/>
      <c r="AM74" s="687"/>
      <c r="AN74" s="688"/>
      <c r="AO74" s="688"/>
      <c r="AP74" s="688"/>
      <c r="AQ74" s="688"/>
      <c r="AR74" s="688"/>
      <c r="AS74" s="688"/>
      <c r="AT74" s="688"/>
      <c r="AU74" s="688"/>
      <c r="AV74" s="164"/>
      <c r="AY74" s="164"/>
      <c r="AZ74" s="164"/>
      <c r="BA74" s="164"/>
      <c r="BB74" s="166"/>
      <c r="BC74" s="166"/>
      <c r="BD74" s="166"/>
      <c r="BE74" s="166"/>
      <c r="BF74" s="166"/>
      <c r="BG74" s="166"/>
      <c r="BH74" s="166"/>
      <c r="BI74" s="166"/>
      <c r="BJ74" s="166"/>
    </row>
    <row r="75" spans="1:62" s="699" customFormat="1" ht="30" customHeight="1">
      <c r="A75" s="704"/>
      <c r="B75" s="705"/>
      <c r="C75" s="706"/>
      <c r="D75" s="707"/>
      <c r="E75" s="696"/>
      <c r="F75" s="708"/>
      <c r="G75" s="708"/>
      <c r="H75" s="708"/>
      <c r="I75" s="708"/>
      <c r="J75" s="708"/>
      <c r="K75" s="708"/>
      <c r="L75" s="708"/>
      <c r="M75" s="708"/>
      <c r="N75" s="708"/>
      <c r="O75" s="708"/>
      <c r="P75" s="708"/>
      <c r="Q75" s="708"/>
      <c r="R75" s="708"/>
      <c r="S75" s="181"/>
      <c r="T75" s="708"/>
      <c r="U75" s="708"/>
      <c r="V75" s="708"/>
      <c r="W75" s="708"/>
      <c r="X75" s="708"/>
      <c r="Y75" s="708"/>
      <c r="Z75" s="713"/>
      <c r="AA75" s="713"/>
      <c r="AB75" s="708"/>
      <c r="AC75" s="708"/>
      <c r="AD75" s="708"/>
      <c r="AE75" s="708"/>
      <c r="AF75" s="687"/>
      <c r="AG75" s="687"/>
      <c r="AH75" s="687"/>
      <c r="AI75" s="687"/>
      <c r="AJ75" s="687"/>
      <c r="AK75" s="687"/>
      <c r="AL75" s="687"/>
      <c r="AM75" s="687"/>
      <c r="AN75" s="688"/>
      <c r="AO75" s="688"/>
      <c r="AP75" s="688"/>
      <c r="AQ75" s="688"/>
      <c r="AR75" s="688"/>
      <c r="AS75" s="688"/>
      <c r="AT75" s="688"/>
      <c r="AU75" s="688"/>
      <c r="AV75" s="164"/>
      <c r="AY75" s="164"/>
      <c r="AZ75" s="164"/>
      <c r="BA75" s="164"/>
      <c r="BB75" s="166"/>
      <c r="BC75" s="166"/>
      <c r="BD75" s="166"/>
      <c r="BE75" s="166"/>
      <c r="BF75" s="166"/>
      <c r="BG75" s="166"/>
      <c r="BH75" s="166"/>
      <c r="BI75" s="166"/>
      <c r="BJ75" s="166"/>
    </row>
    <row r="76" spans="1:62" s="699" customFormat="1" ht="30" customHeight="1">
      <c r="A76" s="694"/>
      <c r="B76" s="695"/>
      <c r="C76" s="382"/>
      <c r="D76" s="684"/>
      <c r="E76" s="696" t="s">
        <v>1231</v>
      </c>
      <c r="F76" s="697"/>
      <c r="G76" s="697"/>
      <c r="H76" s="697"/>
      <c r="I76" s="697"/>
      <c r="J76" s="697"/>
      <c r="K76" s="697"/>
      <c r="L76" s="697"/>
      <c r="M76" s="697"/>
      <c r="N76" s="697"/>
      <c r="O76" s="697"/>
      <c r="P76" s="697"/>
      <c r="Q76" s="697"/>
      <c r="R76" s="382"/>
      <c r="S76" s="698"/>
      <c r="T76" s="382"/>
      <c r="U76" s="382"/>
      <c r="V76" s="382"/>
      <c r="W76" s="382"/>
      <c r="X76" s="382"/>
      <c r="Y76" s="382"/>
      <c r="Z76" s="713"/>
      <c r="AA76" s="713"/>
      <c r="AB76" s="382"/>
      <c r="AC76" s="382"/>
      <c r="AD76" s="382"/>
      <c r="AE76" s="382"/>
      <c r="AF76" s="687"/>
      <c r="AG76" s="687"/>
      <c r="AH76" s="687"/>
      <c r="AI76" s="687"/>
      <c r="AJ76" s="687"/>
      <c r="AK76" s="687"/>
      <c r="AL76" s="687"/>
      <c r="AM76" s="687"/>
      <c r="AN76" s="688"/>
      <c r="AO76" s="688"/>
      <c r="AP76" s="688"/>
      <c r="AQ76" s="688"/>
      <c r="AR76" s="688"/>
      <c r="AS76" s="688"/>
      <c r="AT76" s="688"/>
      <c r="AU76" s="688"/>
      <c r="AV76" s="164"/>
      <c r="AY76" s="164"/>
      <c r="AZ76" s="164"/>
      <c r="BA76" s="164"/>
      <c r="BB76" s="166"/>
      <c r="BC76" s="166"/>
      <c r="BD76" s="166"/>
      <c r="BE76" s="166"/>
      <c r="BF76" s="166"/>
      <c r="BG76" s="166"/>
      <c r="BH76" s="166"/>
      <c r="BI76" s="166"/>
      <c r="BJ76" s="166"/>
    </row>
    <row r="77" spans="1:62" s="699" customFormat="1" ht="30" customHeight="1">
      <c r="A77" s="700"/>
      <c r="B77" s="691"/>
      <c r="C77" s="701">
        <v>38</v>
      </c>
      <c r="D77" s="734">
        <v>2188</v>
      </c>
      <c r="E77" s="331" t="s">
        <v>1232</v>
      </c>
      <c r="F77" s="697">
        <v>1000000</v>
      </c>
      <c r="G77" s="697"/>
      <c r="H77" s="697">
        <f>F77-G77</f>
        <v>1000000</v>
      </c>
      <c r="I77" s="697"/>
      <c r="J77" s="697">
        <v>1000000</v>
      </c>
      <c r="K77" s="697">
        <f>F77-I77-J77</f>
        <v>0</v>
      </c>
      <c r="L77" s="697"/>
      <c r="M77" s="697">
        <f>J77-L77</f>
        <v>1000000</v>
      </c>
      <c r="N77" s="697"/>
      <c r="O77" s="697">
        <f>M77-N77</f>
        <v>1000000</v>
      </c>
      <c r="P77" s="697">
        <f>O77-Q77-R77</f>
        <v>0</v>
      </c>
      <c r="Q77" s="697">
        <v>1000000</v>
      </c>
      <c r="R77" s="697"/>
      <c r="S77" s="702" t="s">
        <v>1233</v>
      </c>
      <c r="T77" s="697"/>
      <c r="U77" s="697"/>
      <c r="V77" s="697"/>
      <c r="W77" s="697"/>
      <c r="X77" s="697">
        <v>1000000</v>
      </c>
      <c r="Y77" s="697">
        <f>SUM(T77:X77)</f>
        <v>1000000</v>
      </c>
      <c r="Z77" s="713"/>
      <c r="AA77" s="697">
        <f>Y77+Z77</f>
        <v>1000000</v>
      </c>
      <c r="AB77" s="697">
        <f>O77-AA77</f>
        <v>0</v>
      </c>
      <c r="AC77" s="697">
        <f>AA77-AD77-AE77</f>
        <v>0</v>
      </c>
      <c r="AD77" s="697">
        <v>1000000</v>
      </c>
      <c r="AE77" s="697"/>
      <c r="AF77" s="687"/>
      <c r="AG77" s="687"/>
      <c r="AH77" s="687"/>
      <c r="AI77" s="687"/>
      <c r="AJ77" s="687"/>
      <c r="AK77" s="687"/>
      <c r="AL77" s="687"/>
      <c r="AM77" s="688"/>
      <c r="AN77" s="688"/>
      <c r="AO77" s="688"/>
      <c r="AP77" s="688"/>
      <c r="AQ77" s="688"/>
      <c r="AR77" s="688"/>
      <c r="AS77" s="688"/>
      <c r="AT77" s="688"/>
      <c r="AU77" s="164"/>
      <c r="AX77" s="164"/>
      <c r="AY77" s="164"/>
      <c r="AZ77" s="164"/>
      <c r="BA77" s="166"/>
      <c r="BB77" s="166"/>
      <c r="BC77" s="166"/>
      <c r="BD77" s="166"/>
      <c r="BE77" s="166"/>
      <c r="BF77" s="166"/>
      <c r="BG77" s="166"/>
      <c r="BH77" s="166"/>
      <c r="BI77" s="166"/>
    </row>
    <row r="78" spans="1:62" s="699" customFormat="1" ht="30" customHeight="1">
      <c r="A78" s="700"/>
      <c r="B78" s="691"/>
      <c r="C78" s="701">
        <v>39</v>
      </c>
      <c r="D78" s="734">
        <v>2188</v>
      </c>
      <c r="E78" s="331" t="s">
        <v>1232</v>
      </c>
      <c r="F78" s="697">
        <v>2000000</v>
      </c>
      <c r="G78" s="697">
        <v>1000000</v>
      </c>
      <c r="H78" s="697">
        <f>F78-G78</f>
        <v>1000000</v>
      </c>
      <c r="I78" s="697"/>
      <c r="J78" s="697">
        <v>2000000</v>
      </c>
      <c r="K78" s="697">
        <f>F78-I78-J78</f>
        <v>0</v>
      </c>
      <c r="L78" s="697"/>
      <c r="M78" s="697">
        <f>J78-L78</f>
        <v>2000000</v>
      </c>
      <c r="N78" s="697">
        <v>1000000</v>
      </c>
      <c r="O78" s="697">
        <f>M78-N78</f>
        <v>1000000</v>
      </c>
      <c r="P78" s="697">
        <f>O78-Q78-R78</f>
        <v>0</v>
      </c>
      <c r="Q78" s="697">
        <v>1000000</v>
      </c>
      <c r="R78" s="697"/>
      <c r="S78" s="702" t="s">
        <v>1234</v>
      </c>
      <c r="T78" s="697"/>
      <c r="U78" s="697"/>
      <c r="V78" s="697"/>
      <c r="W78" s="697"/>
      <c r="X78" s="697">
        <f>SUM(T78:W78)</f>
        <v>0</v>
      </c>
      <c r="Y78" s="697">
        <f>SUM(T78:X78)</f>
        <v>0</v>
      </c>
      <c r="Z78" s="697">
        <v>1000000</v>
      </c>
      <c r="AA78" s="697">
        <f>Y78+Z78</f>
        <v>1000000</v>
      </c>
      <c r="AB78" s="697">
        <f>O78-AA78</f>
        <v>0</v>
      </c>
      <c r="AC78" s="697">
        <f>AA78-AD78-AE78</f>
        <v>1000000</v>
      </c>
      <c r="AD78" s="697"/>
      <c r="AE78" s="697"/>
      <c r="AF78" s="687"/>
      <c r="AG78" s="687"/>
      <c r="AH78" s="687"/>
      <c r="AI78" s="687"/>
      <c r="AJ78" s="687"/>
      <c r="AK78" s="687"/>
      <c r="AL78" s="687"/>
      <c r="AM78" s="688"/>
      <c r="AN78" s="688"/>
      <c r="AO78" s="688"/>
      <c r="AP78" s="688"/>
      <c r="AQ78" s="688"/>
      <c r="AR78" s="688"/>
      <c r="AS78" s="688"/>
      <c r="AT78" s="688"/>
      <c r="AU78" s="164"/>
      <c r="AX78" s="164"/>
      <c r="AY78" s="164"/>
      <c r="AZ78" s="164"/>
      <c r="BA78" s="166"/>
      <c r="BB78" s="166"/>
      <c r="BC78" s="166"/>
      <c r="BD78" s="166"/>
      <c r="BE78" s="166"/>
      <c r="BF78" s="166"/>
      <c r="BG78" s="166"/>
      <c r="BH78" s="166"/>
      <c r="BI78" s="166"/>
    </row>
    <row r="79" spans="1:62" s="699" customFormat="1" ht="30" customHeight="1">
      <c r="A79" s="704"/>
      <c r="B79" s="705"/>
      <c r="C79" s="706"/>
      <c r="D79" s="707"/>
      <c r="E79" s="696" t="s">
        <v>1235</v>
      </c>
      <c r="F79" s="708">
        <f>SUM(F77:F78)</f>
        <v>3000000</v>
      </c>
      <c r="G79" s="708">
        <f t="shared" ref="G79:AE79" si="32">SUM(G77:G78)</f>
        <v>1000000</v>
      </c>
      <c r="H79" s="708">
        <f t="shared" si="32"/>
        <v>2000000</v>
      </c>
      <c r="I79" s="708">
        <f t="shared" si="32"/>
        <v>0</v>
      </c>
      <c r="J79" s="708">
        <f t="shared" si="32"/>
        <v>3000000</v>
      </c>
      <c r="K79" s="708">
        <f t="shared" si="32"/>
        <v>0</v>
      </c>
      <c r="L79" s="708">
        <f t="shared" si="32"/>
        <v>0</v>
      </c>
      <c r="M79" s="708">
        <f t="shared" si="32"/>
        <v>3000000</v>
      </c>
      <c r="N79" s="708">
        <f t="shared" si="32"/>
        <v>1000000</v>
      </c>
      <c r="O79" s="708">
        <f t="shared" si="32"/>
        <v>2000000</v>
      </c>
      <c r="P79" s="708">
        <f t="shared" si="32"/>
        <v>0</v>
      </c>
      <c r="Q79" s="708">
        <f t="shared" si="32"/>
        <v>2000000</v>
      </c>
      <c r="R79" s="708">
        <f t="shared" si="32"/>
        <v>0</v>
      </c>
      <c r="S79" s="708"/>
      <c r="T79" s="708">
        <f t="shared" si="32"/>
        <v>0</v>
      </c>
      <c r="U79" s="708">
        <f t="shared" si="32"/>
        <v>0</v>
      </c>
      <c r="V79" s="708">
        <f t="shared" si="32"/>
        <v>0</v>
      </c>
      <c r="W79" s="708">
        <f t="shared" si="32"/>
        <v>0</v>
      </c>
      <c r="X79" s="708">
        <f t="shared" si="32"/>
        <v>1000000</v>
      </c>
      <c r="Y79" s="708">
        <f t="shared" si="32"/>
        <v>1000000</v>
      </c>
      <c r="Z79" s="708">
        <f t="shared" si="32"/>
        <v>1000000</v>
      </c>
      <c r="AA79" s="708">
        <f t="shared" si="32"/>
        <v>2000000</v>
      </c>
      <c r="AB79" s="708">
        <f t="shared" si="32"/>
        <v>0</v>
      </c>
      <c r="AC79" s="708">
        <f t="shared" si="32"/>
        <v>1000000</v>
      </c>
      <c r="AD79" s="708">
        <f t="shared" si="32"/>
        <v>1000000</v>
      </c>
      <c r="AE79" s="708">
        <f t="shared" si="32"/>
        <v>0</v>
      </c>
      <c r="AF79" s="687"/>
      <c r="AG79" s="687"/>
      <c r="AH79" s="687"/>
      <c r="AI79" s="687"/>
      <c r="AJ79" s="687"/>
      <c r="AK79" s="687"/>
      <c r="AL79" s="687"/>
      <c r="AM79" s="687"/>
      <c r="AN79" s="688"/>
      <c r="AO79" s="688"/>
      <c r="AP79" s="688"/>
      <c r="AQ79" s="688"/>
      <c r="AR79" s="688"/>
      <c r="AS79" s="688"/>
      <c r="AT79" s="688"/>
      <c r="AU79" s="688"/>
      <c r="AV79" s="164"/>
      <c r="AY79" s="164"/>
      <c r="AZ79" s="164"/>
      <c r="BA79" s="164"/>
      <c r="BB79" s="166"/>
      <c r="BC79" s="166"/>
      <c r="BD79" s="166"/>
      <c r="BE79" s="166"/>
      <c r="BF79" s="166"/>
      <c r="BG79" s="166"/>
      <c r="BH79" s="166"/>
      <c r="BI79" s="166"/>
      <c r="BJ79" s="166"/>
    </row>
    <row r="80" spans="1:62" s="699" customFormat="1" ht="25" hidden="1" customHeight="1">
      <c r="A80" s="704"/>
      <c r="B80" s="705"/>
      <c r="C80" s="706"/>
      <c r="D80" s="707"/>
      <c r="E80" s="696"/>
      <c r="F80" s="708"/>
      <c r="G80" s="708"/>
      <c r="H80" s="708"/>
      <c r="I80" s="708"/>
      <c r="J80" s="708"/>
      <c r="K80" s="708"/>
      <c r="L80" s="708"/>
      <c r="M80" s="708"/>
      <c r="N80" s="708"/>
      <c r="O80" s="708"/>
      <c r="P80" s="708"/>
      <c r="Q80" s="708"/>
      <c r="R80" s="708"/>
      <c r="S80" s="181"/>
      <c r="T80" s="708"/>
      <c r="U80" s="708"/>
      <c r="V80" s="708"/>
      <c r="W80" s="708"/>
      <c r="X80" s="708"/>
      <c r="Y80" s="708"/>
      <c r="Z80" s="713"/>
      <c r="AA80" s="713"/>
      <c r="AB80" s="708"/>
      <c r="AC80" s="708"/>
      <c r="AD80" s="708"/>
      <c r="AE80" s="708"/>
      <c r="AF80" s="687"/>
      <c r="AG80" s="687"/>
      <c r="AH80" s="687"/>
      <c r="AI80" s="687"/>
      <c r="AJ80" s="687"/>
      <c r="AK80" s="687"/>
      <c r="AL80" s="687"/>
      <c r="AM80" s="687"/>
      <c r="AN80" s="688"/>
      <c r="AO80" s="688"/>
      <c r="AP80" s="688"/>
      <c r="AQ80" s="688"/>
      <c r="AR80" s="688"/>
      <c r="AS80" s="688"/>
      <c r="AT80" s="688"/>
      <c r="AU80" s="688"/>
      <c r="AV80" s="164"/>
      <c r="AY80" s="164"/>
      <c r="AZ80" s="164"/>
      <c r="BA80" s="164"/>
      <c r="BB80" s="166"/>
      <c r="BC80" s="166"/>
      <c r="BD80" s="166"/>
      <c r="BE80" s="166"/>
      <c r="BF80" s="166"/>
      <c r="BG80" s="166"/>
      <c r="BH80" s="166"/>
      <c r="BI80" s="166"/>
      <c r="BJ80" s="166"/>
    </row>
    <row r="81" spans="1:62" s="699" customFormat="1" ht="25" hidden="1" customHeight="1">
      <c r="A81" s="729"/>
      <c r="B81" s="695"/>
      <c r="C81" s="382"/>
      <c r="D81" s="684"/>
      <c r="E81" s="696" t="s">
        <v>288</v>
      </c>
      <c r="F81" s="697"/>
      <c r="G81" s="697"/>
      <c r="H81" s="697"/>
      <c r="I81" s="697"/>
      <c r="J81" s="697"/>
      <c r="K81" s="697"/>
      <c r="L81" s="697"/>
      <c r="M81" s="697"/>
      <c r="N81" s="697"/>
      <c r="O81" s="697"/>
      <c r="P81" s="697"/>
      <c r="Q81" s="697"/>
      <c r="R81" s="382"/>
      <c r="S81" s="698"/>
      <c r="T81" s="382"/>
      <c r="U81" s="382"/>
      <c r="V81" s="382"/>
      <c r="W81" s="382"/>
      <c r="X81" s="382"/>
      <c r="Y81" s="382"/>
      <c r="Z81" s="713"/>
      <c r="AA81" s="713"/>
      <c r="AB81" s="382"/>
      <c r="AC81" s="382"/>
      <c r="AD81" s="382"/>
      <c r="AE81" s="382"/>
      <c r="AF81" s="687"/>
      <c r="AG81" s="687"/>
      <c r="AH81" s="687"/>
      <c r="AI81" s="687"/>
      <c r="AJ81" s="687"/>
      <c r="AK81" s="687"/>
      <c r="AL81" s="687"/>
      <c r="AM81" s="687"/>
      <c r="AN81" s="688"/>
      <c r="AO81" s="688"/>
      <c r="AP81" s="688"/>
      <c r="AQ81" s="688"/>
      <c r="AR81" s="688"/>
      <c r="AS81" s="688"/>
      <c r="AT81" s="688"/>
      <c r="AU81" s="688"/>
      <c r="AV81" s="164"/>
      <c r="AY81" s="164"/>
      <c r="AZ81" s="164"/>
      <c r="BA81" s="164"/>
      <c r="BB81" s="166"/>
      <c r="BC81" s="166"/>
      <c r="BD81" s="166"/>
      <c r="BE81" s="166"/>
      <c r="BF81" s="166"/>
      <c r="BG81" s="166"/>
      <c r="BH81" s="166"/>
      <c r="BI81" s="166"/>
      <c r="BJ81" s="166"/>
    </row>
    <row r="82" spans="1:62" s="732" customFormat="1" ht="25" hidden="1" customHeight="1">
      <c r="A82" s="729"/>
      <c r="B82" s="691"/>
      <c r="C82" s="701"/>
      <c r="D82" s="701"/>
      <c r="E82" s="331"/>
      <c r="F82" s="697"/>
      <c r="G82" s="697"/>
      <c r="H82" s="697">
        <f>F82-G82</f>
        <v>0</v>
      </c>
      <c r="I82" s="697"/>
      <c r="J82" s="697"/>
      <c r="K82" s="697">
        <f>F82-I82-J82</f>
        <v>0</v>
      </c>
      <c r="L82" s="697">
        <f>I82</f>
        <v>0</v>
      </c>
      <c r="M82" s="697">
        <f>J82</f>
        <v>0</v>
      </c>
      <c r="N82" s="697"/>
      <c r="O82" s="697">
        <f>M82-N82</f>
        <v>0</v>
      </c>
      <c r="P82" s="697">
        <f>O82-Q82-R82</f>
        <v>0</v>
      </c>
      <c r="Q82" s="697"/>
      <c r="R82" s="697"/>
      <c r="S82" s="152"/>
      <c r="T82" s="697"/>
      <c r="U82" s="697"/>
      <c r="V82" s="697"/>
      <c r="W82" s="697"/>
      <c r="X82" s="697"/>
      <c r="Y82" s="697">
        <f>SUM(T82:X82)</f>
        <v>0</v>
      </c>
      <c r="Z82" s="713"/>
      <c r="AA82" s="713"/>
      <c r="AB82" s="697">
        <f>O82-Y82</f>
        <v>0</v>
      </c>
      <c r="AC82" s="697">
        <f>X82-AD82-AE82</f>
        <v>0</v>
      </c>
      <c r="AD82" s="697"/>
      <c r="AE82" s="697"/>
      <c r="AF82" s="687"/>
      <c r="AG82" s="687"/>
      <c r="AH82" s="687"/>
      <c r="AI82" s="687"/>
      <c r="AJ82" s="687"/>
      <c r="AK82" s="687"/>
      <c r="AL82" s="687"/>
      <c r="AM82" s="687"/>
      <c r="AN82" s="730"/>
      <c r="AO82" s="730"/>
      <c r="AP82" s="730"/>
      <c r="AQ82" s="730"/>
      <c r="AR82" s="730"/>
      <c r="AS82" s="730"/>
      <c r="AT82" s="730"/>
      <c r="AU82" s="730"/>
      <c r="AV82" s="731"/>
      <c r="AY82" s="731"/>
      <c r="AZ82" s="731"/>
      <c r="BA82" s="731"/>
      <c r="BB82" s="287"/>
      <c r="BC82" s="287"/>
      <c r="BD82" s="287"/>
      <c r="BE82" s="287"/>
      <c r="BF82" s="287"/>
      <c r="BG82" s="287"/>
      <c r="BH82" s="287"/>
      <c r="BI82" s="287"/>
      <c r="BJ82" s="287"/>
    </row>
    <row r="83" spans="1:62" s="699" customFormat="1" ht="25" hidden="1" customHeight="1">
      <c r="A83" s="729"/>
      <c r="B83" s="691"/>
      <c r="C83" s="382"/>
      <c r="D83" s="734"/>
      <c r="E83" s="331"/>
      <c r="F83" s="697"/>
      <c r="G83" s="697"/>
      <c r="H83" s="697">
        <f>F83-G83</f>
        <v>0</v>
      </c>
      <c r="I83" s="697"/>
      <c r="J83" s="697"/>
      <c r="K83" s="697">
        <f>F83-I83-J83</f>
        <v>0</v>
      </c>
      <c r="L83" s="697">
        <f>I83</f>
        <v>0</v>
      </c>
      <c r="M83" s="697">
        <f>J83</f>
        <v>0</v>
      </c>
      <c r="N83" s="697"/>
      <c r="O83" s="697">
        <f>M83-N83</f>
        <v>0</v>
      </c>
      <c r="P83" s="697">
        <f>O83-Q83-R83</f>
        <v>0</v>
      </c>
      <c r="Q83" s="697"/>
      <c r="R83" s="697"/>
      <c r="S83" s="331"/>
      <c r="T83" s="697"/>
      <c r="U83" s="697"/>
      <c r="V83" s="697"/>
      <c r="W83" s="697"/>
      <c r="X83" s="697"/>
      <c r="Y83" s="697">
        <f>SUM(T83:X83)</f>
        <v>0</v>
      </c>
      <c r="Z83" s="713"/>
      <c r="AA83" s="713"/>
      <c r="AB83" s="697">
        <f>O83-Y83</f>
        <v>0</v>
      </c>
      <c r="AC83" s="697">
        <f>X83-AD83-AE83</f>
        <v>0</v>
      </c>
      <c r="AD83" s="697"/>
      <c r="AE83" s="697"/>
      <c r="AF83" s="687"/>
      <c r="AG83" s="687"/>
      <c r="AH83" s="687"/>
      <c r="AI83" s="687"/>
      <c r="AJ83" s="687"/>
      <c r="AK83" s="687"/>
      <c r="AL83" s="687"/>
      <c r="AM83" s="687"/>
      <c r="AN83" s="688"/>
      <c r="AO83" s="688"/>
      <c r="AP83" s="688"/>
      <c r="AQ83" s="688"/>
      <c r="AR83" s="688"/>
      <c r="AS83" s="688"/>
      <c r="AT83" s="688"/>
      <c r="AU83" s="688"/>
      <c r="AV83" s="164"/>
      <c r="AY83" s="164"/>
      <c r="AZ83" s="164"/>
      <c r="BA83" s="164"/>
      <c r="BB83" s="166"/>
      <c r="BC83" s="166"/>
      <c r="BD83" s="166"/>
      <c r="BE83" s="166"/>
      <c r="BF83" s="166"/>
      <c r="BG83" s="166"/>
      <c r="BH83" s="166"/>
      <c r="BI83" s="166"/>
      <c r="BJ83" s="166"/>
    </row>
    <row r="84" spans="1:62" s="699" customFormat="1" ht="25" hidden="1" customHeight="1">
      <c r="A84" s="704"/>
      <c r="B84" s="705"/>
      <c r="C84" s="706">
        <f>COUNT(C82:C83)</f>
        <v>0</v>
      </c>
      <c r="D84" s="707"/>
      <c r="E84" s="696" t="s">
        <v>473</v>
      </c>
      <c r="F84" s="708">
        <f t="shared" ref="F84:AE84" si="33">SUM(F82:F83)</f>
        <v>0</v>
      </c>
      <c r="G84" s="708">
        <f t="shared" si="33"/>
        <v>0</v>
      </c>
      <c r="H84" s="708">
        <f t="shared" si="33"/>
        <v>0</v>
      </c>
      <c r="I84" s="708">
        <f t="shared" si="33"/>
        <v>0</v>
      </c>
      <c r="J84" s="708">
        <f t="shared" si="33"/>
        <v>0</v>
      </c>
      <c r="K84" s="708">
        <f t="shared" si="33"/>
        <v>0</v>
      </c>
      <c r="L84" s="708">
        <f t="shared" si="33"/>
        <v>0</v>
      </c>
      <c r="M84" s="708">
        <f t="shared" si="33"/>
        <v>0</v>
      </c>
      <c r="N84" s="708">
        <f t="shared" si="33"/>
        <v>0</v>
      </c>
      <c r="O84" s="708">
        <f t="shared" si="33"/>
        <v>0</v>
      </c>
      <c r="P84" s="708">
        <f t="shared" si="33"/>
        <v>0</v>
      </c>
      <c r="Q84" s="708">
        <f t="shared" si="33"/>
        <v>0</v>
      </c>
      <c r="R84" s="708">
        <f t="shared" si="33"/>
        <v>0</v>
      </c>
      <c r="S84" s="708">
        <f t="shared" si="33"/>
        <v>0</v>
      </c>
      <c r="T84" s="708">
        <f t="shared" si="33"/>
        <v>0</v>
      </c>
      <c r="U84" s="708">
        <f t="shared" si="33"/>
        <v>0</v>
      </c>
      <c r="V84" s="708">
        <f t="shared" si="33"/>
        <v>0</v>
      </c>
      <c r="W84" s="708">
        <f t="shared" si="33"/>
        <v>0</v>
      </c>
      <c r="X84" s="708">
        <f t="shared" si="33"/>
        <v>0</v>
      </c>
      <c r="Y84" s="708">
        <f t="shared" si="33"/>
        <v>0</v>
      </c>
      <c r="Z84" s="713"/>
      <c r="AA84" s="713"/>
      <c r="AB84" s="708">
        <f t="shared" si="33"/>
        <v>0</v>
      </c>
      <c r="AC84" s="708">
        <f t="shared" si="33"/>
        <v>0</v>
      </c>
      <c r="AD84" s="708">
        <f t="shared" si="33"/>
        <v>0</v>
      </c>
      <c r="AE84" s="708">
        <f t="shared" si="33"/>
        <v>0</v>
      </c>
      <c r="AF84" s="687"/>
      <c r="AG84" s="687"/>
      <c r="AH84" s="687"/>
      <c r="AI84" s="687"/>
      <c r="AJ84" s="687"/>
      <c r="AK84" s="687"/>
      <c r="AL84" s="687"/>
      <c r="AM84" s="687"/>
      <c r="AN84" s="688"/>
      <c r="AO84" s="688"/>
      <c r="AP84" s="688"/>
      <c r="AQ84" s="688"/>
      <c r="AR84" s="688"/>
      <c r="AS84" s="688"/>
      <c r="AT84" s="688"/>
      <c r="AU84" s="688"/>
      <c r="AV84" s="164"/>
      <c r="AY84" s="164"/>
      <c r="AZ84" s="164"/>
      <c r="BA84" s="164"/>
      <c r="BB84" s="166"/>
      <c r="BC84" s="166"/>
      <c r="BD84" s="166"/>
      <c r="BE84" s="166"/>
      <c r="BF84" s="166"/>
      <c r="BG84" s="166"/>
      <c r="BH84" s="166"/>
      <c r="BI84" s="166"/>
      <c r="BJ84" s="166"/>
    </row>
    <row r="85" spans="1:62" s="699" customFormat="1" ht="30" customHeight="1">
      <c r="A85" s="729"/>
      <c r="B85" s="691"/>
      <c r="C85" s="706"/>
      <c r="D85" s="707"/>
      <c r="E85" s="696"/>
      <c r="F85" s="708"/>
      <c r="G85" s="708"/>
      <c r="H85" s="708"/>
      <c r="I85" s="708"/>
      <c r="J85" s="708"/>
      <c r="K85" s="708"/>
      <c r="L85" s="708"/>
      <c r="M85" s="708"/>
      <c r="N85" s="708"/>
      <c r="O85" s="708"/>
      <c r="P85" s="708"/>
      <c r="Q85" s="708"/>
      <c r="R85" s="708"/>
      <c r="S85" s="181"/>
      <c r="T85" s="708"/>
      <c r="U85" s="708"/>
      <c r="V85" s="708"/>
      <c r="W85" s="708"/>
      <c r="X85" s="708"/>
      <c r="Y85" s="708"/>
      <c r="Z85" s="713"/>
      <c r="AA85" s="713"/>
      <c r="AB85" s="708"/>
      <c r="AC85" s="708"/>
      <c r="AD85" s="708"/>
      <c r="AE85" s="708"/>
      <c r="AF85" s="687"/>
      <c r="AG85" s="687"/>
      <c r="AH85" s="687"/>
      <c r="AI85" s="687"/>
      <c r="AJ85" s="687"/>
      <c r="AK85" s="687"/>
      <c r="AL85" s="687"/>
      <c r="AM85" s="687"/>
      <c r="AN85" s="688"/>
      <c r="AO85" s="688"/>
      <c r="AP85" s="688"/>
      <c r="AQ85" s="688"/>
      <c r="AR85" s="688"/>
      <c r="AS85" s="688"/>
      <c r="AT85" s="688"/>
      <c r="AU85" s="688"/>
      <c r="AV85" s="164"/>
      <c r="AY85" s="164"/>
      <c r="AZ85" s="164"/>
      <c r="BA85" s="164"/>
      <c r="BB85" s="166"/>
      <c r="BC85" s="166"/>
      <c r="BD85" s="166"/>
      <c r="BE85" s="166"/>
      <c r="BF85" s="166"/>
      <c r="BG85" s="166"/>
      <c r="BH85" s="166"/>
      <c r="BI85" s="166"/>
      <c r="BJ85" s="166"/>
    </row>
    <row r="86" spans="1:62" s="740" customFormat="1" ht="30" customHeight="1">
      <c r="A86" s="737"/>
      <c r="B86" s="738" t="s">
        <v>664</v>
      </c>
      <c r="C86" s="708">
        <f>C78</f>
        <v>39</v>
      </c>
      <c r="D86" s="707"/>
      <c r="E86" s="739" t="s">
        <v>236</v>
      </c>
      <c r="F86" s="708">
        <f>F10+F28+F43+F56+F65+F74+F79</f>
        <v>741629720</v>
      </c>
      <c r="G86" s="708">
        <f t="shared" ref="G86:AE86" si="34">G10+G28+G43+G56+G65+G74+G79</f>
        <v>685159000</v>
      </c>
      <c r="H86" s="708">
        <f t="shared" si="34"/>
        <v>56470720</v>
      </c>
      <c r="I86" s="708">
        <f t="shared" si="34"/>
        <v>348947839</v>
      </c>
      <c r="J86" s="708">
        <f t="shared" si="34"/>
        <v>163007179</v>
      </c>
      <c r="K86" s="708">
        <f t="shared" si="34"/>
        <v>229674702</v>
      </c>
      <c r="L86" s="708">
        <f t="shared" si="34"/>
        <v>37395259</v>
      </c>
      <c r="M86" s="708">
        <f t="shared" si="34"/>
        <v>130611920</v>
      </c>
      <c r="N86" s="708">
        <f t="shared" si="34"/>
        <v>70445358</v>
      </c>
      <c r="O86" s="708">
        <f t="shared" si="34"/>
        <v>60166562</v>
      </c>
      <c r="P86" s="708">
        <f t="shared" si="34"/>
        <v>23949869</v>
      </c>
      <c r="Q86" s="708">
        <f t="shared" si="34"/>
        <v>7360000</v>
      </c>
      <c r="R86" s="708">
        <f t="shared" si="34"/>
        <v>28856693</v>
      </c>
      <c r="S86" s="708"/>
      <c r="T86" s="708">
        <f t="shared" si="34"/>
        <v>5282866</v>
      </c>
      <c r="U86" s="708">
        <f t="shared" si="34"/>
        <v>3610000</v>
      </c>
      <c r="V86" s="708">
        <f t="shared" si="34"/>
        <v>2000000</v>
      </c>
      <c r="W86" s="708">
        <f t="shared" si="34"/>
        <v>-5859603</v>
      </c>
      <c r="X86" s="708">
        <f t="shared" si="34"/>
        <v>37404790</v>
      </c>
      <c r="Y86" s="708">
        <f t="shared" si="34"/>
        <v>42438053</v>
      </c>
      <c r="Z86" s="708">
        <f t="shared" si="34"/>
        <v>1000000</v>
      </c>
      <c r="AA86" s="708">
        <f t="shared" si="34"/>
        <v>43438053</v>
      </c>
      <c r="AB86" s="708">
        <f t="shared" si="34"/>
        <v>16728509</v>
      </c>
      <c r="AC86" s="708">
        <f t="shared" si="34"/>
        <v>24449869</v>
      </c>
      <c r="AD86" s="708">
        <f t="shared" si="34"/>
        <v>6360000</v>
      </c>
      <c r="AE86" s="708">
        <f t="shared" si="34"/>
        <v>12628184</v>
      </c>
      <c r="AF86" s="687"/>
      <c r="AG86" s="687"/>
      <c r="AH86" s="687"/>
      <c r="AI86" s="687"/>
      <c r="AJ86" s="687"/>
      <c r="AK86" s="687"/>
      <c r="AL86" s="687"/>
      <c r="AM86" s="687"/>
      <c r="AN86" s="688"/>
      <c r="AO86" s="688"/>
      <c r="AP86" s="688"/>
      <c r="AQ86" s="688"/>
      <c r="AR86" s="688"/>
      <c r="AS86" s="688"/>
      <c r="AT86" s="688"/>
      <c r="AU86" s="688"/>
      <c r="AV86" s="164"/>
      <c r="AY86" s="164"/>
      <c r="AZ86" s="164"/>
      <c r="BA86" s="164"/>
      <c r="BB86" s="166"/>
      <c r="BC86" s="166"/>
      <c r="BD86" s="166"/>
      <c r="BE86" s="166"/>
      <c r="BF86" s="166"/>
      <c r="BG86" s="166"/>
      <c r="BH86" s="166"/>
      <c r="BI86" s="166"/>
      <c r="BJ86" s="166"/>
    </row>
    <row r="87" spans="1:62" s="699" customFormat="1" ht="14.5" thickBot="1">
      <c r="A87" s="741"/>
      <c r="B87" s="742"/>
      <c r="C87" s="706"/>
      <c r="D87" s="707"/>
      <c r="E87" s="696"/>
      <c r="F87" s="743"/>
      <c r="G87" s="743"/>
      <c r="H87" s="743"/>
      <c r="I87" s="743"/>
      <c r="J87" s="743"/>
      <c r="K87" s="743"/>
      <c r="L87" s="743"/>
      <c r="M87" s="743"/>
      <c r="N87" s="743"/>
      <c r="O87" s="743"/>
      <c r="P87" s="743"/>
      <c r="Q87" s="743"/>
      <c r="R87" s="743"/>
      <c r="S87" s="744"/>
      <c r="T87" s="743"/>
      <c r="U87" s="743"/>
      <c r="V87" s="743"/>
      <c r="W87" s="743"/>
      <c r="X87" s="743"/>
      <c r="Y87" s="743"/>
      <c r="Z87" s="713"/>
      <c r="AA87" s="713"/>
      <c r="AB87" s="743"/>
      <c r="AC87" s="743"/>
      <c r="AD87" s="743"/>
      <c r="AE87" s="743"/>
      <c r="AF87" s="687"/>
      <c r="AG87" s="687"/>
      <c r="AH87" s="687"/>
      <c r="AI87" s="687"/>
      <c r="AJ87" s="687"/>
      <c r="AK87" s="687"/>
      <c r="AL87" s="687"/>
      <c r="AM87" s="687"/>
      <c r="AN87" s="688"/>
      <c r="AO87" s="688"/>
      <c r="AP87" s="688"/>
      <c r="AQ87" s="688"/>
      <c r="AR87" s="688"/>
      <c r="AS87" s="688"/>
      <c r="AT87" s="688"/>
      <c r="AU87" s="688"/>
      <c r="AV87" s="164"/>
      <c r="AY87" s="164"/>
      <c r="AZ87" s="164"/>
      <c r="BA87" s="164"/>
      <c r="BB87" s="166"/>
      <c r="BC87" s="166"/>
      <c r="BD87" s="166"/>
      <c r="BE87" s="166"/>
      <c r="BF87" s="166"/>
      <c r="BG87" s="166"/>
      <c r="BH87" s="166"/>
      <c r="BI87" s="166"/>
      <c r="BJ87" s="166"/>
    </row>
    <row r="88" spans="1:62">
      <c r="T88" s="549"/>
      <c r="U88" s="549"/>
      <c r="V88" s="549"/>
      <c r="W88" s="549"/>
      <c r="X88" s="549"/>
      <c r="Y88" s="549"/>
    </row>
    <row r="89" spans="1:62" ht="15.5">
      <c r="AC89" s="550"/>
      <c r="AD89" s="550"/>
      <c r="AE89" s="550"/>
    </row>
    <row r="91" spans="1:62" ht="15.5">
      <c r="AE91" s="550"/>
    </row>
  </sheetData>
  <mergeCells count="4">
    <mergeCell ref="F4:K4"/>
    <mergeCell ref="N4:R4"/>
    <mergeCell ref="Y4:AA4"/>
    <mergeCell ref="AC4:AE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  <rowBreaks count="1" manualBreakCount="1">
    <brk id="70" max="16383" man="1"/>
  </rowBreaks>
  <legacy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0"/>
  <sheetViews>
    <sheetView rightToLeft="1" topLeftCell="A37" zoomScaleNormal="100" workbookViewId="0">
      <selection activeCell="U40" sqref="U40"/>
    </sheetView>
  </sheetViews>
  <sheetFormatPr defaultColWidth="9.08984375" defaultRowHeight="14"/>
  <cols>
    <col min="1" max="1" width="9.54296875" style="287" customWidth="1"/>
    <col min="2" max="2" width="48.36328125" style="183" customWidth="1"/>
    <col min="3" max="3" width="18.6328125" style="167" customWidth="1"/>
    <col min="4" max="4" width="21.54296875" style="206" customWidth="1"/>
    <col min="5" max="5" width="5" style="206" customWidth="1"/>
    <col min="6" max="6" width="29.453125" style="206" customWidth="1"/>
    <col min="7" max="7" width="12.6328125" style="206" customWidth="1"/>
    <col min="8" max="16384" width="9.08984375" style="214"/>
  </cols>
  <sheetData>
    <row r="2" spans="1:7" ht="18">
      <c r="A2" s="208" t="s">
        <v>335</v>
      </c>
      <c r="B2" s="368"/>
      <c r="C2" s="200"/>
      <c r="F2" s="214"/>
      <c r="G2" s="214"/>
    </row>
    <row r="3" spans="1:7" ht="18">
      <c r="A3" s="208" t="s">
        <v>1684</v>
      </c>
      <c r="B3" s="1"/>
      <c r="C3" s="206"/>
      <c r="F3" s="214"/>
      <c r="G3" s="214"/>
    </row>
    <row r="4" spans="1:7" ht="18">
      <c r="A4" s="282"/>
      <c r="B4" s="328"/>
      <c r="C4" s="282"/>
    </row>
    <row r="5" spans="1:7" ht="20" customHeight="1">
      <c r="A5" s="15" t="s">
        <v>1</v>
      </c>
      <c r="B5" s="15" t="s">
        <v>2</v>
      </c>
      <c r="C5" s="15" t="s">
        <v>3</v>
      </c>
    </row>
    <row r="6" spans="1:7" ht="20" customHeight="1">
      <c r="A6" s="292">
        <v>1912</v>
      </c>
      <c r="B6" s="172" t="s">
        <v>1641</v>
      </c>
      <c r="C6" s="173">
        <v>310000000</v>
      </c>
    </row>
    <row r="7" spans="1:7" ht="20" customHeight="1">
      <c r="A7" s="172">
        <v>1909</v>
      </c>
      <c r="B7" s="172" t="s">
        <v>1640</v>
      </c>
      <c r="C7" s="173">
        <v>184500000</v>
      </c>
    </row>
    <row r="8" spans="1:7" ht="20" customHeight="1">
      <c r="A8" s="172">
        <v>1547</v>
      </c>
      <c r="B8" s="172" t="s">
        <v>701</v>
      </c>
      <c r="C8" s="173">
        <v>144000000</v>
      </c>
    </row>
    <row r="9" spans="1:7" ht="20" customHeight="1">
      <c r="A9" s="31">
        <v>1919</v>
      </c>
      <c r="B9" s="3" t="s">
        <v>134</v>
      </c>
      <c r="C9" s="4">
        <v>135100000</v>
      </c>
    </row>
    <row r="10" spans="1:7" ht="20" customHeight="1">
      <c r="A10" s="3">
        <v>1961</v>
      </c>
      <c r="B10" s="3" t="s">
        <v>169</v>
      </c>
      <c r="C10" s="4">
        <v>128000000</v>
      </c>
    </row>
    <row r="11" spans="1:7" ht="20" customHeight="1">
      <c r="A11" s="3">
        <v>1312</v>
      </c>
      <c r="B11" s="3" t="s">
        <v>34</v>
      </c>
      <c r="C11" s="4">
        <v>107231000</v>
      </c>
    </row>
    <row r="12" spans="1:7" ht="20" customHeight="1">
      <c r="A12" s="31">
        <v>1827</v>
      </c>
      <c r="B12" s="3" t="s">
        <v>1639</v>
      </c>
      <c r="C12" s="4">
        <v>100000000</v>
      </c>
    </row>
    <row r="13" spans="1:7" ht="20" customHeight="1">
      <c r="A13" s="292">
        <v>532</v>
      </c>
      <c r="B13" s="172" t="s">
        <v>82</v>
      </c>
      <c r="C13" s="173">
        <v>80090000</v>
      </c>
    </row>
    <row r="14" spans="1:7" ht="20" customHeight="1">
      <c r="A14" s="172">
        <v>2011</v>
      </c>
      <c r="B14" s="172" t="s">
        <v>1630</v>
      </c>
      <c r="C14" s="173">
        <v>80000000</v>
      </c>
    </row>
    <row r="15" spans="1:7" ht="20" customHeight="1">
      <c r="A15" s="31">
        <v>2201</v>
      </c>
      <c r="B15" s="172" t="s">
        <v>1339</v>
      </c>
      <c r="C15" s="173">
        <v>80000000</v>
      </c>
    </row>
    <row r="16" spans="1:7" ht="20" customHeight="1">
      <c r="A16" s="172">
        <v>2097</v>
      </c>
      <c r="B16" s="172" t="s">
        <v>390</v>
      </c>
      <c r="C16" s="173">
        <v>79000000</v>
      </c>
    </row>
    <row r="17" spans="1:3" ht="20" customHeight="1">
      <c r="A17" s="172">
        <v>1443</v>
      </c>
      <c r="B17" s="172" t="s">
        <v>87</v>
      </c>
      <c r="C17" s="173">
        <v>78500000</v>
      </c>
    </row>
    <row r="18" spans="1:3" ht="20" customHeight="1">
      <c r="A18" s="172">
        <v>576</v>
      </c>
      <c r="B18" s="172" t="s">
        <v>83</v>
      </c>
      <c r="C18" s="173">
        <v>76913000</v>
      </c>
    </row>
    <row r="19" spans="1:3" ht="20" customHeight="1">
      <c r="A19" s="292">
        <v>382</v>
      </c>
      <c r="B19" s="172" t="s">
        <v>1629</v>
      </c>
      <c r="C19" s="173">
        <v>72881330</v>
      </c>
    </row>
    <row r="20" spans="1:3" ht="20" customHeight="1">
      <c r="A20" s="292">
        <v>1835</v>
      </c>
      <c r="B20" s="172" t="s">
        <v>541</v>
      </c>
      <c r="C20" s="173">
        <v>70000000</v>
      </c>
    </row>
    <row r="21" spans="1:3" ht="20" customHeight="1">
      <c r="A21" s="172">
        <v>1657</v>
      </c>
      <c r="B21" s="172" t="s">
        <v>27</v>
      </c>
      <c r="C21" s="173">
        <v>60000000</v>
      </c>
    </row>
    <row r="22" spans="1:3" ht="20" customHeight="1">
      <c r="A22" s="31">
        <v>1834</v>
      </c>
      <c r="B22" s="3" t="s">
        <v>124</v>
      </c>
      <c r="C22" s="4">
        <v>60000000</v>
      </c>
    </row>
    <row r="23" spans="1:3" ht="20" customHeight="1">
      <c r="A23" s="292">
        <v>1957</v>
      </c>
      <c r="B23" s="172" t="s">
        <v>379</v>
      </c>
      <c r="C23" s="173">
        <v>60000000</v>
      </c>
    </row>
    <row r="24" spans="1:3" ht="20" customHeight="1">
      <c r="A24" s="292">
        <v>634</v>
      </c>
      <c r="B24" s="172" t="s">
        <v>539</v>
      </c>
      <c r="C24" s="173">
        <v>56350000</v>
      </c>
    </row>
    <row r="25" spans="1:3" ht="20" customHeight="1">
      <c r="A25" s="31">
        <v>2015</v>
      </c>
      <c r="B25" s="3" t="s">
        <v>1631</v>
      </c>
      <c r="C25" s="4">
        <v>54000000</v>
      </c>
    </row>
    <row r="26" spans="1:3" ht="20" customHeight="1">
      <c r="A26" s="3">
        <v>2151</v>
      </c>
      <c r="B26" s="3" t="s">
        <v>709</v>
      </c>
      <c r="C26" s="4">
        <v>54000000</v>
      </c>
    </row>
    <row r="27" spans="1:3" ht="20" customHeight="1">
      <c r="A27" s="172">
        <v>1207</v>
      </c>
      <c r="B27" s="172" t="s">
        <v>85</v>
      </c>
      <c r="C27" s="173">
        <v>50650000</v>
      </c>
    </row>
    <row r="28" spans="1:3" ht="20" customHeight="1">
      <c r="A28" s="172">
        <v>1588</v>
      </c>
      <c r="B28" s="172" t="s">
        <v>25</v>
      </c>
      <c r="C28" s="173">
        <v>50500000</v>
      </c>
    </row>
    <row r="29" spans="1:3" ht="20" customHeight="1">
      <c r="A29" s="172">
        <v>1375</v>
      </c>
      <c r="B29" s="172" t="s">
        <v>540</v>
      </c>
      <c r="C29" s="173">
        <v>40150000</v>
      </c>
    </row>
    <row r="30" spans="1:3" ht="20" customHeight="1">
      <c r="A30" s="172">
        <v>1403</v>
      </c>
      <c r="B30" s="172" t="s">
        <v>376</v>
      </c>
      <c r="C30" s="173">
        <v>37550000</v>
      </c>
    </row>
    <row r="31" spans="1:3" ht="20" customHeight="1">
      <c r="A31" s="31">
        <v>1965</v>
      </c>
      <c r="B31" s="3" t="s">
        <v>395</v>
      </c>
      <c r="C31" s="4">
        <v>35000000</v>
      </c>
    </row>
    <row r="32" spans="1:3" ht="20" customHeight="1">
      <c r="A32" s="292">
        <v>1238</v>
      </c>
      <c r="B32" s="172" t="s">
        <v>86</v>
      </c>
      <c r="C32" s="173">
        <v>32940000</v>
      </c>
    </row>
    <row r="33" spans="1:3" ht="20" customHeight="1">
      <c r="A33" s="3">
        <v>2017</v>
      </c>
      <c r="B33" s="3" t="s">
        <v>1632</v>
      </c>
      <c r="C33" s="4">
        <v>30000000</v>
      </c>
    </row>
    <row r="34" spans="1:3" ht="20" customHeight="1">
      <c r="A34" s="172">
        <v>1911</v>
      </c>
      <c r="B34" s="172" t="s">
        <v>393</v>
      </c>
      <c r="C34" s="173">
        <v>29050000</v>
      </c>
    </row>
    <row r="35" spans="1:3" ht="20" customHeight="1">
      <c r="A35" s="172">
        <v>1833</v>
      </c>
      <c r="B35" s="172" t="s">
        <v>132</v>
      </c>
      <c r="C35" s="173">
        <v>29000000</v>
      </c>
    </row>
    <row r="36" spans="1:3" ht="20" customHeight="1">
      <c r="A36" s="172">
        <v>1615</v>
      </c>
      <c r="B36" s="172" t="s">
        <v>128</v>
      </c>
      <c r="C36" s="173">
        <v>27700000</v>
      </c>
    </row>
    <row r="37" spans="1:3" ht="20" customHeight="1">
      <c r="A37" s="172">
        <v>1357</v>
      </c>
      <c r="B37" s="172" t="s">
        <v>47</v>
      </c>
      <c r="C37" s="173">
        <v>25000000</v>
      </c>
    </row>
    <row r="38" spans="1:3" ht="20" customHeight="1">
      <c r="A38" s="31">
        <v>1960</v>
      </c>
      <c r="B38" s="3" t="s">
        <v>394</v>
      </c>
      <c r="C38" s="4">
        <v>24710000</v>
      </c>
    </row>
    <row r="39" spans="1:3" ht="20" customHeight="1">
      <c r="A39" s="292">
        <v>2101</v>
      </c>
      <c r="B39" s="172" t="s">
        <v>1635</v>
      </c>
      <c r="C39" s="173">
        <v>24200000</v>
      </c>
    </row>
    <row r="40" spans="1:3" ht="20" customHeight="1">
      <c r="A40" s="172">
        <v>2150</v>
      </c>
      <c r="B40" s="172" t="s">
        <v>1638</v>
      </c>
      <c r="C40" s="173">
        <v>23500000</v>
      </c>
    </row>
    <row r="41" spans="1:3" ht="20" customHeight="1">
      <c r="A41" s="172">
        <v>2175</v>
      </c>
      <c r="B41" s="172" t="s">
        <v>946</v>
      </c>
      <c r="C41" s="173">
        <v>21000000</v>
      </c>
    </row>
    <row r="42" spans="1:3" ht="20" customHeight="1">
      <c r="A42" s="292">
        <v>1962</v>
      </c>
      <c r="B42" s="172" t="s">
        <v>170</v>
      </c>
      <c r="C42" s="173">
        <v>20000000</v>
      </c>
    </row>
    <row r="43" spans="1:3" ht="20" customHeight="1">
      <c r="A43" s="31">
        <v>1908</v>
      </c>
      <c r="B43" s="3" t="s">
        <v>154</v>
      </c>
      <c r="C43" s="4">
        <v>19080000</v>
      </c>
    </row>
    <row r="44" spans="1:3" ht="20" customHeight="1">
      <c r="A44" s="3">
        <v>1896</v>
      </c>
      <c r="B44" s="3" t="s">
        <v>543</v>
      </c>
      <c r="C44" s="4">
        <v>18560000</v>
      </c>
    </row>
    <row r="45" spans="1:3" ht="20" customHeight="1">
      <c r="A45" s="172">
        <v>1322</v>
      </c>
      <c r="B45" s="172" t="s">
        <v>35</v>
      </c>
      <c r="C45" s="173">
        <v>18500000</v>
      </c>
    </row>
    <row r="46" spans="1:3" ht="20" customHeight="1">
      <c r="A46" s="172">
        <v>1819</v>
      </c>
      <c r="B46" s="172" t="s">
        <v>614</v>
      </c>
      <c r="C46" s="173">
        <v>18000000</v>
      </c>
    </row>
    <row r="47" spans="1:3" ht="20" customHeight="1">
      <c r="A47" s="172">
        <v>1539</v>
      </c>
      <c r="B47" s="172" t="s">
        <v>39</v>
      </c>
      <c r="C47" s="173">
        <v>16300000</v>
      </c>
    </row>
    <row r="48" spans="1:3" ht="20" customHeight="1">
      <c r="A48" s="172">
        <v>2024</v>
      </c>
      <c r="B48" s="172" t="s">
        <v>385</v>
      </c>
      <c r="C48" s="173">
        <v>16300000</v>
      </c>
    </row>
    <row r="49" spans="1:3" ht="20" customHeight="1">
      <c r="A49" s="31">
        <v>2110</v>
      </c>
      <c r="B49" s="3" t="s">
        <v>365</v>
      </c>
      <c r="C49" s="4">
        <v>16000000</v>
      </c>
    </row>
    <row r="50" spans="1:3" ht="20" customHeight="1">
      <c r="A50" s="31">
        <v>2152</v>
      </c>
      <c r="B50" s="3" t="s">
        <v>710</v>
      </c>
      <c r="C50" s="4">
        <v>16000000</v>
      </c>
    </row>
    <row r="51" spans="1:3" ht="20" customHeight="1">
      <c r="A51" s="172">
        <v>2205</v>
      </c>
      <c r="B51" s="172" t="s">
        <v>1092</v>
      </c>
      <c r="C51" s="173">
        <v>16000000</v>
      </c>
    </row>
    <row r="52" spans="1:3" ht="20" customHeight="1">
      <c r="A52" s="172">
        <v>2106</v>
      </c>
      <c r="B52" s="172" t="s">
        <v>606</v>
      </c>
      <c r="C52" s="173">
        <v>15000000</v>
      </c>
    </row>
    <row r="53" spans="1:3" hidden="1">
      <c r="A53" s="292">
        <v>1446</v>
      </c>
      <c r="B53" s="172" t="s">
        <v>179</v>
      </c>
      <c r="C53" s="173">
        <v>14250000</v>
      </c>
    </row>
    <row r="54" spans="1:3" ht="15" hidden="1" customHeight="1">
      <c r="A54" s="172">
        <v>2022</v>
      </c>
      <c r="B54" s="172" t="s">
        <v>1633</v>
      </c>
      <c r="C54" s="173">
        <v>14000000</v>
      </c>
    </row>
    <row r="55" spans="1:3" hidden="1">
      <c r="A55" s="292">
        <v>2174</v>
      </c>
      <c r="B55" s="172" t="s">
        <v>945</v>
      </c>
      <c r="C55" s="173">
        <v>12600000</v>
      </c>
    </row>
    <row r="56" spans="1:3" ht="15" hidden="1" customHeight="1">
      <c r="A56" s="172">
        <v>2099</v>
      </c>
      <c r="B56" s="172" t="s">
        <v>391</v>
      </c>
      <c r="C56" s="173">
        <v>12000000</v>
      </c>
    </row>
    <row r="57" spans="1:3" ht="15" hidden="1" customHeight="1">
      <c r="A57" s="172">
        <v>2073</v>
      </c>
      <c r="B57" s="172" t="s">
        <v>1634</v>
      </c>
      <c r="C57" s="173">
        <v>11350000</v>
      </c>
    </row>
    <row r="58" spans="1:3" hidden="1">
      <c r="A58" s="172">
        <v>2111</v>
      </c>
      <c r="B58" s="172" t="s">
        <v>366</v>
      </c>
      <c r="C58" s="173">
        <v>10240000</v>
      </c>
    </row>
    <row r="59" spans="1:3" ht="15" hidden="1" customHeight="1">
      <c r="A59" s="292">
        <v>1921</v>
      </c>
      <c r="B59" s="172" t="s">
        <v>135</v>
      </c>
      <c r="C59" s="173">
        <v>9716000</v>
      </c>
    </row>
    <row r="60" spans="1:3" ht="15" hidden="1" customHeight="1">
      <c r="A60" s="31">
        <v>2021</v>
      </c>
      <c r="B60" s="3" t="s">
        <v>305</v>
      </c>
      <c r="C60" s="4">
        <v>8200000</v>
      </c>
    </row>
    <row r="61" spans="1:3" hidden="1">
      <c r="A61" s="292">
        <v>2026</v>
      </c>
      <c r="B61" s="172" t="s">
        <v>696</v>
      </c>
      <c r="C61" s="173">
        <v>8200000</v>
      </c>
    </row>
    <row r="62" spans="1:3" hidden="1">
      <c r="A62" s="31">
        <v>1914</v>
      </c>
      <c r="B62" s="3" t="s">
        <v>153</v>
      </c>
      <c r="C62" s="4">
        <v>8100000</v>
      </c>
    </row>
    <row r="63" spans="1:3" ht="15" hidden="1" customHeight="1">
      <c r="A63" s="292">
        <v>2186</v>
      </c>
      <c r="B63" s="172" t="s">
        <v>950</v>
      </c>
      <c r="C63" s="173">
        <v>8100000</v>
      </c>
    </row>
    <row r="64" spans="1:3" ht="15" hidden="1" customHeight="1">
      <c r="A64" s="31">
        <v>2010</v>
      </c>
      <c r="B64" s="3" t="s">
        <v>357</v>
      </c>
      <c r="C64" s="4">
        <v>8000000</v>
      </c>
    </row>
    <row r="65" spans="1:3" ht="15" hidden="1" customHeight="1">
      <c r="A65" s="172">
        <v>2023</v>
      </c>
      <c r="B65" s="172" t="s">
        <v>384</v>
      </c>
      <c r="C65" s="173">
        <v>7340000</v>
      </c>
    </row>
    <row r="66" spans="1:3" ht="15" hidden="1" customHeight="1">
      <c r="A66" s="172">
        <v>1614</v>
      </c>
      <c r="B66" s="172" t="s">
        <v>377</v>
      </c>
      <c r="C66" s="173">
        <v>7200000</v>
      </c>
    </row>
    <row r="67" spans="1:3" ht="15" hidden="1" customHeight="1">
      <c r="A67" s="31">
        <v>2018</v>
      </c>
      <c r="B67" s="172" t="s">
        <v>382</v>
      </c>
      <c r="C67" s="173">
        <v>6600000</v>
      </c>
    </row>
    <row r="68" spans="1:3" hidden="1">
      <c r="A68" s="31">
        <v>2147</v>
      </c>
      <c r="B68" s="3" t="s">
        <v>705</v>
      </c>
      <c r="C68" s="4">
        <v>6500000</v>
      </c>
    </row>
    <row r="69" spans="1:3" ht="15" hidden="1" customHeight="1">
      <c r="A69" s="172">
        <v>2064</v>
      </c>
      <c r="B69" s="172" t="s">
        <v>300</v>
      </c>
      <c r="C69" s="173">
        <v>6281000</v>
      </c>
    </row>
    <row r="70" spans="1:3" hidden="1">
      <c r="A70" s="172">
        <v>1936</v>
      </c>
      <c r="B70" s="172" t="s">
        <v>180</v>
      </c>
      <c r="C70" s="173">
        <v>6082795</v>
      </c>
    </row>
    <row r="71" spans="1:3" ht="15" hidden="1" customHeight="1">
      <c r="A71" s="292">
        <v>1845</v>
      </c>
      <c r="B71" s="172" t="s">
        <v>133</v>
      </c>
      <c r="C71" s="173">
        <v>6000000</v>
      </c>
    </row>
    <row r="72" spans="1:3" hidden="1">
      <c r="A72" s="172">
        <v>1904</v>
      </c>
      <c r="B72" s="326" t="s">
        <v>127</v>
      </c>
      <c r="C72" s="173">
        <v>5700000</v>
      </c>
    </row>
    <row r="73" spans="1:3" ht="15" hidden="1" customHeight="1">
      <c r="A73" s="292">
        <v>1953</v>
      </c>
      <c r="B73" s="172" t="s">
        <v>544</v>
      </c>
      <c r="C73" s="173">
        <v>5300000</v>
      </c>
    </row>
    <row r="74" spans="1:3" hidden="1">
      <c r="A74" s="172">
        <v>1298</v>
      </c>
      <c r="B74" s="172" t="s">
        <v>33</v>
      </c>
      <c r="C74" s="173">
        <v>5100000</v>
      </c>
    </row>
    <row r="75" spans="1:3" hidden="1">
      <c r="A75" s="172">
        <v>1751</v>
      </c>
      <c r="B75" s="172" t="s">
        <v>113</v>
      </c>
      <c r="C75" s="173">
        <v>4800000</v>
      </c>
    </row>
    <row r="76" spans="1:3" hidden="1">
      <c r="A76" s="172">
        <v>1998</v>
      </c>
      <c r="B76" s="172" t="s">
        <v>298</v>
      </c>
      <c r="C76" s="173">
        <v>4630000</v>
      </c>
    </row>
    <row r="77" spans="1:3" ht="15" hidden="1" customHeight="1">
      <c r="A77" s="292">
        <v>1067</v>
      </c>
      <c r="B77" s="172" t="s">
        <v>84</v>
      </c>
      <c r="C77" s="173">
        <v>4475000</v>
      </c>
    </row>
    <row r="78" spans="1:3" hidden="1">
      <c r="A78" s="292">
        <v>1972</v>
      </c>
      <c r="B78" s="172" t="s">
        <v>380</v>
      </c>
      <c r="C78" s="173">
        <v>4470000</v>
      </c>
    </row>
    <row r="79" spans="1:3" ht="15" hidden="1" customHeight="1">
      <c r="A79" s="172">
        <v>2078</v>
      </c>
      <c r="B79" s="172" t="s">
        <v>361</v>
      </c>
      <c r="C79" s="173">
        <v>4200000</v>
      </c>
    </row>
    <row r="80" spans="1:3" ht="15" hidden="1" customHeight="1">
      <c r="A80" s="3">
        <v>1905</v>
      </c>
      <c r="B80" s="3" t="s">
        <v>131</v>
      </c>
      <c r="C80" s="4">
        <v>3366000</v>
      </c>
    </row>
    <row r="81" spans="1:3" ht="15" hidden="1" customHeight="1">
      <c r="A81" s="31">
        <v>1314</v>
      </c>
      <c r="B81" s="172" t="s">
        <v>45</v>
      </c>
      <c r="C81" s="173">
        <v>3200000</v>
      </c>
    </row>
    <row r="82" spans="1:3" hidden="1">
      <c r="A82" s="172">
        <v>2079</v>
      </c>
      <c r="B82" s="326" t="s">
        <v>388</v>
      </c>
      <c r="C82" s="173">
        <v>3100000</v>
      </c>
    </row>
    <row r="83" spans="1:3" ht="15" hidden="1" customHeight="1">
      <c r="A83" s="172">
        <v>2115</v>
      </c>
      <c r="B83" s="172" t="s">
        <v>368</v>
      </c>
      <c r="C83" s="173">
        <v>3100000</v>
      </c>
    </row>
    <row r="84" spans="1:3" hidden="1">
      <c r="A84" s="172">
        <v>2059</v>
      </c>
      <c r="B84" s="172" t="s">
        <v>359</v>
      </c>
      <c r="C84" s="173">
        <v>2610000</v>
      </c>
    </row>
    <row r="85" spans="1:3" ht="15" hidden="1" customHeight="1">
      <c r="A85" s="31">
        <v>2025</v>
      </c>
      <c r="B85" s="172" t="s">
        <v>386</v>
      </c>
      <c r="C85" s="173">
        <v>2600000</v>
      </c>
    </row>
    <row r="86" spans="1:3" ht="15" hidden="1" customHeight="1">
      <c r="A86" s="172">
        <v>2118</v>
      </c>
      <c r="B86" s="172" t="s">
        <v>371</v>
      </c>
      <c r="C86" s="173">
        <v>2600000</v>
      </c>
    </row>
    <row r="87" spans="1:3" ht="15" hidden="1" customHeight="1">
      <c r="A87" s="31">
        <v>2008</v>
      </c>
      <c r="B87" s="3" t="s">
        <v>356</v>
      </c>
      <c r="C87" s="4">
        <v>2500000</v>
      </c>
    </row>
    <row r="88" spans="1:3" hidden="1">
      <c r="A88" s="292">
        <v>2103</v>
      </c>
      <c r="B88" s="172" t="s">
        <v>459</v>
      </c>
      <c r="C88" s="173">
        <v>2500000</v>
      </c>
    </row>
    <row r="89" spans="1:3" hidden="1">
      <c r="A89" s="172">
        <v>2119</v>
      </c>
      <c r="B89" s="172" t="s">
        <v>372</v>
      </c>
      <c r="C89" s="173">
        <v>2500000</v>
      </c>
    </row>
    <row r="90" spans="1:3" hidden="1">
      <c r="A90" s="172">
        <v>2182</v>
      </c>
      <c r="B90" s="172" t="s">
        <v>948</v>
      </c>
      <c r="C90" s="173">
        <v>2500000</v>
      </c>
    </row>
    <row r="91" spans="1:3" hidden="1">
      <c r="A91" s="172">
        <v>1723</v>
      </c>
      <c r="B91" s="172" t="s">
        <v>28</v>
      </c>
      <c r="C91" s="173">
        <v>2442857</v>
      </c>
    </row>
    <row r="92" spans="1:3" hidden="1">
      <c r="A92" s="172">
        <v>2080</v>
      </c>
      <c r="B92" s="172" t="s">
        <v>389</v>
      </c>
      <c r="C92" s="173">
        <v>2400000</v>
      </c>
    </row>
    <row r="93" spans="1:3" hidden="1">
      <c r="A93" s="292">
        <v>2076</v>
      </c>
      <c r="B93" s="172" t="s">
        <v>387</v>
      </c>
      <c r="C93" s="173">
        <v>2350000</v>
      </c>
    </row>
    <row r="94" spans="1:3" hidden="1">
      <c r="A94" s="3">
        <v>2127</v>
      </c>
      <c r="B94" s="3" t="s">
        <v>647</v>
      </c>
      <c r="C94" s="4">
        <v>2259000</v>
      </c>
    </row>
    <row r="95" spans="1:3" ht="15" hidden="1" customHeight="1">
      <c r="A95" s="172">
        <v>1954</v>
      </c>
      <c r="B95" s="172" t="s">
        <v>155</v>
      </c>
      <c r="C95" s="173">
        <v>2000000</v>
      </c>
    </row>
    <row r="96" spans="1:3" ht="15" hidden="1" customHeight="1">
      <c r="A96" s="292">
        <v>2109</v>
      </c>
      <c r="B96" s="172" t="s">
        <v>364</v>
      </c>
      <c r="C96" s="173">
        <v>2000000</v>
      </c>
    </row>
    <row r="97" spans="1:3" hidden="1">
      <c r="A97" s="292">
        <v>2149</v>
      </c>
      <c r="B97" s="172" t="s">
        <v>1637</v>
      </c>
      <c r="C97" s="173">
        <v>2000000</v>
      </c>
    </row>
    <row r="98" spans="1:3" ht="15" hidden="1" customHeight="1">
      <c r="A98" s="292">
        <v>2126</v>
      </c>
      <c r="B98" s="172" t="s">
        <v>645</v>
      </c>
      <c r="C98" s="173">
        <v>1975000</v>
      </c>
    </row>
    <row r="99" spans="1:3" ht="15" hidden="1" customHeight="1">
      <c r="A99" s="292">
        <v>2102</v>
      </c>
      <c r="B99" s="172" t="s">
        <v>392</v>
      </c>
      <c r="C99" s="173">
        <v>1750000</v>
      </c>
    </row>
    <row r="100" spans="1:3" hidden="1">
      <c r="A100" s="172">
        <v>2002</v>
      </c>
      <c r="B100" s="172" t="s">
        <v>196</v>
      </c>
      <c r="C100" s="173">
        <v>1500000</v>
      </c>
    </row>
    <row r="101" spans="1:3" hidden="1">
      <c r="A101" s="292">
        <v>2019</v>
      </c>
      <c r="B101" s="172" t="s">
        <v>383</v>
      </c>
      <c r="C101" s="173">
        <v>1200000</v>
      </c>
    </row>
    <row r="102" spans="1:3" hidden="1">
      <c r="A102" s="31">
        <v>2148</v>
      </c>
      <c r="B102" s="3" t="s">
        <v>1636</v>
      </c>
      <c r="C102" s="4">
        <v>1200000</v>
      </c>
    </row>
    <row r="103" spans="1:3" hidden="1">
      <c r="A103" s="172">
        <v>1872</v>
      </c>
      <c r="B103" s="172" t="s">
        <v>542</v>
      </c>
      <c r="C103" s="173">
        <v>1160000</v>
      </c>
    </row>
    <row r="104" spans="1:3" hidden="1">
      <c r="A104" s="292">
        <v>2104</v>
      </c>
      <c r="B104" s="172" t="s">
        <v>362</v>
      </c>
      <c r="C104" s="173">
        <v>1000000</v>
      </c>
    </row>
    <row r="105" spans="1:3" hidden="1">
      <c r="A105" s="172">
        <v>2153</v>
      </c>
      <c r="B105" s="172" t="s">
        <v>799</v>
      </c>
      <c r="C105" s="173">
        <v>1000000</v>
      </c>
    </row>
    <row r="106" spans="1:3" hidden="1">
      <c r="A106" s="31">
        <v>2180</v>
      </c>
      <c r="B106" s="3" t="s">
        <v>947</v>
      </c>
      <c r="C106" s="4">
        <v>1000000</v>
      </c>
    </row>
    <row r="107" spans="1:3" hidden="1">
      <c r="A107" s="31">
        <v>2202</v>
      </c>
      <c r="B107" s="172" t="s">
        <v>1340</v>
      </c>
      <c r="C107" s="173">
        <v>1000000</v>
      </c>
    </row>
    <row r="108" spans="1:3" hidden="1">
      <c r="A108" s="292">
        <v>2203</v>
      </c>
      <c r="B108" s="172" t="s">
        <v>1341</v>
      </c>
      <c r="C108" s="173">
        <v>1000000</v>
      </c>
    </row>
    <row r="109" spans="1:3" hidden="1">
      <c r="A109" s="292">
        <v>2206</v>
      </c>
      <c r="B109" s="172" t="s">
        <v>1344</v>
      </c>
      <c r="C109" s="173">
        <v>1000000</v>
      </c>
    </row>
    <row r="110" spans="1:3" hidden="1">
      <c r="A110" s="31">
        <v>2210</v>
      </c>
      <c r="B110" s="172" t="s">
        <v>1348</v>
      </c>
      <c r="C110" s="173">
        <v>1000000</v>
      </c>
    </row>
    <row r="111" spans="1:3" hidden="1">
      <c r="A111" s="172">
        <v>2204</v>
      </c>
      <c r="B111" s="172" t="s">
        <v>1343</v>
      </c>
      <c r="C111" s="173">
        <v>800000</v>
      </c>
    </row>
    <row r="112" spans="1:3" hidden="1">
      <c r="A112" s="31">
        <v>2185</v>
      </c>
      <c r="B112" s="172" t="s">
        <v>949</v>
      </c>
      <c r="C112" s="173">
        <v>750000</v>
      </c>
    </row>
    <row r="113" spans="1:7" hidden="1">
      <c r="A113" s="172">
        <v>1806</v>
      </c>
      <c r="B113" s="172" t="s">
        <v>136</v>
      </c>
      <c r="C113" s="173">
        <v>500000</v>
      </c>
    </row>
    <row r="114" spans="1:7" hidden="1">
      <c r="A114" s="172">
        <v>2130</v>
      </c>
      <c r="B114" s="172" t="s">
        <v>700</v>
      </c>
      <c r="C114" s="173">
        <v>500000</v>
      </c>
    </row>
    <row r="115" spans="1:7" hidden="1">
      <c r="A115" s="31">
        <v>2207</v>
      </c>
      <c r="B115" s="3" t="s">
        <v>1345</v>
      </c>
      <c r="C115" s="4">
        <v>500000</v>
      </c>
    </row>
    <row r="116" spans="1:7" hidden="1">
      <c r="A116" s="31">
        <v>2208</v>
      </c>
      <c r="B116" s="3" t="s">
        <v>1346</v>
      </c>
      <c r="C116" s="4">
        <v>500000</v>
      </c>
    </row>
    <row r="117" spans="1:7" s="653" customFormat="1" hidden="1">
      <c r="A117" s="31">
        <v>2209</v>
      </c>
      <c r="B117" s="3" t="s">
        <v>1347</v>
      </c>
      <c r="C117" s="4">
        <v>500000</v>
      </c>
      <c r="D117" s="206"/>
      <c r="E117" s="206"/>
      <c r="F117" s="206"/>
      <c r="G117" s="206"/>
    </row>
    <row r="118" spans="1:7" hidden="1">
      <c r="A118" s="295"/>
      <c r="B118" s="178" t="s">
        <v>960</v>
      </c>
      <c r="C118" s="180">
        <f>SUM(C6:C117)</f>
        <v>3016552982</v>
      </c>
    </row>
    <row r="119" spans="1:7" hidden="1">
      <c r="B119" s="183" t="s">
        <v>960</v>
      </c>
      <c r="C119" s="167">
        <f>'תקציב החברה לפיתוח 2021 '!D122</f>
        <v>3016552982</v>
      </c>
    </row>
    <row r="120" spans="1:7" hidden="1">
      <c r="C120" s="167">
        <f>C118-C119</f>
        <v>0</v>
      </c>
    </row>
  </sheetData>
  <sortState ref="A6:G117">
    <sortCondition descending="1" ref="C6:C117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1"/>
  <sheetViews>
    <sheetView showZeros="0" rightToLeft="1" workbookViewId="0">
      <selection activeCell="U40" sqref="U40"/>
    </sheetView>
  </sheetViews>
  <sheetFormatPr defaultColWidth="9.08984375" defaultRowHeight="14"/>
  <cols>
    <col min="1" max="3" width="4.08984375" style="96" customWidth="1"/>
    <col min="4" max="4" width="33" style="96" customWidth="1"/>
    <col min="5" max="8" width="12.08984375" style="96" customWidth="1"/>
    <col min="9" max="9" width="7.90625" style="96" customWidth="1"/>
    <col min="10" max="10" width="9.08984375" style="96" hidden="1" customWidth="1"/>
    <col min="11" max="16384" width="9.08984375" style="96"/>
  </cols>
  <sheetData>
    <row r="4" spans="1:16" ht="12.75" customHeight="1">
      <c r="A4" s="98"/>
      <c r="C4" s="141"/>
      <c r="D4" s="103"/>
      <c r="E4" s="142"/>
      <c r="F4" s="143"/>
      <c r="G4" s="143"/>
      <c r="N4" s="98"/>
      <c r="O4" s="98"/>
      <c r="P4" s="98"/>
    </row>
    <row r="5" spans="1:16" ht="15.5">
      <c r="A5" s="98">
        <v>3.5</v>
      </c>
      <c r="C5" s="98" t="s">
        <v>244</v>
      </c>
    </row>
    <row r="6" spans="1:16" ht="16" thickBot="1">
      <c r="A6" s="98"/>
      <c r="H6" s="98"/>
      <c r="I6" s="98"/>
      <c r="J6" s="98"/>
      <c r="K6" s="98"/>
      <c r="N6" s="98"/>
      <c r="O6" s="98"/>
      <c r="P6" s="98"/>
    </row>
    <row r="7" spans="1:16" ht="20.149999999999999" customHeight="1">
      <c r="A7" s="98"/>
      <c r="C7" s="119" t="s">
        <v>245</v>
      </c>
      <c r="D7" s="204"/>
      <c r="E7" s="121"/>
      <c r="F7" s="122" t="s">
        <v>1244</v>
      </c>
      <c r="G7" s="144" t="s">
        <v>625</v>
      </c>
      <c r="J7" s="129"/>
      <c r="M7" s="98"/>
      <c r="N7" s="98"/>
      <c r="O7" s="98"/>
    </row>
    <row r="8" spans="1:16" ht="20.149999999999999" customHeight="1">
      <c r="A8" s="98"/>
      <c r="C8" s="124" t="s">
        <v>246</v>
      </c>
      <c r="D8" s="124"/>
      <c r="E8" s="126"/>
      <c r="F8" s="127">
        <f>'תקציב 2021 קרנות הרשות'!C21</f>
        <v>250594</v>
      </c>
      <c r="G8" s="128">
        <v>206270</v>
      </c>
      <c r="J8" s="273">
        <f>F8/$F$14</f>
        <v>0.54968558142238133</v>
      </c>
      <c r="M8" s="98"/>
      <c r="N8" s="98"/>
      <c r="O8" s="98"/>
    </row>
    <row r="9" spans="1:16" ht="20.149999999999999" customHeight="1">
      <c r="A9" s="98"/>
      <c r="C9" s="124" t="s">
        <v>14</v>
      </c>
      <c r="D9" s="124"/>
      <c r="E9" s="126"/>
      <c r="F9" s="127">
        <f>'תקציב 2021 קרנות הרשות'!D21</f>
        <v>46000</v>
      </c>
      <c r="G9" s="128">
        <v>59000</v>
      </c>
      <c r="J9" s="273">
        <f>F9/$F$14</f>
        <v>0.10090240287249312</v>
      </c>
      <c r="M9" s="98"/>
      <c r="N9" s="98"/>
      <c r="O9" s="98"/>
    </row>
    <row r="10" spans="1:16" ht="20.149999999999999" hidden="1" customHeight="1">
      <c r="A10" s="98"/>
      <c r="C10" s="124" t="s">
        <v>15</v>
      </c>
      <c r="D10" s="124"/>
      <c r="E10" s="126"/>
      <c r="F10" s="127"/>
      <c r="G10" s="128"/>
      <c r="J10" s="273">
        <f>F10/$F$14</f>
        <v>0</v>
      </c>
      <c r="M10" s="98"/>
      <c r="N10" s="98"/>
      <c r="O10" s="98"/>
    </row>
    <row r="11" spans="1:16" ht="20.149999999999999" customHeight="1">
      <c r="A11" s="98"/>
      <c r="C11" s="124" t="s">
        <v>302</v>
      </c>
      <c r="D11" s="131"/>
      <c r="E11" s="133"/>
      <c r="F11" s="127">
        <f>18000</f>
        <v>18000</v>
      </c>
      <c r="G11" s="128">
        <v>100433.357</v>
      </c>
      <c r="J11" s="273">
        <f>F11/$F$14</f>
        <v>3.9483548950106001E-2</v>
      </c>
      <c r="M11" s="98"/>
      <c r="N11" s="98"/>
      <c r="O11" s="98"/>
    </row>
    <row r="12" spans="1:16" ht="20.149999999999999" customHeight="1">
      <c r="A12" s="98"/>
      <c r="C12" s="124" t="s">
        <v>1391</v>
      </c>
      <c r="D12" s="131"/>
      <c r="E12" s="133"/>
      <c r="F12" s="127">
        <v>7100</v>
      </c>
      <c r="G12" s="128"/>
      <c r="J12" s="273"/>
      <c r="M12" s="98"/>
      <c r="N12" s="98"/>
      <c r="O12" s="98"/>
    </row>
    <row r="13" spans="1:16" ht="20.149999999999999" customHeight="1">
      <c r="A13" s="98"/>
      <c r="C13" s="124" t="s">
        <v>247</v>
      </c>
      <c r="D13" s="219"/>
      <c r="E13" s="146"/>
      <c r="F13" s="127">
        <f>'תקציב 2021 מקורות אחרים'!F14</f>
        <v>134192.071</v>
      </c>
      <c r="G13" s="128">
        <v>137122.769</v>
      </c>
      <c r="J13" s="273">
        <f>F13/$F$14</f>
        <v>0.2943544002247</v>
      </c>
      <c r="L13" s="135"/>
      <c r="M13" s="98"/>
      <c r="N13" s="98"/>
      <c r="O13" s="98"/>
    </row>
    <row r="14" spans="1:16" ht="20.149999999999999" customHeight="1" thickBot="1">
      <c r="A14" s="98"/>
      <c r="C14" s="203" t="s">
        <v>105</v>
      </c>
      <c r="D14" s="205"/>
      <c r="E14" s="138"/>
      <c r="F14" s="201">
        <f>SUM(F8:F13)</f>
        <v>455886.071</v>
      </c>
      <c r="G14" s="202">
        <f>SUM(G8:G13)</f>
        <v>502826.12600000005</v>
      </c>
      <c r="J14" s="274">
        <f>SUM(J8:J13)</f>
        <v>0.98442593346968033</v>
      </c>
      <c r="M14" s="98"/>
      <c r="N14" s="98"/>
      <c r="O14" s="98"/>
    </row>
    <row r="15" spans="1:16" ht="17">
      <c r="A15" s="98"/>
      <c r="C15" s="99"/>
      <c r="D15" s="98"/>
      <c r="F15" s="111"/>
      <c r="G15" s="111"/>
      <c r="N15" s="98"/>
      <c r="O15" s="98"/>
      <c r="P15" s="98"/>
    </row>
    <row r="16" spans="1:16" ht="15.5">
      <c r="A16" s="98"/>
      <c r="M16" s="98"/>
      <c r="N16" s="98"/>
      <c r="O16" s="98"/>
      <c r="P16" s="98"/>
    </row>
    <row r="17" spans="1:16" ht="15.5">
      <c r="A17" s="98"/>
      <c r="M17" s="98"/>
      <c r="N17" s="98"/>
      <c r="O17" s="98"/>
      <c r="P17" s="98"/>
    </row>
    <row r="18" spans="1:16" ht="15.5">
      <c r="A18" s="98"/>
      <c r="B18" s="105"/>
      <c r="C18" s="105"/>
      <c r="D18" s="105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15.5">
      <c r="A19" s="105"/>
      <c r="B19" s="105"/>
      <c r="C19" s="105"/>
      <c r="D19" s="105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1:16" ht="15.5"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spans="1:16" ht="15.5"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Zeros="0" rightToLeft="1" topLeftCell="A2" workbookViewId="0">
      <selection activeCell="U40" sqref="U40"/>
    </sheetView>
  </sheetViews>
  <sheetFormatPr defaultRowHeight="15.5"/>
  <cols>
    <col min="1" max="1" width="3.453125" style="75" customWidth="1"/>
    <col min="2" max="2" width="37.36328125" style="75" bestFit="1" customWidth="1"/>
    <col min="3" max="3" width="16.453125" style="77" bestFit="1" customWidth="1"/>
    <col min="4" max="4" width="19.90625" style="77" bestFit="1" customWidth="1"/>
    <col min="5" max="5" width="13.453125" style="77" customWidth="1"/>
    <col min="6" max="6" width="16.453125" style="77" bestFit="1" customWidth="1"/>
    <col min="7" max="7" width="19.90625" style="77" bestFit="1" customWidth="1"/>
    <col min="8" max="8" width="12.453125" style="77" customWidth="1"/>
    <col min="9" max="10" width="9.08984375" style="75"/>
    <col min="11" max="15" width="0" style="75" hidden="1" customWidth="1"/>
    <col min="16" max="256" width="9.08984375" style="75"/>
    <col min="257" max="257" width="3.453125" style="75" customWidth="1"/>
    <col min="258" max="258" width="37.36328125" style="75" bestFit="1" customWidth="1"/>
    <col min="259" max="259" width="16.453125" style="75" bestFit="1" customWidth="1"/>
    <col min="260" max="260" width="19.90625" style="75" bestFit="1" customWidth="1"/>
    <col min="261" max="261" width="13.453125" style="75" customWidth="1"/>
    <col min="262" max="262" width="16.453125" style="75" bestFit="1" customWidth="1"/>
    <col min="263" max="263" width="19.90625" style="75" bestFit="1" customWidth="1"/>
    <col min="264" max="264" width="12.453125" style="75" customWidth="1"/>
    <col min="265" max="512" width="9.08984375" style="75"/>
    <col min="513" max="513" width="3.453125" style="75" customWidth="1"/>
    <col min="514" max="514" width="37.36328125" style="75" bestFit="1" customWidth="1"/>
    <col min="515" max="515" width="16.453125" style="75" bestFit="1" customWidth="1"/>
    <col min="516" max="516" width="19.90625" style="75" bestFit="1" customWidth="1"/>
    <col min="517" max="517" width="13.453125" style="75" customWidth="1"/>
    <col min="518" max="518" width="16.453125" style="75" bestFit="1" customWidth="1"/>
    <col min="519" max="519" width="19.90625" style="75" bestFit="1" customWidth="1"/>
    <col min="520" max="520" width="12.453125" style="75" customWidth="1"/>
    <col min="521" max="768" width="9.08984375" style="75"/>
    <col min="769" max="769" width="3.453125" style="75" customWidth="1"/>
    <col min="770" max="770" width="37.36328125" style="75" bestFit="1" customWidth="1"/>
    <col min="771" max="771" width="16.453125" style="75" bestFit="1" customWidth="1"/>
    <col min="772" max="772" width="19.90625" style="75" bestFit="1" customWidth="1"/>
    <col min="773" max="773" width="13.453125" style="75" customWidth="1"/>
    <col min="774" max="774" width="16.453125" style="75" bestFit="1" customWidth="1"/>
    <col min="775" max="775" width="19.90625" style="75" bestFit="1" customWidth="1"/>
    <col min="776" max="776" width="12.453125" style="75" customWidth="1"/>
    <col min="777" max="1024" width="9.08984375" style="75"/>
    <col min="1025" max="1025" width="3.453125" style="75" customWidth="1"/>
    <col min="1026" max="1026" width="37.36328125" style="75" bestFit="1" customWidth="1"/>
    <col min="1027" max="1027" width="16.453125" style="75" bestFit="1" customWidth="1"/>
    <col min="1028" max="1028" width="19.90625" style="75" bestFit="1" customWidth="1"/>
    <col min="1029" max="1029" width="13.453125" style="75" customWidth="1"/>
    <col min="1030" max="1030" width="16.453125" style="75" bestFit="1" customWidth="1"/>
    <col min="1031" max="1031" width="19.90625" style="75" bestFit="1" customWidth="1"/>
    <col min="1032" max="1032" width="12.453125" style="75" customWidth="1"/>
    <col min="1033" max="1280" width="9.08984375" style="75"/>
    <col min="1281" max="1281" width="3.453125" style="75" customWidth="1"/>
    <col min="1282" max="1282" width="37.36328125" style="75" bestFit="1" customWidth="1"/>
    <col min="1283" max="1283" width="16.453125" style="75" bestFit="1" customWidth="1"/>
    <col min="1284" max="1284" width="19.90625" style="75" bestFit="1" customWidth="1"/>
    <col min="1285" max="1285" width="13.453125" style="75" customWidth="1"/>
    <col min="1286" max="1286" width="16.453125" style="75" bestFit="1" customWidth="1"/>
    <col min="1287" max="1287" width="19.90625" style="75" bestFit="1" customWidth="1"/>
    <col min="1288" max="1288" width="12.453125" style="75" customWidth="1"/>
    <col min="1289" max="1536" width="9.08984375" style="75"/>
    <col min="1537" max="1537" width="3.453125" style="75" customWidth="1"/>
    <col min="1538" max="1538" width="37.36328125" style="75" bestFit="1" customWidth="1"/>
    <col min="1539" max="1539" width="16.453125" style="75" bestFit="1" customWidth="1"/>
    <col min="1540" max="1540" width="19.90625" style="75" bestFit="1" customWidth="1"/>
    <col min="1541" max="1541" width="13.453125" style="75" customWidth="1"/>
    <col min="1542" max="1542" width="16.453125" style="75" bestFit="1" customWidth="1"/>
    <col min="1543" max="1543" width="19.90625" style="75" bestFit="1" customWidth="1"/>
    <col min="1544" max="1544" width="12.453125" style="75" customWidth="1"/>
    <col min="1545" max="1792" width="9.08984375" style="75"/>
    <col min="1793" max="1793" width="3.453125" style="75" customWidth="1"/>
    <col min="1794" max="1794" width="37.36328125" style="75" bestFit="1" customWidth="1"/>
    <col min="1795" max="1795" width="16.453125" style="75" bestFit="1" customWidth="1"/>
    <col min="1796" max="1796" width="19.90625" style="75" bestFit="1" customWidth="1"/>
    <col min="1797" max="1797" width="13.453125" style="75" customWidth="1"/>
    <col min="1798" max="1798" width="16.453125" style="75" bestFit="1" customWidth="1"/>
    <col min="1799" max="1799" width="19.90625" style="75" bestFit="1" customWidth="1"/>
    <col min="1800" max="1800" width="12.453125" style="75" customWidth="1"/>
    <col min="1801" max="2048" width="9.08984375" style="75"/>
    <col min="2049" max="2049" width="3.453125" style="75" customWidth="1"/>
    <col min="2050" max="2050" width="37.36328125" style="75" bestFit="1" customWidth="1"/>
    <col min="2051" max="2051" width="16.453125" style="75" bestFit="1" customWidth="1"/>
    <col min="2052" max="2052" width="19.90625" style="75" bestFit="1" customWidth="1"/>
    <col min="2053" max="2053" width="13.453125" style="75" customWidth="1"/>
    <col min="2054" max="2054" width="16.453125" style="75" bestFit="1" customWidth="1"/>
    <col min="2055" max="2055" width="19.90625" style="75" bestFit="1" customWidth="1"/>
    <col min="2056" max="2056" width="12.453125" style="75" customWidth="1"/>
    <col min="2057" max="2304" width="9.08984375" style="75"/>
    <col min="2305" max="2305" width="3.453125" style="75" customWidth="1"/>
    <col min="2306" max="2306" width="37.36328125" style="75" bestFit="1" customWidth="1"/>
    <col min="2307" max="2307" width="16.453125" style="75" bestFit="1" customWidth="1"/>
    <col min="2308" max="2308" width="19.90625" style="75" bestFit="1" customWidth="1"/>
    <col min="2309" max="2309" width="13.453125" style="75" customWidth="1"/>
    <col min="2310" max="2310" width="16.453125" style="75" bestFit="1" customWidth="1"/>
    <col min="2311" max="2311" width="19.90625" style="75" bestFit="1" customWidth="1"/>
    <col min="2312" max="2312" width="12.453125" style="75" customWidth="1"/>
    <col min="2313" max="2560" width="9.08984375" style="75"/>
    <col min="2561" max="2561" width="3.453125" style="75" customWidth="1"/>
    <col min="2562" max="2562" width="37.36328125" style="75" bestFit="1" customWidth="1"/>
    <col min="2563" max="2563" width="16.453125" style="75" bestFit="1" customWidth="1"/>
    <col min="2564" max="2564" width="19.90625" style="75" bestFit="1" customWidth="1"/>
    <col min="2565" max="2565" width="13.453125" style="75" customWidth="1"/>
    <col min="2566" max="2566" width="16.453125" style="75" bestFit="1" customWidth="1"/>
    <col min="2567" max="2567" width="19.90625" style="75" bestFit="1" customWidth="1"/>
    <col min="2568" max="2568" width="12.453125" style="75" customWidth="1"/>
    <col min="2569" max="2816" width="9.08984375" style="75"/>
    <col min="2817" max="2817" width="3.453125" style="75" customWidth="1"/>
    <col min="2818" max="2818" width="37.36328125" style="75" bestFit="1" customWidth="1"/>
    <col min="2819" max="2819" width="16.453125" style="75" bestFit="1" customWidth="1"/>
    <col min="2820" max="2820" width="19.90625" style="75" bestFit="1" customWidth="1"/>
    <col min="2821" max="2821" width="13.453125" style="75" customWidth="1"/>
    <col min="2822" max="2822" width="16.453125" style="75" bestFit="1" customWidth="1"/>
    <col min="2823" max="2823" width="19.90625" style="75" bestFit="1" customWidth="1"/>
    <col min="2824" max="2824" width="12.453125" style="75" customWidth="1"/>
    <col min="2825" max="3072" width="9.08984375" style="75"/>
    <col min="3073" max="3073" width="3.453125" style="75" customWidth="1"/>
    <col min="3074" max="3074" width="37.36328125" style="75" bestFit="1" customWidth="1"/>
    <col min="3075" max="3075" width="16.453125" style="75" bestFit="1" customWidth="1"/>
    <col min="3076" max="3076" width="19.90625" style="75" bestFit="1" customWidth="1"/>
    <col min="3077" max="3077" width="13.453125" style="75" customWidth="1"/>
    <col min="3078" max="3078" width="16.453125" style="75" bestFit="1" customWidth="1"/>
    <col min="3079" max="3079" width="19.90625" style="75" bestFit="1" customWidth="1"/>
    <col min="3080" max="3080" width="12.453125" style="75" customWidth="1"/>
    <col min="3081" max="3328" width="9.08984375" style="75"/>
    <col min="3329" max="3329" width="3.453125" style="75" customWidth="1"/>
    <col min="3330" max="3330" width="37.36328125" style="75" bestFit="1" customWidth="1"/>
    <col min="3331" max="3331" width="16.453125" style="75" bestFit="1" customWidth="1"/>
    <col min="3332" max="3332" width="19.90625" style="75" bestFit="1" customWidth="1"/>
    <col min="3333" max="3333" width="13.453125" style="75" customWidth="1"/>
    <col min="3334" max="3334" width="16.453125" style="75" bestFit="1" customWidth="1"/>
    <col min="3335" max="3335" width="19.90625" style="75" bestFit="1" customWidth="1"/>
    <col min="3336" max="3336" width="12.453125" style="75" customWidth="1"/>
    <col min="3337" max="3584" width="9.08984375" style="75"/>
    <col min="3585" max="3585" width="3.453125" style="75" customWidth="1"/>
    <col min="3586" max="3586" width="37.36328125" style="75" bestFit="1" customWidth="1"/>
    <col min="3587" max="3587" width="16.453125" style="75" bestFit="1" customWidth="1"/>
    <col min="3588" max="3588" width="19.90625" style="75" bestFit="1" customWidth="1"/>
    <col min="3589" max="3589" width="13.453125" style="75" customWidth="1"/>
    <col min="3590" max="3590" width="16.453125" style="75" bestFit="1" customWidth="1"/>
    <col min="3591" max="3591" width="19.90625" style="75" bestFit="1" customWidth="1"/>
    <col min="3592" max="3592" width="12.453125" style="75" customWidth="1"/>
    <col min="3593" max="3840" width="9.08984375" style="75"/>
    <col min="3841" max="3841" width="3.453125" style="75" customWidth="1"/>
    <col min="3842" max="3842" width="37.36328125" style="75" bestFit="1" customWidth="1"/>
    <col min="3843" max="3843" width="16.453125" style="75" bestFit="1" customWidth="1"/>
    <col min="3844" max="3844" width="19.90625" style="75" bestFit="1" customWidth="1"/>
    <col min="3845" max="3845" width="13.453125" style="75" customWidth="1"/>
    <col min="3846" max="3846" width="16.453125" style="75" bestFit="1" customWidth="1"/>
    <col min="3847" max="3847" width="19.90625" style="75" bestFit="1" customWidth="1"/>
    <col min="3848" max="3848" width="12.453125" style="75" customWidth="1"/>
    <col min="3849" max="4096" width="9.08984375" style="75"/>
    <col min="4097" max="4097" width="3.453125" style="75" customWidth="1"/>
    <col min="4098" max="4098" width="37.36328125" style="75" bestFit="1" customWidth="1"/>
    <col min="4099" max="4099" width="16.453125" style="75" bestFit="1" customWidth="1"/>
    <col min="4100" max="4100" width="19.90625" style="75" bestFit="1" customWidth="1"/>
    <col min="4101" max="4101" width="13.453125" style="75" customWidth="1"/>
    <col min="4102" max="4102" width="16.453125" style="75" bestFit="1" customWidth="1"/>
    <col min="4103" max="4103" width="19.90625" style="75" bestFit="1" customWidth="1"/>
    <col min="4104" max="4104" width="12.453125" style="75" customWidth="1"/>
    <col min="4105" max="4352" width="9.08984375" style="75"/>
    <col min="4353" max="4353" width="3.453125" style="75" customWidth="1"/>
    <col min="4354" max="4354" width="37.36328125" style="75" bestFit="1" customWidth="1"/>
    <col min="4355" max="4355" width="16.453125" style="75" bestFit="1" customWidth="1"/>
    <col min="4356" max="4356" width="19.90625" style="75" bestFit="1" customWidth="1"/>
    <col min="4357" max="4357" width="13.453125" style="75" customWidth="1"/>
    <col min="4358" max="4358" width="16.453125" style="75" bestFit="1" customWidth="1"/>
    <col min="4359" max="4359" width="19.90625" style="75" bestFit="1" customWidth="1"/>
    <col min="4360" max="4360" width="12.453125" style="75" customWidth="1"/>
    <col min="4361" max="4608" width="9.08984375" style="75"/>
    <col min="4609" max="4609" width="3.453125" style="75" customWidth="1"/>
    <col min="4610" max="4610" width="37.36328125" style="75" bestFit="1" customWidth="1"/>
    <col min="4611" max="4611" width="16.453125" style="75" bestFit="1" customWidth="1"/>
    <col min="4612" max="4612" width="19.90625" style="75" bestFit="1" customWidth="1"/>
    <col min="4613" max="4613" width="13.453125" style="75" customWidth="1"/>
    <col min="4614" max="4614" width="16.453125" style="75" bestFit="1" customWidth="1"/>
    <col min="4615" max="4615" width="19.90625" style="75" bestFit="1" customWidth="1"/>
    <col min="4616" max="4616" width="12.453125" style="75" customWidth="1"/>
    <col min="4617" max="4864" width="9.08984375" style="75"/>
    <col min="4865" max="4865" width="3.453125" style="75" customWidth="1"/>
    <col min="4866" max="4866" width="37.36328125" style="75" bestFit="1" customWidth="1"/>
    <col min="4867" max="4867" width="16.453125" style="75" bestFit="1" customWidth="1"/>
    <col min="4868" max="4868" width="19.90625" style="75" bestFit="1" customWidth="1"/>
    <col min="4869" max="4869" width="13.453125" style="75" customWidth="1"/>
    <col min="4870" max="4870" width="16.453125" style="75" bestFit="1" customWidth="1"/>
    <col min="4871" max="4871" width="19.90625" style="75" bestFit="1" customWidth="1"/>
    <col min="4872" max="4872" width="12.453125" style="75" customWidth="1"/>
    <col min="4873" max="5120" width="9.08984375" style="75"/>
    <col min="5121" max="5121" width="3.453125" style="75" customWidth="1"/>
    <col min="5122" max="5122" width="37.36328125" style="75" bestFit="1" customWidth="1"/>
    <col min="5123" max="5123" width="16.453125" style="75" bestFit="1" customWidth="1"/>
    <col min="5124" max="5124" width="19.90625" style="75" bestFit="1" customWidth="1"/>
    <col min="5125" max="5125" width="13.453125" style="75" customWidth="1"/>
    <col min="5126" max="5126" width="16.453125" style="75" bestFit="1" customWidth="1"/>
    <col min="5127" max="5127" width="19.90625" style="75" bestFit="1" customWidth="1"/>
    <col min="5128" max="5128" width="12.453125" style="75" customWidth="1"/>
    <col min="5129" max="5376" width="9.08984375" style="75"/>
    <col min="5377" max="5377" width="3.453125" style="75" customWidth="1"/>
    <col min="5378" max="5378" width="37.36328125" style="75" bestFit="1" customWidth="1"/>
    <col min="5379" max="5379" width="16.453125" style="75" bestFit="1" customWidth="1"/>
    <col min="5380" max="5380" width="19.90625" style="75" bestFit="1" customWidth="1"/>
    <col min="5381" max="5381" width="13.453125" style="75" customWidth="1"/>
    <col min="5382" max="5382" width="16.453125" style="75" bestFit="1" customWidth="1"/>
    <col min="5383" max="5383" width="19.90625" style="75" bestFit="1" customWidth="1"/>
    <col min="5384" max="5384" width="12.453125" style="75" customWidth="1"/>
    <col min="5385" max="5632" width="9.08984375" style="75"/>
    <col min="5633" max="5633" width="3.453125" style="75" customWidth="1"/>
    <col min="5634" max="5634" width="37.36328125" style="75" bestFit="1" customWidth="1"/>
    <col min="5635" max="5635" width="16.453125" style="75" bestFit="1" customWidth="1"/>
    <col min="5636" max="5636" width="19.90625" style="75" bestFit="1" customWidth="1"/>
    <col min="5637" max="5637" width="13.453125" style="75" customWidth="1"/>
    <col min="5638" max="5638" width="16.453125" style="75" bestFit="1" customWidth="1"/>
    <col min="5639" max="5639" width="19.90625" style="75" bestFit="1" customWidth="1"/>
    <col min="5640" max="5640" width="12.453125" style="75" customWidth="1"/>
    <col min="5641" max="5888" width="9.08984375" style="75"/>
    <col min="5889" max="5889" width="3.453125" style="75" customWidth="1"/>
    <col min="5890" max="5890" width="37.36328125" style="75" bestFit="1" customWidth="1"/>
    <col min="5891" max="5891" width="16.453125" style="75" bestFit="1" customWidth="1"/>
    <col min="5892" max="5892" width="19.90625" style="75" bestFit="1" customWidth="1"/>
    <col min="5893" max="5893" width="13.453125" style="75" customWidth="1"/>
    <col min="5894" max="5894" width="16.453125" style="75" bestFit="1" customWidth="1"/>
    <col min="5895" max="5895" width="19.90625" style="75" bestFit="1" customWidth="1"/>
    <col min="5896" max="5896" width="12.453125" style="75" customWidth="1"/>
    <col min="5897" max="6144" width="9.08984375" style="75"/>
    <col min="6145" max="6145" width="3.453125" style="75" customWidth="1"/>
    <col min="6146" max="6146" width="37.36328125" style="75" bestFit="1" customWidth="1"/>
    <col min="6147" max="6147" width="16.453125" style="75" bestFit="1" customWidth="1"/>
    <col min="6148" max="6148" width="19.90625" style="75" bestFit="1" customWidth="1"/>
    <col min="6149" max="6149" width="13.453125" style="75" customWidth="1"/>
    <col min="6150" max="6150" width="16.453125" style="75" bestFit="1" customWidth="1"/>
    <col min="6151" max="6151" width="19.90625" style="75" bestFit="1" customWidth="1"/>
    <col min="6152" max="6152" width="12.453125" style="75" customWidth="1"/>
    <col min="6153" max="6400" width="9.08984375" style="75"/>
    <col min="6401" max="6401" width="3.453125" style="75" customWidth="1"/>
    <col min="6402" max="6402" width="37.36328125" style="75" bestFit="1" customWidth="1"/>
    <col min="6403" max="6403" width="16.453125" style="75" bestFit="1" customWidth="1"/>
    <col min="6404" max="6404" width="19.90625" style="75" bestFit="1" customWidth="1"/>
    <col min="6405" max="6405" width="13.453125" style="75" customWidth="1"/>
    <col min="6406" max="6406" width="16.453125" style="75" bestFit="1" customWidth="1"/>
    <col min="6407" max="6407" width="19.90625" style="75" bestFit="1" customWidth="1"/>
    <col min="6408" max="6408" width="12.453125" style="75" customWidth="1"/>
    <col min="6409" max="6656" width="9.08984375" style="75"/>
    <col min="6657" max="6657" width="3.453125" style="75" customWidth="1"/>
    <col min="6658" max="6658" width="37.36328125" style="75" bestFit="1" customWidth="1"/>
    <col min="6659" max="6659" width="16.453125" style="75" bestFit="1" customWidth="1"/>
    <col min="6660" max="6660" width="19.90625" style="75" bestFit="1" customWidth="1"/>
    <col min="6661" max="6661" width="13.453125" style="75" customWidth="1"/>
    <col min="6662" max="6662" width="16.453125" style="75" bestFit="1" customWidth="1"/>
    <col min="6663" max="6663" width="19.90625" style="75" bestFit="1" customWidth="1"/>
    <col min="6664" max="6664" width="12.453125" style="75" customWidth="1"/>
    <col min="6665" max="6912" width="9.08984375" style="75"/>
    <col min="6913" max="6913" width="3.453125" style="75" customWidth="1"/>
    <col min="6914" max="6914" width="37.36328125" style="75" bestFit="1" customWidth="1"/>
    <col min="6915" max="6915" width="16.453125" style="75" bestFit="1" customWidth="1"/>
    <col min="6916" max="6916" width="19.90625" style="75" bestFit="1" customWidth="1"/>
    <col min="6917" max="6917" width="13.453125" style="75" customWidth="1"/>
    <col min="6918" max="6918" width="16.453125" style="75" bestFit="1" customWidth="1"/>
    <col min="6919" max="6919" width="19.90625" style="75" bestFit="1" customWidth="1"/>
    <col min="6920" max="6920" width="12.453125" style="75" customWidth="1"/>
    <col min="6921" max="7168" width="9.08984375" style="75"/>
    <col min="7169" max="7169" width="3.453125" style="75" customWidth="1"/>
    <col min="7170" max="7170" width="37.36328125" style="75" bestFit="1" customWidth="1"/>
    <col min="7171" max="7171" width="16.453125" style="75" bestFit="1" customWidth="1"/>
    <col min="7172" max="7172" width="19.90625" style="75" bestFit="1" customWidth="1"/>
    <col min="7173" max="7173" width="13.453125" style="75" customWidth="1"/>
    <col min="7174" max="7174" width="16.453125" style="75" bestFit="1" customWidth="1"/>
    <col min="7175" max="7175" width="19.90625" style="75" bestFit="1" customWidth="1"/>
    <col min="7176" max="7176" width="12.453125" style="75" customWidth="1"/>
    <col min="7177" max="7424" width="9.08984375" style="75"/>
    <col min="7425" max="7425" width="3.453125" style="75" customWidth="1"/>
    <col min="7426" max="7426" width="37.36328125" style="75" bestFit="1" customWidth="1"/>
    <col min="7427" max="7427" width="16.453125" style="75" bestFit="1" customWidth="1"/>
    <col min="7428" max="7428" width="19.90625" style="75" bestFit="1" customWidth="1"/>
    <col min="7429" max="7429" width="13.453125" style="75" customWidth="1"/>
    <col min="7430" max="7430" width="16.453125" style="75" bestFit="1" customWidth="1"/>
    <col min="7431" max="7431" width="19.90625" style="75" bestFit="1" customWidth="1"/>
    <col min="7432" max="7432" width="12.453125" style="75" customWidth="1"/>
    <col min="7433" max="7680" width="9.08984375" style="75"/>
    <col min="7681" max="7681" width="3.453125" style="75" customWidth="1"/>
    <col min="7682" max="7682" width="37.36328125" style="75" bestFit="1" customWidth="1"/>
    <col min="7683" max="7683" width="16.453125" style="75" bestFit="1" customWidth="1"/>
    <col min="7684" max="7684" width="19.90625" style="75" bestFit="1" customWidth="1"/>
    <col min="7685" max="7685" width="13.453125" style="75" customWidth="1"/>
    <col min="7686" max="7686" width="16.453125" style="75" bestFit="1" customWidth="1"/>
    <col min="7687" max="7687" width="19.90625" style="75" bestFit="1" customWidth="1"/>
    <col min="7688" max="7688" width="12.453125" style="75" customWidth="1"/>
    <col min="7689" max="7936" width="9.08984375" style="75"/>
    <col min="7937" max="7937" width="3.453125" style="75" customWidth="1"/>
    <col min="7938" max="7938" width="37.36328125" style="75" bestFit="1" customWidth="1"/>
    <col min="7939" max="7939" width="16.453125" style="75" bestFit="1" customWidth="1"/>
    <col min="7940" max="7940" width="19.90625" style="75" bestFit="1" customWidth="1"/>
    <col min="7941" max="7941" width="13.453125" style="75" customWidth="1"/>
    <col min="7942" max="7942" width="16.453125" style="75" bestFit="1" customWidth="1"/>
    <col min="7943" max="7943" width="19.90625" style="75" bestFit="1" customWidth="1"/>
    <col min="7944" max="7944" width="12.453125" style="75" customWidth="1"/>
    <col min="7945" max="8192" width="9.08984375" style="75"/>
    <col min="8193" max="8193" width="3.453125" style="75" customWidth="1"/>
    <col min="8194" max="8194" width="37.36328125" style="75" bestFit="1" customWidth="1"/>
    <col min="8195" max="8195" width="16.453125" style="75" bestFit="1" customWidth="1"/>
    <col min="8196" max="8196" width="19.90625" style="75" bestFit="1" customWidth="1"/>
    <col min="8197" max="8197" width="13.453125" style="75" customWidth="1"/>
    <col min="8198" max="8198" width="16.453125" style="75" bestFit="1" customWidth="1"/>
    <col min="8199" max="8199" width="19.90625" style="75" bestFit="1" customWidth="1"/>
    <col min="8200" max="8200" width="12.453125" style="75" customWidth="1"/>
    <col min="8201" max="8448" width="9.08984375" style="75"/>
    <col min="8449" max="8449" width="3.453125" style="75" customWidth="1"/>
    <col min="8450" max="8450" width="37.36328125" style="75" bestFit="1" customWidth="1"/>
    <col min="8451" max="8451" width="16.453125" style="75" bestFit="1" customWidth="1"/>
    <col min="8452" max="8452" width="19.90625" style="75" bestFit="1" customWidth="1"/>
    <col min="8453" max="8453" width="13.453125" style="75" customWidth="1"/>
    <col min="8454" max="8454" width="16.453125" style="75" bestFit="1" customWidth="1"/>
    <col min="8455" max="8455" width="19.90625" style="75" bestFit="1" customWidth="1"/>
    <col min="8456" max="8456" width="12.453125" style="75" customWidth="1"/>
    <col min="8457" max="8704" width="9.08984375" style="75"/>
    <col min="8705" max="8705" width="3.453125" style="75" customWidth="1"/>
    <col min="8706" max="8706" width="37.36328125" style="75" bestFit="1" customWidth="1"/>
    <col min="8707" max="8707" width="16.453125" style="75" bestFit="1" customWidth="1"/>
    <col min="8708" max="8708" width="19.90625" style="75" bestFit="1" customWidth="1"/>
    <col min="8709" max="8709" width="13.453125" style="75" customWidth="1"/>
    <col min="8710" max="8710" width="16.453125" style="75" bestFit="1" customWidth="1"/>
    <col min="8711" max="8711" width="19.90625" style="75" bestFit="1" customWidth="1"/>
    <col min="8712" max="8712" width="12.453125" style="75" customWidth="1"/>
    <col min="8713" max="8960" width="9.08984375" style="75"/>
    <col min="8961" max="8961" width="3.453125" style="75" customWidth="1"/>
    <col min="8962" max="8962" width="37.36328125" style="75" bestFit="1" customWidth="1"/>
    <col min="8963" max="8963" width="16.453125" style="75" bestFit="1" customWidth="1"/>
    <col min="8964" max="8964" width="19.90625" style="75" bestFit="1" customWidth="1"/>
    <col min="8965" max="8965" width="13.453125" style="75" customWidth="1"/>
    <col min="8966" max="8966" width="16.453125" style="75" bestFit="1" customWidth="1"/>
    <col min="8967" max="8967" width="19.90625" style="75" bestFit="1" customWidth="1"/>
    <col min="8968" max="8968" width="12.453125" style="75" customWidth="1"/>
    <col min="8969" max="9216" width="9.08984375" style="75"/>
    <col min="9217" max="9217" width="3.453125" style="75" customWidth="1"/>
    <col min="9218" max="9218" width="37.36328125" style="75" bestFit="1" customWidth="1"/>
    <col min="9219" max="9219" width="16.453125" style="75" bestFit="1" customWidth="1"/>
    <col min="9220" max="9220" width="19.90625" style="75" bestFit="1" customWidth="1"/>
    <col min="9221" max="9221" width="13.453125" style="75" customWidth="1"/>
    <col min="9222" max="9222" width="16.453125" style="75" bestFit="1" customWidth="1"/>
    <col min="9223" max="9223" width="19.90625" style="75" bestFit="1" customWidth="1"/>
    <col min="9224" max="9224" width="12.453125" style="75" customWidth="1"/>
    <col min="9225" max="9472" width="9.08984375" style="75"/>
    <col min="9473" max="9473" width="3.453125" style="75" customWidth="1"/>
    <col min="9474" max="9474" width="37.36328125" style="75" bestFit="1" customWidth="1"/>
    <col min="9475" max="9475" width="16.453125" style="75" bestFit="1" customWidth="1"/>
    <col min="9476" max="9476" width="19.90625" style="75" bestFit="1" customWidth="1"/>
    <col min="9477" max="9477" width="13.453125" style="75" customWidth="1"/>
    <col min="9478" max="9478" width="16.453125" style="75" bestFit="1" customWidth="1"/>
    <col min="9479" max="9479" width="19.90625" style="75" bestFit="1" customWidth="1"/>
    <col min="9480" max="9480" width="12.453125" style="75" customWidth="1"/>
    <col min="9481" max="9728" width="9.08984375" style="75"/>
    <col min="9729" max="9729" width="3.453125" style="75" customWidth="1"/>
    <col min="9730" max="9730" width="37.36328125" style="75" bestFit="1" customWidth="1"/>
    <col min="9731" max="9731" width="16.453125" style="75" bestFit="1" customWidth="1"/>
    <col min="9732" max="9732" width="19.90625" style="75" bestFit="1" customWidth="1"/>
    <col min="9733" max="9733" width="13.453125" style="75" customWidth="1"/>
    <col min="9734" max="9734" width="16.453125" style="75" bestFit="1" customWidth="1"/>
    <col min="9735" max="9735" width="19.90625" style="75" bestFit="1" customWidth="1"/>
    <col min="9736" max="9736" width="12.453125" style="75" customWidth="1"/>
    <col min="9737" max="9984" width="9.08984375" style="75"/>
    <col min="9985" max="9985" width="3.453125" style="75" customWidth="1"/>
    <col min="9986" max="9986" width="37.36328125" style="75" bestFit="1" customWidth="1"/>
    <col min="9987" max="9987" width="16.453125" style="75" bestFit="1" customWidth="1"/>
    <col min="9988" max="9988" width="19.90625" style="75" bestFit="1" customWidth="1"/>
    <col min="9989" max="9989" width="13.453125" style="75" customWidth="1"/>
    <col min="9990" max="9990" width="16.453125" style="75" bestFit="1" customWidth="1"/>
    <col min="9991" max="9991" width="19.90625" style="75" bestFit="1" customWidth="1"/>
    <col min="9992" max="9992" width="12.453125" style="75" customWidth="1"/>
    <col min="9993" max="10240" width="9.08984375" style="75"/>
    <col min="10241" max="10241" width="3.453125" style="75" customWidth="1"/>
    <col min="10242" max="10242" width="37.36328125" style="75" bestFit="1" customWidth="1"/>
    <col min="10243" max="10243" width="16.453125" style="75" bestFit="1" customWidth="1"/>
    <col min="10244" max="10244" width="19.90625" style="75" bestFit="1" customWidth="1"/>
    <col min="10245" max="10245" width="13.453125" style="75" customWidth="1"/>
    <col min="10246" max="10246" width="16.453125" style="75" bestFit="1" customWidth="1"/>
    <col min="10247" max="10247" width="19.90625" style="75" bestFit="1" customWidth="1"/>
    <col min="10248" max="10248" width="12.453125" style="75" customWidth="1"/>
    <col min="10249" max="10496" width="9.08984375" style="75"/>
    <col min="10497" max="10497" width="3.453125" style="75" customWidth="1"/>
    <col min="10498" max="10498" width="37.36328125" style="75" bestFit="1" customWidth="1"/>
    <col min="10499" max="10499" width="16.453125" style="75" bestFit="1" customWidth="1"/>
    <col min="10500" max="10500" width="19.90625" style="75" bestFit="1" customWidth="1"/>
    <col min="10501" max="10501" width="13.453125" style="75" customWidth="1"/>
    <col min="10502" max="10502" width="16.453125" style="75" bestFit="1" customWidth="1"/>
    <col min="10503" max="10503" width="19.90625" style="75" bestFit="1" customWidth="1"/>
    <col min="10504" max="10504" width="12.453125" style="75" customWidth="1"/>
    <col min="10505" max="10752" width="9.08984375" style="75"/>
    <col min="10753" max="10753" width="3.453125" style="75" customWidth="1"/>
    <col min="10754" max="10754" width="37.36328125" style="75" bestFit="1" customWidth="1"/>
    <col min="10755" max="10755" width="16.453125" style="75" bestFit="1" customWidth="1"/>
    <col min="10756" max="10756" width="19.90625" style="75" bestFit="1" customWidth="1"/>
    <col min="10757" max="10757" width="13.453125" style="75" customWidth="1"/>
    <col min="10758" max="10758" width="16.453125" style="75" bestFit="1" customWidth="1"/>
    <col min="10759" max="10759" width="19.90625" style="75" bestFit="1" customWidth="1"/>
    <col min="10760" max="10760" width="12.453125" style="75" customWidth="1"/>
    <col min="10761" max="11008" width="9.08984375" style="75"/>
    <col min="11009" max="11009" width="3.453125" style="75" customWidth="1"/>
    <col min="11010" max="11010" width="37.36328125" style="75" bestFit="1" customWidth="1"/>
    <col min="11011" max="11011" width="16.453125" style="75" bestFit="1" customWidth="1"/>
    <col min="11012" max="11012" width="19.90625" style="75" bestFit="1" customWidth="1"/>
    <col min="11013" max="11013" width="13.453125" style="75" customWidth="1"/>
    <col min="11014" max="11014" width="16.453125" style="75" bestFit="1" customWidth="1"/>
    <col min="11015" max="11015" width="19.90625" style="75" bestFit="1" customWidth="1"/>
    <col min="11016" max="11016" width="12.453125" style="75" customWidth="1"/>
    <col min="11017" max="11264" width="9.08984375" style="75"/>
    <col min="11265" max="11265" width="3.453125" style="75" customWidth="1"/>
    <col min="11266" max="11266" width="37.36328125" style="75" bestFit="1" customWidth="1"/>
    <col min="11267" max="11267" width="16.453125" style="75" bestFit="1" customWidth="1"/>
    <col min="11268" max="11268" width="19.90625" style="75" bestFit="1" customWidth="1"/>
    <col min="11269" max="11269" width="13.453125" style="75" customWidth="1"/>
    <col min="11270" max="11270" width="16.453125" style="75" bestFit="1" customWidth="1"/>
    <col min="11271" max="11271" width="19.90625" style="75" bestFit="1" customWidth="1"/>
    <col min="11272" max="11272" width="12.453125" style="75" customWidth="1"/>
    <col min="11273" max="11520" width="9.08984375" style="75"/>
    <col min="11521" max="11521" width="3.453125" style="75" customWidth="1"/>
    <col min="11522" max="11522" width="37.36328125" style="75" bestFit="1" customWidth="1"/>
    <col min="11523" max="11523" width="16.453125" style="75" bestFit="1" customWidth="1"/>
    <col min="11524" max="11524" width="19.90625" style="75" bestFit="1" customWidth="1"/>
    <col min="11525" max="11525" width="13.453125" style="75" customWidth="1"/>
    <col min="11526" max="11526" width="16.453125" style="75" bestFit="1" customWidth="1"/>
    <col min="11527" max="11527" width="19.90625" style="75" bestFit="1" customWidth="1"/>
    <col min="11528" max="11528" width="12.453125" style="75" customWidth="1"/>
    <col min="11529" max="11776" width="9.08984375" style="75"/>
    <col min="11777" max="11777" width="3.453125" style="75" customWidth="1"/>
    <col min="11778" max="11778" width="37.36328125" style="75" bestFit="1" customWidth="1"/>
    <col min="11779" max="11779" width="16.453125" style="75" bestFit="1" customWidth="1"/>
    <col min="11780" max="11780" width="19.90625" style="75" bestFit="1" customWidth="1"/>
    <col min="11781" max="11781" width="13.453125" style="75" customWidth="1"/>
    <col min="11782" max="11782" width="16.453125" style="75" bestFit="1" customWidth="1"/>
    <col min="11783" max="11783" width="19.90625" style="75" bestFit="1" customWidth="1"/>
    <col min="11784" max="11784" width="12.453125" style="75" customWidth="1"/>
    <col min="11785" max="12032" width="9.08984375" style="75"/>
    <col min="12033" max="12033" width="3.453125" style="75" customWidth="1"/>
    <col min="12034" max="12034" width="37.36328125" style="75" bestFit="1" customWidth="1"/>
    <col min="12035" max="12035" width="16.453125" style="75" bestFit="1" customWidth="1"/>
    <col min="12036" max="12036" width="19.90625" style="75" bestFit="1" customWidth="1"/>
    <col min="12037" max="12037" width="13.453125" style="75" customWidth="1"/>
    <col min="12038" max="12038" width="16.453125" style="75" bestFit="1" customWidth="1"/>
    <col min="12039" max="12039" width="19.90625" style="75" bestFit="1" customWidth="1"/>
    <col min="12040" max="12040" width="12.453125" style="75" customWidth="1"/>
    <col min="12041" max="12288" width="9.08984375" style="75"/>
    <col min="12289" max="12289" width="3.453125" style="75" customWidth="1"/>
    <col min="12290" max="12290" width="37.36328125" style="75" bestFit="1" customWidth="1"/>
    <col min="12291" max="12291" width="16.453125" style="75" bestFit="1" customWidth="1"/>
    <col min="12292" max="12292" width="19.90625" style="75" bestFit="1" customWidth="1"/>
    <col min="12293" max="12293" width="13.453125" style="75" customWidth="1"/>
    <col min="12294" max="12294" width="16.453125" style="75" bestFit="1" customWidth="1"/>
    <col min="12295" max="12295" width="19.90625" style="75" bestFit="1" customWidth="1"/>
    <col min="12296" max="12296" width="12.453125" style="75" customWidth="1"/>
    <col min="12297" max="12544" width="9.08984375" style="75"/>
    <col min="12545" max="12545" width="3.453125" style="75" customWidth="1"/>
    <col min="12546" max="12546" width="37.36328125" style="75" bestFit="1" customWidth="1"/>
    <col min="12547" max="12547" width="16.453125" style="75" bestFit="1" customWidth="1"/>
    <col min="12548" max="12548" width="19.90625" style="75" bestFit="1" customWidth="1"/>
    <col min="12549" max="12549" width="13.453125" style="75" customWidth="1"/>
    <col min="12550" max="12550" width="16.453125" style="75" bestFit="1" customWidth="1"/>
    <col min="12551" max="12551" width="19.90625" style="75" bestFit="1" customWidth="1"/>
    <col min="12552" max="12552" width="12.453125" style="75" customWidth="1"/>
    <col min="12553" max="12800" width="9.08984375" style="75"/>
    <col min="12801" max="12801" width="3.453125" style="75" customWidth="1"/>
    <col min="12802" max="12802" width="37.36328125" style="75" bestFit="1" customWidth="1"/>
    <col min="12803" max="12803" width="16.453125" style="75" bestFit="1" customWidth="1"/>
    <col min="12804" max="12804" width="19.90625" style="75" bestFit="1" customWidth="1"/>
    <col min="12805" max="12805" width="13.453125" style="75" customWidth="1"/>
    <col min="12806" max="12806" width="16.453125" style="75" bestFit="1" customWidth="1"/>
    <col min="12807" max="12807" width="19.90625" style="75" bestFit="1" customWidth="1"/>
    <col min="12808" max="12808" width="12.453125" style="75" customWidth="1"/>
    <col min="12809" max="13056" width="9.08984375" style="75"/>
    <col min="13057" max="13057" width="3.453125" style="75" customWidth="1"/>
    <col min="13058" max="13058" width="37.36328125" style="75" bestFit="1" customWidth="1"/>
    <col min="13059" max="13059" width="16.453125" style="75" bestFit="1" customWidth="1"/>
    <col min="13060" max="13060" width="19.90625" style="75" bestFit="1" customWidth="1"/>
    <col min="13061" max="13061" width="13.453125" style="75" customWidth="1"/>
    <col min="13062" max="13062" width="16.453125" style="75" bestFit="1" customWidth="1"/>
    <col min="13063" max="13063" width="19.90625" style="75" bestFit="1" customWidth="1"/>
    <col min="13064" max="13064" width="12.453125" style="75" customWidth="1"/>
    <col min="13065" max="13312" width="9.08984375" style="75"/>
    <col min="13313" max="13313" width="3.453125" style="75" customWidth="1"/>
    <col min="13314" max="13314" width="37.36328125" style="75" bestFit="1" customWidth="1"/>
    <col min="13315" max="13315" width="16.453125" style="75" bestFit="1" customWidth="1"/>
    <col min="13316" max="13316" width="19.90625" style="75" bestFit="1" customWidth="1"/>
    <col min="13317" max="13317" width="13.453125" style="75" customWidth="1"/>
    <col min="13318" max="13318" width="16.453125" style="75" bestFit="1" customWidth="1"/>
    <col min="13319" max="13319" width="19.90625" style="75" bestFit="1" customWidth="1"/>
    <col min="13320" max="13320" width="12.453125" style="75" customWidth="1"/>
    <col min="13321" max="13568" width="9.08984375" style="75"/>
    <col min="13569" max="13569" width="3.453125" style="75" customWidth="1"/>
    <col min="13570" max="13570" width="37.36328125" style="75" bestFit="1" customWidth="1"/>
    <col min="13571" max="13571" width="16.453125" style="75" bestFit="1" customWidth="1"/>
    <col min="13572" max="13572" width="19.90625" style="75" bestFit="1" customWidth="1"/>
    <col min="13573" max="13573" width="13.453125" style="75" customWidth="1"/>
    <col min="13574" max="13574" width="16.453125" style="75" bestFit="1" customWidth="1"/>
    <col min="13575" max="13575" width="19.90625" style="75" bestFit="1" customWidth="1"/>
    <col min="13576" max="13576" width="12.453125" style="75" customWidth="1"/>
    <col min="13577" max="13824" width="9.08984375" style="75"/>
    <col min="13825" max="13825" width="3.453125" style="75" customWidth="1"/>
    <col min="13826" max="13826" width="37.36328125" style="75" bestFit="1" customWidth="1"/>
    <col min="13827" max="13827" width="16.453125" style="75" bestFit="1" customWidth="1"/>
    <col min="13828" max="13828" width="19.90625" style="75" bestFit="1" customWidth="1"/>
    <col min="13829" max="13829" width="13.453125" style="75" customWidth="1"/>
    <col min="13830" max="13830" width="16.453125" style="75" bestFit="1" customWidth="1"/>
    <col min="13831" max="13831" width="19.90625" style="75" bestFit="1" customWidth="1"/>
    <col min="13832" max="13832" width="12.453125" style="75" customWidth="1"/>
    <col min="13833" max="14080" width="9.08984375" style="75"/>
    <col min="14081" max="14081" width="3.453125" style="75" customWidth="1"/>
    <col min="14082" max="14082" width="37.36328125" style="75" bestFit="1" customWidth="1"/>
    <col min="14083" max="14083" width="16.453125" style="75" bestFit="1" customWidth="1"/>
    <col min="14084" max="14084" width="19.90625" style="75" bestFit="1" customWidth="1"/>
    <col min="14085" max="14085" width="13.453125" style="75" customWidth="1"/>
    <col min="14086" max="14086" width="16.453125" style="75" bestFit="1" customWidth="1"/>
    <col min="14087" max="14087" width="19.90625" style="75" bestFit="1" customWidth="1"/>
    <col min="14088" max="14088" width="12.453125" style="75" customWidth="1"/>
    <col min="14089" max="14336" width="9.08984375" style="75"/>
    <col min="14337" max="14337" width="3.453125" style="75" customWidth="1"/>
    <col min="14338" max="14338" width="37.36328125" style="75" bestFit="1" customWidth="1"/>
    <col min="14339" max="14339" width="16.453125" style="75" bestFit="1" customWidth="1"/>
    <col min="14340" max="14340" width="19.90625" style="75" bestFit="1" customWidth="1"/>
    <col min="14341" max="14341" width="13.453125" style="75" customWidth="1"/>
    <col min="14342" max="14342" width="16.453125" style="75" bestFit="1" customWidth="1"/>
    <col min="14343" max="14343" width="19.90625" style="75" bestFit="1" customWidth="1"/>
    <col min="14344" max="14344" width="12.453125" style="75" customWidth="1"/>
    <col min="14345" max="14592" width="9.08984375" style="75"/>
    <col min="14593" max="14593" width="3.453125" style="75" customWidth="1"/>
    <col min="14594" max="14594" width="37.36328125" style="75" bestFit="1" customWidth="1"/>
    <col min="14595" max="14595" width="16.453125" style="75" bestFit="1" customWidth="1"/>
    <col min="14596" max="14596" width="19.90625" style="75" bestFit="1" customWidth="1"/>
    <col min="14597" max="14597" width="13.453125" style="75" customWidth="1"/>
    <col min="14598" max="14598" width="16.453125" style="75" bestFit="1" customWidth="1"/>
    <col min="14599" max="14599" width="19.90625" style="75" bestFit="1" customWidth="1"/>
    <col min="14600" max="14600" width="12.453125" style="75" customWidth="1"/>
    <col min="14601" max="14848" width="9.08984375" style="75"/>
    <col min="14849" max="14849" width="3.453125" style="75" customWidth="1"/>
    <col min="14850" max="14850" width="37.36328125" style="75" bestFit="1" customWidth="1"/>
    <col min="14851" max="14851" width="16.453125" style="75" bestFit="1" customWidth="1"/>
    <col min="14852" max="14852" width="19.90625" style="75" bestFit="1" customWidth="1"/>
    <col min="14853" max="14853" width="13.453125" style="75" customWidth="1"/>
    <col min="14854" max="14854" width="16.453125" style="75" bestFit="1" customWidth="1"/>
    <col min="14855" max="14855" width="19.90625" style="75" bestFit="1" customWidth="1"/>
    <col min="14856" max="14856" width="12.453125" style="75" customWidth="1"/>
    <col min="14857" max="15104" width="9.08984375" style="75"/>
    <col min="15105" max="15105" width="3.453125" style="75" customWidth="1"/>
    <col min="15106" max="15106" width="37.36328125" style="75" bestFit="1" customWidth="1"/>
    <col min="15107" max="15107" width="16.453125" style="75" bestFit="1" customWidth="1"/>
    <col min="15108" max="15108" width="19.90625" style="75" bestFit="1" customWidth="1"/>
    <col min="15109" max="15109" width="13.453125" style="75" customWidth="1"/>
    <col min="15110" max="15110" width="16.453125" style="75" bestFit="1" customWidth="1"/>
    <col min="15111" max="15111" width="19.90625" style="75" bestFit="1" customWidth="1"/>
    <col min="15112" max="15112" width="12.453125" style="75" customWidth="1"/>
    <col min="15113" max="15360" width="9.08984375" style="75"/>
    <col min="15361" max="15361" width="3.453125" style="75" customWidth="1"/>
    <col min="15362" max="15362" width="37.36328125" style="75" bestFit="1" customWidth="1"/>
    <col min="15363" max="15363" width="16.453125" style="75" bestFit="1" customWidth="1"/>
    <col min="15364" max="15364" width="19.90625" style="75" bestFit="1" customWidth="1"/>
    <col min="15365" max="15365" width="13.453125" style="75" customWidth="1"/>
    <col min="15366" max="15366" width="16.453125" style="75" bestFit="1" customWidth="1"/>
    <col min="15367" max="15367" width="19.90625" style="75" bestFit="1" customWidth="1"/>
    <col min="15368" max="15368" width="12.453125" style="75" customWidth="1"/>
    <col min="15369" max="15616" width="9.08984375" style="75"/>
    <col min="15617" max="15617" width="3.453125" style="75" customWidth="1"/>
    <col min="15618" max="15618" width="37.36328125" style="75" bestFit="1" customWidth="1"/>
    <col min="15619" max="15619" width="16.453125" style="75" bestFit="1" customWidth="1"/>
    <col min="15620" max="15620" width="19.90625" style="75" bestFit="1" customWidth="1"/>
    <col min="15621" max="15621" width="13.453125" style="75" customWidth="1"/>
    <col min="15622" max="15622" width="16.453125" style="75" bestFit="1" customWidth="1"/>
    <col min="15623" max="15623" width="19.90625" style="75" bestFit="1" customWidth="1"/>
    <col min="15624" max="15624" width="12.453125" style="75" customWidth="1"/>
    <col min="15625" max="15872" width="9.08984375" style="75"/>
    <col min="15873" max="15873" width="3.453125" style="75" customWidth="1"/>
    <col min="15874" max="15874" width="37.36328125" style="75" bestFit="1" customWidth="1"/>
    <col min="15875" max="15875" width="16.453125" style="75" bestFit="1" customWidth="1"/>
    <col min="15876" max="15876" width="19.90625" style="75" bestFit="1" customWidth="1"/>
    <col min="15877" max="15877" width="13.453125" style="75" customWidth="1"/>
    <col min="15878" max="15878" width="16.453125" style="75" bestFit="1" customWidth="1"/>
    <col min="15879" max="15879" width="19.90625" style="75" bestFit="1" customWidth="1"/>
    <col min="15880" max="15880" width="12.453125" style="75" customWidth="1"/>
    <col min="15881" max="16128" width="9.08984375" style="75"/>
    <col min="16129" max="16129" width="3.453125" style="75" customWidth="1"/>
    <col min="16130" max="16130" width="37.36328125" style="75" bestFit="1" customWidth="1"/>
    <col min="16131" max="16131" width="16.453125" style="75" bestFit="1" customWidth="1"/>
    <col min="16132" max="16132" width="19.90625" style="75" bestFit="1" customWidth="1"/>
    <col min="16133" max="16133" width="13.453125" style="75" customWidth="1"/>
    <col min="16134" max="16134" width="16.453125" style="75" bestFit="1" customWidth="1"/>
    <col min="16135" max="16135" width="19.90625" style="75" bestFit="1" customWidth="1"/>
    <col min="16136" max="16136" width="12.453125" style="75" customWidth="1"/>
    <col min="16137" max="16384" width="9.08984375" style="75"/>
  </cols>
  <sheetData>
    <row r="1" spans="1:11" ht="20.5">
      <c r="B1" s="746"/>
      <c r="C1" s="746"/>
      <c r="D1" s="746"/>
      <c r="E1" s="746"/>
      <c r="F1" s="746"/>
      <c r="G1" s="746"/>
      <c r="H1" s="746"/>
    </row>
    <row r="2" spans="1:11" ht="20.5">
      <c r="B2" s="746"/>
      <c r="C2" s="746"/>
      <c r="D2" s="746"/>
      <c r="E2" s="746"/>
      <c r="F2" s="746"/>
      <c r="G2" s="746"/>
      <c r="H2" s="746"/>
    </row>
    <row r="3" spans="1:11" ht="20.5">
      <c r="A3" s="76" t="s">
        <v>198</v>
      </c>
      <c r="B3" s="208" t="s">
        <v>199</v>
      </c>
      <c r="C3" s="271"/>
      <c r="D3" s="271"/>
      <c r="E3" s="271"/>
      <c r="F3" s="271"/>
      <c r="G3" s="271"/>
      <c r="H3" s="271"/>
    </row>
    <row r="5" spans="1:11" ht="16" thickBot="1"/>
    <row r="6" spans="1:11">
      <c r="B6" s="78"/>
      <c r="C6" s="747" t="s">
        <v>1247</v>
      </c>
      <c r="D6" s="748"/>
      <c r="E6" s="749"/>
      <c r="F6" s="747" t="s">
        <v>626</v>
      </c>
      <c r="G6" s="748"/>
      <c r="H6" s="749"/>
    </row>
    <row r="7" spans="1:11">
      <c r="B7" s="79" t="s">
        <v>200</v>
      </c>
      <c r="C7" s="80" t="s">
        <v>13</v>
      </c>
      <c r="D7" s="81" t="s">
        <v>14</v>
      </c>
      <c r="E7" s="82" t="s">
        <v>105</v>
      </c>
      <c r="F7" s="80" t="s">
        <v>13</v>
      </c>
      <c r="G7" s="81" t="s">
        <v>14</v>
      </c>
      <c r="H7" s="82" t="s">
        <v>105</v>
      </c>
    </row>
    <row r="8" spans="1:11">
      <c r="B8" s="83" t="s">
        <v>201</v>
      </c>
      <c r="C8" s="80"/>
      <c r="D8" s="81"/>
      <c r="E8" s="82"/>
      <c r="F8" s="80"/>
      <c r="G8" s="81"/>
      <c r="H8" s="82"/>
    </row>
    <row r="9" spans="1:11">
      <c r="B9" s="79" t="s">
        <v>202</v>
      </c>
      <c r="C9" s="84">
        <f>70000+30000+30000+3000+1100</f>
        <v>134100</v>
      </c>
      <c r="D9" s="81">
        <v>1000</v>
      </c>
      <c r="E9" s="82">
        <f t="shared" ref="E9:E17" si="0">SUM(C9:D9)</f>
        <v>135100</v>
      </c>
      <c r="F9" s="84">
        <v>51700</v>
      </c>
      <c r="G9" s="81">
        <v>4000</v>
      </c>
      <c r="H9" s="82">
        <f t="shared" ref="H9:H21" si="1">SUM(F9:G9)</f>
        <v>55700</v>
      </c>
    </row>
    <row r="10" spans="1:11">
      <c r="B10" s="79" t="s">
        <v>203</v>
      </c>
      <c r="C10" s="84">
        <f>120000+10000</f>
        <v>130000</v>
      </c>
      <c r="D10" s="81"/>
      <c r="E10" s="82">
        <f t="shared" si="0"/>
        <v>130000</v>
      </c>
      <c r="F10" s="84">
        <v>170000</v>
      </c>
      <c r="G10" s="81" t="s">
        <v>773</v>
      </c>
      <c r="H10" s="82">
        <f t="shared" si="1"/>
        <v>170000</v>
      </c>
    </row>
    <row r="11" spans="1:11">
      <c r="B11" s="79"/>
      <c r="C11" s="84"/>
      <c r="D11" s="81"/>
      <c r="E11" s="82">
        <f t="shared" si="0"/>
        <v>0</v>
      </c>
      <c r="F11" s="84"/>
      <c r="G11" s="81"/>
      <c r="H11" s="82">
        <f t="shared" si="1"/>
        <v>0</v>
      </c>
    </row>
    <row r="12" spans="1:11">
      <c r="B12" s="79" t="s">
        <v>627</v>
      </c>
      <c r="C12" s="84"/>
      <c r="D12" s="91"/>
      <c r="E12" s="82"/>
      <c r="F12" s="84"/>
      <c r="G12" s="81">
        <v>30000</v>
      </c>
      <c r="H12" s="82">
        <f>SUM(F12:G12)</f>
        <v>30000</v>
      </c>
    </row>
    <row r="13" spans="1:11">
      <c r="B13" s="79" t="s">
        <v>1248</v>
      </c>
      <c r="C13" s="370"/>
      <c r="D13" s="81">
        <v>15000</v>
      </c>
      <c r="E13" s="82">
        <f>SUM(C13:D13)</f>
        <v>15000</v>
      </c>
      <c r="F13" s="84"/>
      <c r="G13" s="81"/>
      <c r="H13" s="82">
        <f>SUM(F13:G13)</f>
        <v>0</v>
      </c>
      <c r="K13" s="75">
        <f>140000+31553</f>
        <v>171553</v>
      </c>
    </row>
    <row r="14" spans="1:11">
      <c r="B14" s="79" t="s">
        <v>331</v>
      </c>
      <c r="C14" s="370"/>
      <c r="D14" s="81">
        <f>20000+10000</f>
        <v>30000</v>
      </c>
      <c r="E14" s="82">
        <f>SUM(C14:D14)</f>
        <v>30000</v>
      </c>
      <c r="F14" s="84"/>
      <c r="G14" s="81">
        <v>25000</v>
      </c>
      <c r="H14" s="82">
        <f>SUM(F14:G14)</f>
        <v>25000</v>
      </c>
    </row>
    <row r="15" spans="1:11">
      <c r="B15" s="79"/>
      <c r="C15" s="85"/>
      <c r="D15" s="81"/>
      <c r="E15" s="82">
        <f t="shared" si="0"/>
        <v>0</v>
      </c>
      <c r="F15" s="84"/>
      <c r="G15" s="81"/>
      <c r="H15" s="82">
        <f t="shared" si="1"/>
        <v>0</v>
      </c>
    </row>
    <row r="16" spans="1:11">
      <c r="B16" s="79" t="s">
        <v>204</v>
      </c>
      <c r="C16" s="84">
        <v>10000</v>
      </c>
      <c r="D16" s="81"/>
      <c r="E16" s="82">
        <f t="shared" si="0"/>
        <v>10000</v>
      </c>
      <c r="F16" s="84">
        <v>10000</v>
      </c>
      <c r="G16" s="81"/>
      <c r="H16" s="82">
        <f t="shared" si="1"/>
        <v>10000</v>
      </c>
    </row>
    <row r="17" spans="2:12" s="86" customFormat="1">
      <c r="B17" s="83" t="s">
        <v>205</v>
      </c>
      <c r="C17" s="87">
        <f>SUM(C9:C16)</f>
        <v>274100</v>
      </c>
      <c r="D17" s="88">
        <f>SUM(D9:D16)</f>
        <v>46000</v>
      </c>
      <c r="E17" s="89">
        <f t="shared" si="0"/>
        <v>320100</v>
      </c>
      <c r="F17" s="87">
        <f>SUM(F9:F16)</f>
        <v>231700</v>
      </c>
      <c r="G17" s="88">
        <f>SUM(G9:G16)</f>
        <v>59000</v>
      </c>
      <c r="H17" s="89">
        <f>SUM(H9:H16)</f>
        <v>290700</v>
      </c>
    </row>
    <row r="18" spans="2:12">
      <c r="B18" s="83" t="s">
        <v>206</v>
      </c>
      <c r="C18" s="84"/>
      <c r="D18" s="81"/>
      <c r="E18" s="82"/>
      <c r="F18" s="84"/>
      <c r="G18" s="81"/>
      <c r="H18" s="90">
        <f t="shared" si="1"/>
        <v>0</v>
      </c>
    </row>
    <row r="19" spans="2:12">
      <c r="B19" s="79" t="s">
        <v>207</v>
      </c>
      <c r="C19" s="84">
        <f>4400+550+2000+1100</f>
        <v>8050</v>
      </c>
      <c r="D19" s="81"/>
      <c r="E19" s="82">
        <f>SUM(C19:D19)</f>
        <v>8050</v>
      </c>
      <c r="F19" s="84">
        <v>10900</v>
      </c>
      <c r="G19" s="81"/>
      <c r="H19" s="82">
        <f t="shared" si="1"/>
        <v>10900</v>
      </c>
      <c r="K19" s="81">
        <f>C20</f>
        <v>15456</v>
      </c>
    </row>
    <row r="20" spans="2:12">
      <c r="B20" s="79" t="s">
        <v>208</v>
      </c>
      <c r="C20" s="84">
        <f>9956+3500+2000</f>
        <v>15456</v>
      </c>
      <c r="D20" s="81"/>
      <c r="E20" s="82">
        <f>SUM(C20:D20)</f>
        <v>15456</v>
      </c>
      <c r="F20" s="84">
        <v>14530</v>
      </c>
      <c r="G20" s="81"/>
      <c r="H20" s="82">
        <f t="shared" si="1"/>
        <v>14530</v>
      </c>
      <c r="K20" s="75" t="s">
        <v>209</v>
      </c>
    </row>
    <row r="21" spans="2:12">
      <c r="B21" s="79" t="s">
        <v>210</v>
      </c>
      <c r="C21" s="84">
        <f>C17-C19-C20</f>
        <v>250594</v>
      </c>
      <c r="D21" s="91">
        <f>D17-D19-D20</f>
        <v>46000</v>
      </c>
      <c r="E21" s="82">
        <f>SUM(C21:D21)</f>
        <v>296594</v>
      </c>
      <c r="F21" s="84">
        <v>206270</v>
      </c>
      <c r="G21" s="91">
        <v>59000</v>
      </c>
      <c r="H21" s="82">
        <f t="shared" si="1"/>
        <v>265270</v>
      </c>
    </row>
    <row r="22" spans="2:12" s="86" customFormat="1" ht="16" thickBot="1">
      <c r="B22" s="92" t="s">
        <v>211</v>
      </c>
      <c r="C22" s="93">
        <f>C17</f>
        <v>274100</v>
      </c>
      <c r="D22" s="94">
        <f>D17</f>
        <v>46000</v>
      </c>
      <c r="E22" s="95">
        <f>SUM(C22:D22)</f>
        <v>320100</v>
      </c>
      <c r="F22" s="93">
        <f>SUM(F19:F21)</f>
        <v>231700</v>
      </c>
      <c r="G22" s="94">
        <f>SUM(G19:G21)</f>
        <v>59000</v>
      </c>
      <c r="H22" s="95">
        <f>SUM(H19:H21)</f>
        <v>290700</v>
      </c>
    </row>
    <row r="23" spans="2:12">
      <c r="K23" s="75" t="s">
        <v>212</v>
      </c>
      <c r="L23" s="75" t="s">
        <v>213</v>
      </c>
    </row>
    <row r="24" spans="2:12">
      <c r="K24" s="77"/>
    </row>
    <row r="25" spans="2:12">
      <c r="K25" s="77"/>
    </row>
  </sheetData>
  <mergeCells count="4">
    <mergeCell ref="B1:H1"/>
    <mergeCell ref="B2:H2"/>
    <mergeCell ref="C6:E6"/>
    <mergeCell ref="F6:H6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2021</oddHeader>
    <oddFooter>&amp;L&amp;D&amp;Cעמוד &amp;P מתוך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77</vt:i4>
      </vt:variant>
      <vt:variant>
        <vt:lpstr>טווחים בעלי שם</vt:lpstr>
      </vt:variant>
      <vt:variant>
        <vt:i4>71</vt:i4>
      </vt:variant>
    </vt:vector>
  </HeadingPairs>
  <TitlesOfParts>
    <vt:vector size="148" baseType="lpstr">
      <vt:lpstr>תקציב 2021</vt:lpstr>
      <vt:lpstr>תוכן ענינים</vt:lpstr>
      <vt:lpstr>מבוא</vt:lpstr>
      <vt:lpstr>תקציב 2020</vt:lpstr>
      <vt:lpstr>תקציב 2021 </vt:lpstr>
      <vt:lpstr>תקציב 2021 פרקים</vt:lpstr>
      <vt:lpstr>תקציב 2021  אגפים </vt:lpstr>
      <vt:lpstr>תקציב 2021  מקורות </vt:lpstr>
      <vt:lpstr>תקציב 2021 קרנות הרשות</vt:lpstr>
      <vt:lpstr>תקציב 2021 מקורות אחרים</vt:lpstr>
      <vt:lpstr>תרשים אגפים</vt:lpstr>
      <vt:lpstr>ריכוז אגפים</vt:lpstr>
      <vt:lpstr>תרשים פרקים</vt:lpstr>
      <vt:lpstr>ריכוז פרקים</vt:lpstr>
      <vt:lpstr>פרוט מקורות אחרים</vt:lpstr>
      <vt:lpstr>תרשים מקורות מימון</vt:lpstr>
      <vt:lpstr>הנדסה 2021</vt:lpstr>
      <vt:lpstr>הנדסה 2020 (2)</vt:lpstr>
      <vt:lpstr>תקציב הנדסה 2021</vt:lpstr>
      <vt:lpstr>תקציב הנדסה 2021 תאור</vt:lpstr>
      <vt:lpstr>תקציב הנדסה 2021 פרקים</vt:lpstr>
      <vt:lpstr>החברה לפיתוח 2021</vt:lpstr>
      <vt:lpstr>החב. לפיתוח 2021</vt:lpstr>
      <vt:lpstr>תקציב החברה לפיתוח 2021 </vt:lpstr>
      <vt:lpstr>תקציב החברה לפיתוח 2021 תאור</vt:lpstr>
      <vt:lpstr>תקציב החברה לפיתוח 2021 פרקים</vt:lpstr>
      <vt:lpstr>אגף ת.ב.ל 2021</vt:lpstr>
      <vt:lpstr>אגף ת.ב.ל 2021 (2)</vt:lpstr>
      <vt:lpstr>תקציב אגף ת.ב.ל 2021  </vt:lpstr>
      <vt:lpstr>תקציב אגף ת.ב.ל 2021 תאור</vt:lpstr>
      <vt:lpstr>תקציב אגף ת.ב.ל 2021 פרקים</vt:lpstr>
      <vt:lpstr>אגף בטחון פיקוח סד"צ 2021</vt:lpstr>
      <vt:lpstr>תקציב אגף בטחון פיקוח סד"צ 2021</vt:lpstr>
      <vt:lpstr>תקציב אגף בטחון פיקוח סד"צ  פרק</vt:lpstr>
      <vt:lpstr>אגף חינוך 2021</vt:lpstr>
      <vt:lpstr>תקציב אגף חינוך 2021 </vt:lpstr>
      <vt:lpstr>תקציב אגף חינוך 2021  פרקים</vt:lpstr>
      <vt:lpstr>אגף תנוס 2021</vt:lpstr>
      <vt:lpstr>תקציב אגף תנוס 2021 </vt:lpstr>
      <vt:lpstr>תקציב אגף תנוס 2021 פרק</vt:lpstr>
      <vt:lpstr>אגף שאיפה 2021</vt:lpstr>
      <vt:lpstr>אגף שאיפה 2021 (2)</vt:lpstr>
      <vt:lpstr>תקציב אגף שאיפה  2021 </vt:lpstr>
      <vt:lpstr>תקציב אגף שאיפה  2021  תאור</vt:lpstr>
      <vt:lpstr>תקציב אגף שאיפה  2021  פרקים</vt:lpstr>
      <vt:lpstr>רשות החופים 2021</vt:lpstr>
      <vt:lpstr>תקציב רשות החופים 2021 </vt:lpstr>
      <vt:lpstr>תקציב רשות החופים 2021  פרקים</vt:lpstr>
      <vt:lpstr>החברה לתירות 2021</vt:lpstr>
      <vt:lpstr>תקציב החברה לתירות 2021 </vt:lpstr>
      <vt:lpstr>תקציב החברה לתירות 2021 פרקים</vt:lpstr>
      <vt:lpstr>אגף תקשוב ומע. מידע 2021</vt:lpstr>
      <vt:lpstr>אגף תקשוב ומע. מידע 2021 (2)</vt:lpstr>
      <vt:lpstr>תקציב אגף תקשוב 2021 </vt:lpstr>
      <vt:lpstr>תקציב אגף תקשוב 2021 פרקים</vt:lpstr>
      <vt:lpstr>אגף נכסים וביטוח 2021</vt:lpstr>
      <vt:lpstr>תקציב אגף נכסים וביטוח 2021</vt:lpstr>
      <vt:lpstr>תקציב אגף נכסים וביטוח 2021פרק</vt:lpstr>
      <vt:lpstr>מינהל כללי 2021</vt:lpstr>
      <vt:lpstr>תקציב מינהל כללי 2021  </vt:lpstr>
      <vt:lpstr>תקציב מינהל כללי 2021 פרקים</vt:lpstr>
      <vt:lpstr>תקציב 2020 - ביצוע</vt:lpstr>
      <vt:lpstr>ריכוז אגפים 2020</vt:lpstr>
      <vt:lpstr>תקציב הנדסה 2020 </vt:lpstr>
      <vt:lpstr>תקציב החברה לפיתוח 2020</vt:lpstr>
      <vt:lpstr>תקציב אגף ת.ב.ל 2020 </vt:lpstr>
      <vt:lpstr>תקציב אגף בטחון פיקוח סד"צ 20</vt:lpstr>
      <vt:lpstr>תקציב אגף חינוך 2020</vt:lpstr>
      <vt:lpstr>תקציב אגף תנוס 2020 </vt:lpstr>
      <vt:lpstr>תקציב אגף שאיפה  2020  </vt:lpstr>
      <vt:lpstr>תקציב רשות החופים 2020 </vt:lpstr>
      <vt:lpstr>תקציב החברה לתירות 2020 </vt:lpstr>
      <vt:lpstr>תקציב אגף תקשוב 2020 </vt:lpstr>
      <vt:lpstr>תקציב אגף נכסים וביטוח 2020 </vt:lpstr>
      <vt:lpstr>תקציב מינהל כללי 2020 </vt:lpstr>
      <vt:lpstr>ריכוז תקציב מעבר לתוכנית 2020</vt:lpstr>
      <vt:lpstr>פרויקטים החב. לפיתוח </vt:lpstr>
      <vt:lpstr>'פרוט מקורות אחרים'!WPrint_Area_W</vt:lpstr>
      <vt:lpstr>'ריכוז אגפים'!WPrint_Area_W</vt:lpstr>
      <vt:lpstr>'ריכוז פרקים'!WPrint_Area_W</vt:lpstr>
      <vt:lpstr>'ריכוז תקציב מעבר לתוכנית 2020'!WPrint_Area_W</vt:lpstr>
      <vt:lpstr>'תקציב 2021 קרנות הרשות'!WPrint_Area_W</vt:lpstr>
      <vt:lpstr>'תקציב אגף בטחון פיקוח סד"צ  פרק'!WPrint_Area_W</vt:lpstr>
      <vt:lpstr>'תקציב אגף בטחון פיקוח סד"צ 2021'!WPrint_Area_W</vt:lpstr>
      <vt:lpstr>'תקציב אגף חינוך 2021 '!WPrint_Area_W</vt:lpstr>
      <vt:lpstr>'תקציב אגף חינוך 2021  פרקים'!WPrint_Area_W</vt:lpstr>
      <vt:lpstr>'תקציב אגף שאיפה  2021 '!WPrint_Area_W</vt:lpstr>
      <vt:lpstr>'תקציב אגף שאיפה  2021  פרקים'!WPrint_Area_W</vt:lpstr>
      <vt:lpstr>'תקציב אגף שאיפה  2021  תאור'!WPrint_Area_W</vt:lpstr>
      <vt:lpstr>'תקציב אגף ת.ב.ל 2021  '!WPrint_Area_W</vt:lpstr>
      <vt:lpstr>'תקציב אגף ת.ב.ל 2021 פרקים'!WPrint_Area_W</vt:lpstr>
      <vt:lpstr>'תקציב אגף ת.ב.ל 2021 תאור'!WPrint_Area_W</vt:lpstr>
      <vt:lpstr>'תקציב אגף תנוס 2021 '!WPrint_Area_W</vt:lpstr>
      <vt:lpstr>'תקציב אגף תנוס 2021 פרק'!WPrint_Area_W</vt:lpstr>
      <vt:lpstr>'תקציב אגף תקשוב 2021 '!WPrint_Area_W</vt:lpstr>
      <vt:lpstr>'תקציב אגף תקשוב 2021 פרקים'!WPrint_Area_W</vt:lpstr>
      <vt:lpstr>'תקציב החברה לתירות 2021 '!WPrint_Area_W</vt:lpstr>
      <vt:lpstr>'תקציב החברה לתירות 2021 פרקים'!WPrint_Area_W</vt:lpstr>
      <vt:lpstr>'תקציב הנדסה 2021'!WPrint_Area_W</vt:lpstr>
      <vt:lpstr>'תקציב הנדסה 2021 פרקים'!WPrint_Area_W</vt:lpstr>
      <vt:lpstr>'תקציב הנדסה 2021 תאור'!WPrint_Area_W</vt:lpstr>
      <vt:lpstr>'תקציב רשות החופים 2021 '!WPrint_Area_W</vt:lpstr>
      <vt:lpstr>'תקציב רשות החופים 2021  פרקים'!WPrint_Area_W</vt:lpstr>
      <vt:lpstr>'פרויקטים החב. לפיתוח '!WPrint_TitlesW</vt:lpstr>
      <vt:lpstr>'ריכוז אגפים'!WPrint_TitlesW</vt:lpstr>
      <vt:lpstr>'ריכוז אגפים 2020'!WPrint_TitlesW</vt:lpstr>
      <vt:lpstr>'ריכוז פרקים'!WPrint_TitlesW</vt:lpstr>
      <vt:lpstr>'ריכוז תקציב מעבר לתוכנית 2020'!WPrint_TitlesW</vt:lpstr>
      <vt:lpstr>'תקציב אגף בטחון פיקוח סד"צ  פרק'!WPrint_TitlesW</vt:lpstr>
      <vt:lpstr>'תקציב אגף בטחון פיקוח סד"צ 20'!WPrint_TitlesW</vt:lpstr>
      <vt:lpstr>'תקציב אגף בטחון פיקוח סד"צ 2021'!WPrint_TitlesW</vt:lpstr>
      <vt:lpstr>'תקציב אגף חינוך 2020'!WPrint_TitlesW</vt:lpstr>
      <vt:lpstr>'תקציב אגף חינוך 2021 '!WPrint_TitlesW</vt:lpstr>
      <vt:lpstr>'תקציב אגף חינוך 2021  פרקים'!WPrint_TitlesW</vt:lpstr>
      <vt:lpstr>'תקציב אגף נכסים וביטוח 2020 '!WPrint_TitlesW</vt:lpstr>
      <vt:lpstr>'תקציב אגף נכסים וביטוח 2021'!WPrint_TitlesW</vt:lpstr>
      <vt:lpstr>'תקציב אגף נכסים וביטוח 2021פרק'!WPrint_TitlesW</vt:lpstr>
      <vt:lpstr>'תקציב אגף שאיפה  2020  '!WPrint_TitlesW</vt:lpstr>
      <vt:lpstr>'תקציב אגף שאיפה  2021 '!WPrint_TitlesW</vt:lpstr>
      <vt:lpstr>'תקציב אגף שאיפה  2021  פרקים'!WPrint_TitlesW</vt:lpstr>
      <vt:lpstr>'תקציב אגף שאיפה  2021  תאור'!WPrint_TitlesW</vt:lpstr>
      <vt:lpstr>'תקציב אגף ת.ב.ל 2020 '!WPrint_TitlesW</vt:lpstr>
      <vt:lpstr>'תקציב אגף ת.ב.ל 2021  '!WPrint_TitlesW</vt:lpstr>
      <vt:lpstr>'תקציב אגף ת.ב.ל 2021 פרקים'!WPrint_TitlesW</vt:lpstr>
      <vt:lpstr>'תקציב אגף ת.ב.ל 2021 תאור'!WPrint_TitlesW</vt:lpstr>
      <vt:lpstr>'תקציב אגף תנוס 2020 '!WPrint_TitlesW</vt:lpstr>
      <vt:lpstr>'תקציב אגף תנוס 2021 '!WPrint_TitlesW</vt:lpstr>
      <vt:lpstr>'תקציב אגף תנוס 2021 פרק'!WPrint_TitlesW</vt:lpstr>
      <vt:lpstr>'תקציב אגף תקשוב 2020 '!WPrint_TitlesW</vt:lpstr>
      <vt:lpstr>'תקציב אגף תקשוב 2021 '!WPrint_TitlesW</vt:lpstr>
      <vt:lpstr>'תקציב אגף תקשוב 2021 פרקים'!WPrint_TitlesW</vt:lpstr>
      <vt:lpstr>'תקציב החברה לפיתוח 2020'!WPrint_TitlesW</vt:lpstr>
      <vt:lpstr>'תקציב החברה לפיתוח 2021 '!WPrint_TitlesW</vt:lpstr>
      <vt:lpstr>'תקציב החברה לפיתוח 2021 פרקים'!WPrint_TitlesW</vt:lpstr>
      <vt:lpstr>'תקציב החברה לפיתוח 2021 תאור'!WPrint_TitlesW</vt:lpstr>
      <vt:lpstr>'תקציב החברה לתירות 2020 '!WPrint_TitlesW</vt:lpstr>
      <vt:lpstr>'תקציב החברה לתירות 2021 '!WPrint_TitlesW</vt:lpstr>
      <vt:lpstr>'תקציב החברה לתירות 2021 פרקים'!WPrint_TitlesW</vt:lpstr>
      <vt:lpstr>'תקציב הנדסה 2020 '!WPrint_TitlesW</vt:lpstr>
      <vt:lpstr>'תקציב הנדסה 2021'!WPrint_TitlesW</vt:lpstr>
      <vt:lpstr>'תקציב הנדסה 2021 פרקים'!WPrint_TitlesW</vt:lpstr>
      <vt:lpstr>'תקציב הנדסה 2021 תאור'!WPrint_TitlesW</vt:lpstr>
      <vt:lpstr>'תקציב מינהל כללי 2020 '!WPrint_TitlesW</vt:lpstr>
      <vt:lpstr>'תקציב מינהל כללי 2021  '!WPrint_TitlesW</vt:lpstr>
      <vt:lpstr>'תקציב מינהל כללי 2021 פרקים'!WPrint_TitlesW</vt:lpstr>
      <vt:lpstr>'תקציב רשות החופים 2020 '!WPrint_TitlesW</vt:lpstr>
      <vt:lpstr>'תקציב רשות החופים 2021 '!WPrint_TitlesW</vt:lpstr>
      <vt:lpstr>'תקציב רשות החופים 2021  פרקים'!WPrint_TitlesW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Gizbarut-Orna Goldfriend</dc:creator>
  <cp:lastModifiedBy>dovrut-Avner Perlmutter</cp:lastModifiedBy>
  <cp:lastPrinted>2020-12-28T11:50:13Z</cp:lastPrinted>
  <dcterms:created xsi:type="dcterms:W3CDTF">2014-10-19T04:47:46Z</dcterms:created>
  <dcterms:modified xsi:type="dcterms:W3CDTF">2021-01-03T09:30:30Z</dcterms:modified>
</cp:coreProperties>
</file>